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375" yWindow="60" windowWidth="17310" windowHeight="11040" tabRatio="854" activeTab="1"/>
  </bookViews>
  <sheets>
    <sheet name="TOTALCO" sheetId="1" r:id="rId1"/>
    <sheet name="Print Layout" sheetId="3" r:id="rId2"/>
    <sheet name="PIS" sheetId="15" r:id="rId3"/>
    <sheet name="VA500KV" sheetId="17" r:id="rId4"/>
    <sheet name="AFUDC" sheetId="16" r:id="rId5"/>
    <sheet name="RWIP Allocation" sheetId="5" r:id="rId6"/>
    <sheet name="CWIP and AFUDC" sheetId="8" r:id="rId7"/>
    <sheet name="AFUDC Depr AccDepr" sheetId="14" r:id="rId8"/>
    <sheet name="O&amp;M" sheetId="12" r:id="rId9"/>
    <sheet name="FERC SpareParts" sheetId="21" r:id="rId10"/>
    <sheet name="M&amp;S" sheetId="11" r:id="rId11"/>
    <sheet name="2012q1" sheetId="19" r:id="rId12"/>
    <sheet name="Mar 2012" sheetId="20" r:id="rId13"/>
  </sheets>
  <externalReferences>
    <externalReference r:id="rId14"/>
  </externalReferences>
  <definedNames>
    <definedName name="\\" hidden="1">#REF!</definedName>
    <definedName name="\\\" hidden="1">#REF!</definedName>
    <definedName name="\\\\" hidden="1">#REF!</definedName>
    <definedName name="__123Graph_A" localSheetId="10" hidden="1">#REF!</definedName>
    <definedName name="__123Graph_A" hidden="1">TOTALCO!$A$85:$A$265</definedName>
    <definedName name="__123Graph_B" localSheetId="10" hidden="1">#REF!</definedName>
    <definedName name="__123Graph_B" hidden="1">TOTALCO!$B$85:$B$265</definedName>
    <definedName name="__123Graph_C" localSheetId="10" hidden="1">#REF!</definedName>
    <definedName name="__123Graph_C" hidden="1">TOTALCO!$C$85:$C$265</definedName>
    <definedName name="__123Graph_D" localSheetId="10" hidden="1">#REF!</definedName>
    <definedName name="__123Graph_D" hidden="1">TOTALCO!$D$85:$D$265</definedName>
    <definedName name="__123Graph_E" localSheetId="10" hidden="1">#REF!</definedName>
    <definedName name="__123Graph_E" hidden="1">TOTALCO!$E$85:$E$265</definedName>
    <definedName name="__123Graph_F" localSheetId="10" hidden="1">#REF!</definedName>
    <definedName name="__123Graph_F" hidden="1">TOTALCO!$F$85:$F$265</definedName>
    <definedName name="__123Graph_X" hidden="1">#REF!</definedName>
    <definedName name="_Fill" hidden="1">TOTALCO!$A$1233:$A$1239</definedName>
    <definedName name="_xlnm._FilterDatabase" localSheetId="0" hidden="1">TOTALCO!$C$21:$C$1431</definedName>
    <definedName name="_Regression_Int" localSheetId="0" hidden="1">1</definedName>
    <definedName name="A_GEXP">TOTALCO!$D$454:$AA$454</definedName>
    <definedName name="ADITPP">TOTALCO!$D$391:$AA$391</definedName>
    <definedName name="ADITTP">TOTALCO!$D$392:$AA$392</definedName>
    <definedName name="AFUDC">TOTALCO!$D$426:$AA$426</definedName>
    <definedName name="ColumnAttributes1">#REF!</definedName>
    <definedName name="ColumnHeadings1">#REF!</definedName>
    <definedName name="CUST369K">TOTALCO!$D$340:$AA$340</definedName>
    <definedName name="CUST369T">TOTALCO!$D$313:$AA$313</definedName>
    <definedName name="CUST369V">TOTALCO!$D$349:$AA$349</definedName>
    <definedName name="CUST370K">TOTALCO!$D$341:$AA$341</definedName>
    <definedName name="CUST370T">TOTALCO!$D$314:$AA$314</definedName>
    <definedName name="CUST370V">TOTALCO!$D$350:$AA$350</definedName>
    <definedName name="CUST371K">TOTALCO!$D$342:$AA$342</definedName>
    <definedName name="CUST371T">TOTALCO!$D$315:$AA$315</definedName>
    <definedName name="CUST371V">TOTALCO!$D$351:$AA$351</definedName>
    <definedName name="CUST373K">TOTALCO!$D$343:$AA$343</definedName>
    <definedName name="CUST373V">TOTALCO!$D$352:$AA$352</definedName>
    <definedName name="CUST902">TOTALCO!$D$346:$AA$346</definedName>
    <definedName name="CUST903">TOTALCO!$D$347:$AA$347</definedName>
    <definedName name="CUST904">TOTALCO!$D$348:$AA$348</definedName>
    <definedName name="CUST908">TOTALCO!$D$353:$AA$353</definedName>
    <definedName name="CUST909">TOTALCO!$D$354:$AA$354</definedName>
    <definedName name="CUST912">TOTALCO!$D$355:$AA$355</definedName>
    <definedName name="CUST913">TOTALCO!$D$356:$AA$356</definedName>
    <definedName name="CUSTADV">TOTALCO!$D$344:$AA$344</definedName>
    <definedName name="CUSTANN">TOTALCO!$D$357:$AA$357</definedName>
    <definedName name="CUSTDEP">TOTALCO!$D$345:$AA$345</definedName>
    <definedName name="CUSTDEPI">TOTALCO!$D$358:$AA$358</definedName>
    <definedName name="CUSTSER">TOTALCO!$D$459:$AA$459</definedName>
    <definedName name="CWIPPP">TOTALCO!$D$389:$AA$389</definedName>
    <definedName name="CWIPTP">TOTALCO!$D$390:$AA$390</definedName>
    <definedName name="DEFTAX">TOTALCO!$D$427:$AA$427</definedName>
    <definedName name="DEM3602V">TOTALCO!$D$299:$AA$299</definedName>
    <definedName name="DEM360K">TOTALCO!$D$290:$AA$290</definedName>
    <definedName name="DEM360T">TOTALCO!$D$307:$AA$307</definedName>
    <definedName name="DEM360V">TOTALCO!$D$299:$AA$299</definedName>
    <definedName name="DEM361K">TOTALCO!$D$291:$AA$291</definedName>
    <definedName name="DEM361T">TOTALCO!$D$308:$AA$308</definedName>
    <definedName name="DEM361V">TOTALCO!$D$300:$AA$300</definedName>
    <definedName name="DEM362K">TOTALCO!$D$292:$AA$292</definedName>
    <definedName name="DEM362T">TOTALCO!$D$309:$AA$309</definedName>
    <definedName name="DEM362V">TOTALCO!$D$301:$AA$301</definedName>
    <definedName name="DEM3645K">TOTALCO!$D$293:$AA$293</definedName>
    <definedName name="DEM3645V">TOTALCO!$D$303:$AA$303</definedName>
    <definedName name="DEM364K">TOTALCO!$D$293:$AA$293</definedName>
    <definedName name="DEM364T">TOTALCO!$D$310:$AA$310</definedName>
    <definedName name="DEM364V">TOTALCO!$D$303:$AA$303</definedName>
    <definedName name="DEM365K">TOTALCO!$D$294:$AA$294</definedName>
    <definedName name="DEM365T">TOTALCO!$D$311:$AA$311</definedName>
    <definedName name="DEM365V">TOTALCO!$D$304:$AA$304</definedName>
    <definedName name="DEM3667K">TOTALCO!$D$295:$AA$295</definedName>
    <definedName name="DEM3667V">TOTALCO!$D$305:$AA$305</definedName>
    <definedName name="DEM366K">TOTALCO!$D$295:$AA$295</definedName>
    <definedName name="DEM367K">TOTALCO!$D$296:$AA$296</definedName>
    <definedName name="DEM367V">TOTALCO!$D$305:$AA$305</definedName>
    <definedName name="DEM368K">TOTALCO!$D$297:$AA$297</definedName>
    <definedName name="DEM368T">TOTALCO!$D$312:$AA$312</definedName>
    <definedName name="DEM368V">TOTALCO!$D$306:$AA$306</definedName>
    <definedName name="DEM374K">TOTALCO!$D$298:$AA$298</definedName>
    <definedName name="DEMFERC">TOTALCO!$D$277:$AA$277</definedName>
    <definedName name="DEMFERCP">TOTALCO!$D$280:$AA$280</definedName>
    <definedName name="DEMFERCT">TOTALCO!$D$286:$AA$286</definedName>
    <definedName name="DEMPROD">TOTALCO!$D$276:$AA$276</definedName>
    <definedName name="DEMPRODNV">TOTALCO!$D$281:$AA$281</definedName>
    <definedName name="DEMTENND">TOTALCO!$D$307:$AA$307</definedName>
    <definedName name="DEMTRAN">TOTALCO!$D$283:$AA$283</definedName>
    <definedName name="DEMTRANNF">TOTALCO!$D$285:$AA$285</definedName>
    <definedName name="DEMVA">TOTALCO!$D$284:$AA$284</definedName>
    <definedName name="DFERCTP">TOTALCO!$D$287:$AA$287</definedName>
    <definedName name="DFUELVA">TOTALCO!$D$328:$AA$328</definedName>
    <definedName name="DIR203E">TOTALCO!$D$326:$AA$326</definedName>
    <definedName name="DIR3602V">TOTALCO!$D$302:$AA$302</definedName>
    <definedName name="DIR361K">TOTALCO!$D$291:$AA$291</definedName>
    <definedName name="DIR362K">TOTALCO!$D$292:$AA$292</definedName>
    <definedName name="DIR364K">TOTALCO!$D$293:$AA$293</definedName>
    <definedName name="DIR365K">TOTALCO!$D$294:$AA$294</definedName>
    <definedName name="DIR366K">TOTALCO!$D$295:$AA$295</definedName>
    <definedName name="DIR367K">TOTALCO!$D$296:$AA$296</definedName>
    <definedName name="DIR368K">TOTALCO!$D$297:$AA$297</definedName>
    <definedName name="DIR450REV">TOTALCO!$D$359:$AA$359</definedName>
    <definedName name="DIR451OTH">TOTALCO!$D$324:$AA$324</definedName>
    <definedName name="DIR451REC">TOTALCO!$D$323:$AA$323</definedName>
    <definedName name="DIR454REV">TOTALCO!$D$320:$AA$320</definedName>
    <definedName name="DIR456CHK">TOTALCO!$D$325:$AA$325</definedName>
    <definedName name="DIR456FAC">TOTALCO!$D$321:$AA$321</definedName>
    <definedName name="DIR456OTH">TOTALCO!$D$322:$AA$322</definedName>
    <definedName name="DIRACDEP">TOTALCO!$D$316:$AA$316</definedName>
    <definedName name="DIRACDFTX">TOTALCO!$D$318:$AA$318</definedName>
    <definedName name="DIRACITC">TOTALCO!$D$319:$AA$319</definedName>
    <definedName name="DIRCWIP">TOTALCO!$D$317:$AA$317</definedName>
    <definedName name="DIRITCADJ">TOTALCO!$D$327:$AA$327</definedName>
    <definedName name="DIRSE">TOTALCO!$D$334:$AA$334</definedName>
    <definedName name="DISTPLT">TOTALCO!$D$378:$AA$378</definedName>
    <definedName name="DISTPLTKF">TOTALCO!$D$379:$AA$379</definedName>
    <definedName name="DPLTXVA">TOTALCO!$D$460:$AA$460</definedName>
    <definedName name="DPRODKY">TOTALCO!$D$279:$AA$279</definedName>
    <definedName name="DPRODVA">TOTALCO!$D$278:$AA$278</definedName>
    <definedName name="ENERGY">TOTALCO!$D$333:$AA$333</definedName>
    <definedName name="ENERGY1">TOTALCO!$D$334:$AA$334</definedName>
    <definedName name="EXP5017STM">TOTALCO!$D$428:$AA$428</definedName>
    <definedName name="EXP5114STM">TOTALCO!$D$429:$AA$429</definedName>
    <definedName name="EXP5360HYD">TOTALCO!$D$430:$AA$430</definedName>
    <definedName name="EXP5425HYD">TOTALCO!$D$431:$AA$431</definedName>
    <definedName name="EXP5479OTH">TOTALCO!$D$432:$AA$432</definedName>
    <definedName name="EXP5524OTH">TOTALCO!$D$433:$AA$433</definedName>
    <definedName name="EXP5627TX">TOTALCO!$D$440:$AA$440</definedName>
    <definedName name="EXP5693TX">TOTALCO!$D$441:$AA$441</definedName>
    <definedName name="EXP5829DIS">TOTALCO!$D$444:$AA$444</definedName>
    <definedName name="EXP5918DIS">TOTALCO!$D$445:$AA$445</definedName>
    <definedName name="EXP9024CA">TOTALCO!$D$409:$AA$409</definedName>
    <definedName name="EXP9025CA">TOTALCO!$D$448:$AA$448</definedName>
    <definedName name="EXP9080CS">TOTALCO!$D$450:$AA$450</definedName>
    <definedName name="EXP9089CS">TOTALCO!$D$410:$AA$410</definedName>
    <definedName name="EXP9123SA">TOTALCO!$D$415:$AA$415</definedName>
    <definedName name="EXP9126SA">TOTALCO!$D$452:$AA$452</definedName>
    <definedName name="EXP9245TOT">TOTALCO!$D$387:$AA$387</definedName>
    <definedName name="EXP930A">TOTALCO!$D$458:$AA$458</definedName>
    <definedName name="GENPLT">TOTALCO!$D$380:$AA$380</definedName>
    <definedName name="HYDPLT">TOTALCO!$D$401:$AA$401</definedName>
    <definedName name="HYDSYS">TOTALCO!$D$373:$AA$373</definedName>
    <definedName name="INTTOTCO">TOTALCO!$D$120:$D$249</definedName>
    <definedName name="JE_Name_2">'[1]Journal 1'!$J$14</definedName>
    <definedName name="KURETPLT">TOTALCO!$D$369:$AA$369</definedName>
    <definedName name="KYDIST">TOTALCO!$D$421:$AA$421</definedName>
    <definedName name="KYRATEBASE">TOTALCO!$D$466:$AA$466</definedName>
    <definedName name="KYTRPLT">TOTALCO!$D$375:$AA$375</definedName>
    <definedName name="LABCA">TOTALCO!$D$449:$AA$449</definedName>
    <definedName name="LABCS">TOTALCO!$D$451:$AA$451</definedName>
    <definedName name="LABDISMN">TOTALCO!$D$447:$AA$447</definedName>
    <definedName name="LABDISOP">TOTALCO!$D$446:$AA$446</definedName>
    <definedName name="LABHYDMN">TOTALCO!$D$437:$AA$437</definedName>
    <definedName name="LABHYDOP">TOTALCO!$D$436:$AA$436</definedName>
    <definedName name="LABOR">TOTALCO!$D$370:$AA$370</definedName>
    <definedName name="LABOTHMN">TOTALCO!$D$439:$AA$439</definedName>
    <definedName name="LABOTHOP">TOTALCO!$D$438:$AA$438</definedName>
    <definedName name="LABPTDFER">TOTALCO!$D$464:$AA$464</definedName>
    <definedName name="LABPTDKY">TOTALCO!$D$461:$AA$461</definedName>
    <definedName name="LABPTDVAJ">TOTALCO!$D$462:$AA$462</definedName>
    <definedName name="LABPTDVNJ">TOTALCO!$D$463:$AA$463</definedName>
    <definedName name="LABSA">TOTALCO!$D$453:$AA$453</definedName>
    <definedName name="LABSTMMN">TOTALCO!$D$435:$AA$435</definedName>
    <definedName name="LABSTMOP">TOTALCO!$D$434:$AA$434</definedName>
    <definedName name="LABTRMN">TOTALCO!$D$443:$AA$443</definedName>
    <definedName name="LABTROP">TOTALCO!$D$442:$AA$442</definedName>
    <definedName name="M_S">TOTALCO!$D$386:$AA$386</definedName>
    <definedName name="NETPLANT">TOTALCO!$D$424:$AA$424</definedName>
    <definedName name="OTHPLT">TOTALCO!$D$402:$AA$402</definedName>
    <definedName name="OTHSYS">TOTALCO!$D$374:$AA$374</definedName>
    <definedName name="PLANT">TOTALCO!$D$396:$AA$396</definedName>
    <definedName name="PLANTKF">TOTALCO!$D$398:$AA$398</definedName>
    <definedName name="PLANTKY">TOTALCO!$D$397:$AA$397</definedName>
    <definedName name="PLANTVA">TOTALCO!$D$399:$AA$399</definedName>
    <definedName name="PLT302TOT">TOTALCO!$D$381:$AA$381</definedName>
    <definedName name="PLT303TOT">TOTALCO!$D$382:$AA$382</definedName>
    <definedName name="PLT3602TOT">TOTALCO!$D$403:$AA$403</definedName>
    <definedName name="PLT3645TOT">TOTALCO!$D$395:$AA$395</definedName>
    <definedName name="PLT3667TOT">TOTALCO!$D$404:$AA$404</definedName>
    <definedName name="PLT368TOT">TOTALCO!$D$408:$AA$408</definedName>
    <definedName name="PLT370TOT">TOTALCO!$D$406:$AA$406</definedName>
    <definedName name="PLT371TOT">TOTALCO!$D$407:$AA$407</definedName>
    <definedName name="PLT373TOT">TOTALCO!$D$405:$AA$405</definedName>
    <definedName name="_xlnm.Print_Area" localSheetId="4">AFUDC!$A$1:$H$56</definedName>
    <definedName name="_xlnm.Print_Area" localSheetId="7">'AFUDC Depr AccDepr'!$A$1:$M$55</definedName>
    <definedName name="_xlnm.Print_Area" localSheetId="6">'CWIP and AFUDC'!$A$1:$H$48</definedName>
    <definedName name="_xlnm.Print_Area" localSheetId="10">'M&amp;S'!$A$1:$L$41</definedName>
    <definedName name="_xlnm.Print_Area" localSheetId="12">'Mar 2012'!$A$1:$E$68</definedName>
    <definedName name="_xlnm.Print_Area" localSheetId="1">'Print Layout'!$D$12:$P$1344</definedName>
    <definedName name="_xlnm.Print_Area" localSheetId="5">'RWIP Allocation'!$A$1:$D$98</definedName>
    <definedName name="_xlnm.Print_Area" localSheetId="0">TOTALCO!$A$23:$Q$249</definedName>
    <definedName name="Print_Area_MI" localSheetId="0">TOTALCO!$L$1250:$S$1301</definedName>
    <definedName name="_xlnm.Print_Titles" localSheetId="8">'O&amp;M'!$1:$2</definedName>
    <definedName name="_xlnm.Print_Titles" localSheetId="2">PIS!$1:$8</definedName>
    <definedName name="_xlnm.Print_Titles" localSheetId="1">'Print Layout'!$A:$C,'Print Layout'!$2:$11</definedName>
    <definedName name="_xlnm.Print_Titles" localSheetId="0">TOTALCO!$A:$C,TOTALCO!$13:$22</definedName>
    <definedName name="Print_Titles_MI" localSheetId="0">TOTALCO!$13:$22,TOTALCO!$A:$C</definedName>
    <definedName name="PRODPLT">TOTALCO!$D$384:$AA$384</definedName>
    <definedName name="PRODSYS">TOTALCO!$D$383:$AA$383</definedName>
    <definedName name="PTDCUSTLABOR">TOTALCO!$D$371:$AA$371</definedName>
    <definedName name="PTDGPLT">TOTALCO!$D$368:$AA$368</definedName>
    <definedName name="RATEBASE">TOTALCO!$D$425:$AA$425</definedName>
    <definedName name="ReportTitle1">#REF!</definedName>
    <definedName name="REVENUE">TOTALCO!$D$418:$AA$418</definedName>
    <definedName name="REVENUEX">TOTALCO!$D$420:$AA$420</definedName>
    <definedName name="REVFERC">TOTALCO!$D$416:$AA$416</definedName>
    <definedName name="REVKY">TOTALCO!$D$388:$AA$388</definedName>
    <definedName name="REVNJVA">TOTALCO!$D$419:$AA$419</definedName>
    <definedName name="REVVA">TOTALCO!$D$417:$AA$417</definedName>
    <definedName name="RowDetails1">#REF!</definedName>
    <definedName name="SEREV">TOTALCO!$D$334:$AA$334</definedName>
    <definedName name="STMPLT">TOTALCO!$D$400:$AA$400</definedName>
    <definedName name="STMSYS">TOTALCO!$D$372:$AA$372</definedName>
    <definedName name="TableName">"Dummy"</definedName>
    <definedName name="TNDIST">TOTALCO!$D$423:$AA$423</definedName>
    <definedName name="TOT203E">TOTALCO!$D$465:$AA$465</definedName>
    <definedName name="TRANPLT">TOTALCO!$D$385:$AA$385</definedName>
    <definedName name="TRANPLTX">TOTALCO!$D$393:$AA$393</definedName>
    <definedName name="TRDSPLT">TOTALCO!$D$411:$AA$411</definedName>
    <definedName name="TRPLTVA">TOTALCO!$D$394:$AA$394</definedName>
    <definedName name="VADIST">TOTALCO!$D$422:$AA$422</definedName>
    <definedName name="VATRPLT">TOTALCO!$D$376:$AA$376</definedName>
    <definedName name="VATRPLTN">TOTALCO!$D$377:$AA$377</definedName>
  </definedNames>
  <calcPr calcId="145621"/>
</workbook>
</file>

<file path=xl/calcChain.xml><?xml version="1.0" encoding="utf-8"?>
<calcChain xmlns="http://schemas.openxmlformats.org/spreadsheetml/2006/main">
  <c r="T1278" i="1" l="1"/>
  <c r="T1290" i="1" l="1"/>
  <c r="L107" i="1"/>
  <c r="M751" i="3" l="1"/>
  <c r="K751" i="3"/>
  <c r="J751" i="3"/>
  <c r="G751" i="3"/>
  <c r="E751" i="3"/>
  <c r="C751" i="3"/>
  <c r="B751" i="3"/>
  <c r="A751" i="3"/>
  <c r="F106" i="1"/>
  <c r="F105" i="1" s="1"/>
  <c r="Y1280" i="1" l="1"/>
  <c r="T1280" i="1"/>
  <c r="L466" i="1"/>
  <c r="H466" i="1"/>
  <c r="Q218" i="1"/>
  <c r="Q466" i="1" s="1"/>
  <c r="T1282" i="1" l="1"/>
  <c r="X1218" i="1"/>
  <c r="X1216" i="1"/>
  <c r="Z1097" i="1"/>
  <c r="AE948" i="1"/>
  <c r="AE941" i="1"/>
  <c r="F10" i="21"/>
  <c r="F9" i="21"/>
  <c r="F8" i="21"/>
  <c r="F7" i="21"/>
  <c r="F6" i="21"/>
  <c r="F5" i="21"/>
  <c r="Y943" i="1" s="1"/>
  <c r="F4" i="21"/>
  <c r="Y942" i="1" s="1"/>
  <c r="F3" i="21"/>
  <c r="Y950" i="1"/>
  <c r="Y949" i="1"/>
  <c r="Y948" i="1"/>
  <c r="Y947" i="1"/>
  <c r="Y946" i="1"/>
  <c r="Y944" i="1"/>
  <c r="Y941" i="1"/>
  <c r="E11" i="21"/>
  <c r="D11" i="21"/>
  <c r="C11" i="21"/>
  <c r="B11" i="21"/>
  <c r="Z1009" i="1"/>
  <c r="F11" i="21" l="1"/>
  <c r="Y1038" i="1"/>
  <c r="P93" i="1" l="1"/>
  <c r="M57" i="14" l="1"/>
  <c r="G57" i="14"/>
  <c r="D57" i="14"/>
  <c r="Y1290" i="1" l="1"/>
  <c r="T1288" i="1"/>
  <c r="T1279" i="1"/>
  <c r="T1262" i="1"/>
  <c r="T735" i="1"/>
  <c r="T609" i="1" l="1"/>
  <c r="H96" i="1"/>
  <c r="F97" i="1"/>
  <c r="F110" i="1"/>
  <c r="H76" i="1"/>
  <c r="F76" i="1"/>
  <c r="F72" i="1"/>
  <c r="F253" i="1"/>
  <c r="T922" i="1"/>
  <c r="F6" i="12" l="1"/>
  <c r="G6" i="12"/>
  <c r="B88" i="5"/>
  <c r="B82" i="5"/>
  <c r="G49" i="14"/>
  <c r="F49" i="14"/>
  <c r="G34" i="14"/>
  <c r="G51" i="14" s="1"/>
  <c r="F34" i="14"/>
  <c r="G30" i="14"/>
  <c r="F30" i="14"/>
  <c r="M49" i="14"/>
  <c r="L49" i="14"/>
  <c r="M34" i="14"/>
  <c r="L34" i="14"/>
  <c r="M30" i="14"/>
  <c r="M51" i="14" s="1"/>
  <c r="L30" i="14"/>
  <c r="D49" i="14"/>
  <c r="C49" i="14"/>
  <c r="D34" i="14"/>
  <c r="C34" i="14"/>
  <c r="C51" i="14" s="1"/>
  <c r="D30" i="14"/>
  <c r="C30" i="14"/>
  <c r="L51" i="14" l="1"/>
  <c r="F51" i="14"/>
  <c r="D51" i="14"/>
  <c r="B40" i="8"/>
  <c r="B39" i="8"/>
  <c r="B38" i="8"/>
  <c r="D37" i="8"/>
  <c r="B37" i="8"/>
  <c r="B35" i="8"/>
  <c r="B34" i="8"/>
  <c r="D33" i="8"/>
  <c r="B33" i="8"/>
  <c r="B32" i="8"/>
  <c r="D16" i="8"/>
  <c r="B16" i="8"/>
  <c r="F16" i="8" s="1"/>
  <c r="B15" i="8"/>
  <c r="F15" i="8" s="1"/>
  <c r="F14" i="8"/>
  <c r="B14" i="8"/>
  <c r="F13" i="8"/>
  <c r="B13" i="8"/>
  <c r="F12" i="8"/>
  <c r="B11" i="8"/>
  <c r="F11" i="8" s="1"/>
  <c r="D10" i="8"/>
  <c r="B10" i="8"/>
  <c r="F10" i="8" s="1"/>
  <c r="B9" i="8"/>
  <c r="F9" i="8" s="1"/>
  <c r="B8" i="8"/>
  <c r="F8" i="8" s="1"/>
  <c r="H8" i="8" s="1"/>
  <c r="H9" i="8" s="1"/>
  <c r="H10" i="8" s="1"/>
  <c r="H11" i="8" l="1"/>
  <c r="H12" i="8" s="1"/>
  <c r="H13" i="8" s="1"/>
  <c r="H14" i="8" s="1"/>
  <c r="H15" i="8" s="1"/>
  <c r="H16" i="8" s="1"/>
  <c r="B6" i="5" l="1"/>
  <c r="Q16" i="11" l="1"/>
  <c r="J16" i="11" s="1"/>
  <c r="Q15" i="11"/>
  <c r="J15" i="11" s="1"/>
  <c r="Q14" i="11"/>
  <c r="J14" i="11"/>
  <c r="Q13" i="11"/>
  <c r="J13" i="11" s="1"/>
  <c r="Q12" i="11"/>
  <c r="J12" i="11" s="1"/>
  <c r="Q11" i="11"/>
  <c r="J11" i="11" s="1"/>
  <c r="Q10" i="11"/>
  <c r="J10" i="11" s="1"/>
  <c r="Q9" i="11"/>
  <c r="J9" i="11" s="1"/>
  <c r="Q8" i="11"/>
  <c r="J8" i="11" s="1"/>
  <c r="Q7" i="11"/>
  <c r="J7" i="11" s="1"/>
  <c r="D62" i="20"/>
  <c r="C62" i="20"/>
  <c r="D61" i="20"/>
  <c r="C61" i="20"/>
  <c r="D60" i="20"/>
  <c r="C60" i="20"/>
  <c r="D59" i="20"/>
  <c r="D63" i="20" s="1"/>
  <c r="C59" i="20"/>
  <c r="D54" i="20"/>
  <c r="C54" i="20"/>
  <c r="E54" i="20" s="1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D10" i="20"/>
  <c r="C10" i="20"/>
  <c r="C56" i="20" s="1"/>
  <c r="E9" i="20"/>
  <c r="E8" i="20"/>
  <c r="E7" i="20"/>
  <c r="E6" i="20"/>
  <c r="E5" i="20"/>
  <c r="E4" i="20"/>
  <c r="E3" i="20"/>
  <c r="D56" i="20" l="1"/>
  <c r="C63" i="20"/>
  <c r="E56" i="20"/>
  <c r="E10" i="20"/>
  <c r="T697" i="1" l="1"/>
  <c r="M750" i="3" l="1"/>
  <c r="K750" i="3"/>
  <c r="J750" i="3"/>
  <c r="G750" i="3"/>
  <c r="E750" i="3"/>
  <c r="C750" i="3"/>
  <c r="B750" i="3"/>
  <c r="A750" i="3"/>
  <c r="Z1010" i="1" l="1"/>
  <c r="P924" i="1"/>
  <c r="O924" i="1"/>
  <c r="Y1007" i="1" l="1"/>
  <c r="Z1098" i="1" l="1"/>
  <c r="AG1103" i="1"/>
  <c r="AG1104" i="1"/>
  <c r="Y924" i="1"/>
  <c r="Y1036" i="1"/>
  <c r="Y1012" i="1"/>
  <c r="J29" i="14" l="1"/>
  <c r="I29" i="14"/>
  <c r="J23" i="14"/>
  <c r="I23" i="14"/>
  <c r="X841" i="1" l="1"/>
  <c r="G84" i="12" l="1"/>
  <c r="G51" i="12"/>
  <c r="G27" i="12"/>
  <c r="G9" i="12"/>
  <c r="F51" i="12"/>
  <c r="F84" i="12"/>
  <c r="D29" i="19" l="1"/>
  <c r="D26" i="19"/>
  <c r="D25" i="19"/>
  <c r="D14" i="19"/>
  <c r="M1196" i="3"/>
  <c r="K1196" i="3"/>
  <c r="J1196" i="3"/>
  <c r="G1196" i="3"/>
  <c r="E1196" i="3"/>
  <c r="C1196" i="3"/>
  <c r="B1196" i="3"/>
  <c r="A1196" i="3"/>
  <c r="M1195" i="3"/>
  <c r="K1195" i="3"/>
  <c r="J1195" i="3"/>
  <c r="G1195" i="3"/>
  <c r="E1195" i="3"/>
  <c r="C1195" i="3"/>
  <c r="B1195" i="3"/>
  <c r="A1195" i="3"/>
  <c r="A1106" i="3"/>
  <c r="B1106" i="3"/>
  <c r="C1106" i="3"/>
  <c r="D1106" i="3"/>
  <c r="E1106" i="3"/>
  <c r="F1106" i="3"/>
  <c r="G1106" i="3"/>
  <c r="H1106" i="3"/>
  <c r="I1106" i="3"/>
  <c r="J1106" i="3"/>
  <c r="K1106" i="3"/>
  <c r="L1106" i="3"/>
  <c r="M1106" i="3"/>
  <c r="N1106" i="3"/>
  <c r="O1106" i="3"/>
  <c r="P1106" i="3"/>
  <c r="A1107" i="3"/>
  <c r="B1107" i="3"/>
  <c r="C1107" i="3"/>
  <c r="D1107" i="3"/>
  <c r="E1107" i="3"/>
  <c r="F1107" i="3"/>
  <c r="G1107" i="3"/>
  <c r="H1107" i="3"/>
  <c r="I1107" i="3"/>
  <c r="J1107" i="3"/>
  <c r="K1107" i="3"/>
  <c r="L1107" i="3"/>
  <c r="M1107" i="3"/>
  <c r="N1107" i="3"/>
  <c r="O1107" i="3"/>
  <c r="P1107" i="3"/>
  <c r="A1108" i="3"/>
  <c r="B1108" i="3"/>
  <c r="C1108" i="3"/>
  <c r="D1108" i="3"/>
  <c r="E1108" i="3"/>
  <c r="F1108" i="3"/>
  <c r="G1108" i="3"/>
  <c r="H1108" i="3"/>
  <c r="I1108" i="3"/>
  <c r="J1108" i="3"/>
  <c r="K1108" i="3"/>
  <c r="L1108" i="3"/>
  <c r="M1108" i="3"/>
  <c r="N1108" i="3"/>
  <c r="O1108" i="3"/>
  <c r="P1108" i="3"/>
  <c r="A1109" i="3"/>
  <c r="B1109" i="3"/>
  <c r="C1109" i="3"/>
  <c r="D1109" i="3"/>
  <c r="E1109" i="3"/>
  <c r="F1109" i="3"/>
  <c r="G1109" i="3"/>
  <c r="H1109" i="3"/>
  <c r="I1109" i="3"/>
  <c r="J1109" i="3"/>
  <c r="K1109" i="3"/>
  <c r="L1109" i="3"/>
  <c r="M1109" i="3"/>
  <c r="N1109" i="3"/>
  <c r="O1109" i="3"/>
  <c r="P1109" i="3"/>
  <c r="A1110" i="3"/>
  <c r="B1110" i="3"/>
  <c r="C1110" i="3"/>
  <c r="D1110" i="3"/>
  <c r="E1110" i="3"/>
  <c r="F1110" i="3"/>
  <c r="G1110" i="3"/>
  <c r="H1110" i="3"/>
  <c r="I1110" i="3"/>
  <c r="J1110" i="3"/>
  <c r="K1110" i="3"/>
  <c r="L1110" i="3"/>
  <c r="M1110" i="3"/>
  <c r="N1110" i="3"/>
  <c r="O1110" i="3"/>
  <c r="P1110" i="3"/>
  <c r="A1111" i="3"/>
  <c r="B1111" i="3"/>
  <c r="C1111" i="3"/>
  <c r="D1111" i="3"/>
  <c r="E1111" i="3"/>
  <c r="F1111" i="3"/>
  <c r="G1111" i="3"/>
  <c r="H1111" i="3"/>
  <c r="I1111" i="3"/>
  <c r="J1111" i="3"/>
  <c r="K1111" i="3"/>
  <c r="L1111" i="3"/>
  <c r="M1111" i="3"/>
  <c r="N1111" i="3"/>
  <c r="O1111" i="3"/>
  <c r="P1111" i="3"/>
  <c r="A1112" i="3"/>
  <c r="B1112" i="3"/>
  <c r="C1112" i="3"/>
  <c r="D1112" i="3"/>
  <c r="E1112" i="3"/>
  <c r="F1112" i="3"/>
  <c r="G1112" i="3"/>
  <c r="H1112" i="3"/>
  <c r="I1112" i="3"/>
  <c r="J1112" i="3"/>
  <c r="K1112" i="3"/>
  <c r="L1112" i="3"/>
  <c r="M1112" i="3"/>
  <c r="N1112" i="3"/>
  <c r="O1112" i="3"/>
  <c r="P1112" i="3"/>
  <c r="A1113" i="3"/>
  <c r="B1113" i="3"/>
  <c r="C1113" i="3"/>
  <c r="D1113" i="3"/>
  <c r="E1113" i="3"/>
  <c r="F1113" i="3"/>
  <c r="G1113" i="3"/>
  <c r="H1113" i="3"/>
  <c r="I1113" i="3"/>
  <c r="J1113" i="3"/>
  <c r="K1113" i="3"/>
  <c r="L1113" i="3"/>
  <c r="M1113" i="3"/>
  <c r="N1113" i="3"/>
  <c r="O1113" i="3"/>
  <c r="P1113" i="3"/>
  <c r="A1114" i="3"/>
  <c r="B1114" i="3"/>
  <c r="C1114" i="3"/>
  <c r="D1114" i="3"/>
  <c r="E1114" i="3"/>
  <c r="F1114" i="3"/>
  <c r="G1114" i="3"/>
  <c r="H1114" i="3"/>
  <c r="I1114" i="3"/>
  <c r="J1114" i="3"/>
  <c r="K1114" i="3"/>
  <c r="L1114" i="3"/>
  <c r="M1114" i="3"/>
  <c r="N1114" i="3"/>
  <c r="O1114" i="3"/>
  <c r="P1114" i="3"/>
  <c r="A1115" i="3"/>
  <c r="B1115" i="3"/>
  <c r="C1115" i="3"/>
  <c r="D1115" i="3"/>
  <c r="E1115" i="3"/>
  <c r="F1115" i="3"/>
  <c r="G1115" i="3"/>
  <c r="H1115" i="3"/>
  <c r="I1115" i="3"/>
  <c r="J1115" i="3"/>
  <c r="K1115" i="3"/>
  <c r="L1115" i="3"/>
  <c r="M1115" i="3"/>
  <c r="N1115" i="3"/>
  <c r="O1115" i="3"/>
  <c r="P1115" i="3"/>
  <c r="A1116" i="3"/>
  <c r="B1116" i="3"/>
  <c r="C1116" i="3"/>
  <c r="D1116" i="3"/>
  <c r="E1116" i="3"/>
  <c r="F1116" i="3"/>
  <c r="G1116" i="3"/>
  <c r="H1116" i="3"/>
  <c r="I1116" i="3"/>
  <c r="J1116" i="3"/>
  <c r="K1116" i="3"/>
  <c r="L1116" i="3"/>
  <c r="M1116" i="3"/>
  <c r="N1116" i="3"/>
  <c r="O1116" i="3"/>
  <c r="P1116" i="3"/>
  <c r="A1117" i="3"/>
  <c r="B1117" i="3"/>
  <c r="C1117" i="3"/>
  <c r="D1117" i="3"/>
  <c r="E1117" i="3"/>
  <c r="F1117" i="3"/>
  <c r="G1117" i="3"/>
  <c r="H1117" i="3"/>
  <c r="I1117" i="3"/>
  <c r="J1117" i="3"/>
  <c r="K1117" i="3"/>
  <c r="L1117" i="3"/>
  <c r="M1117" i="3"/>
  <c r="N1117" i="3"/>
  <c r="O1117" i="3"/>
  <c r="P1117" i="3"/>
  <c r="A1118" i="3"/>
  <c r="B1118" i="3"/>
  <c r="C1118" i="3"/>
  <c r="D1118" i="3"/>
  <c r="E1118" i="3"/>
  <c r="F1118" i="3"/>
  <c r="G1118" i="3"/>
  <c r="H1118" i="3"/>
  <c r="I1118" i="3"/>
  <c r="J1118" i="3"/>
  <c r="K1118" i="3"/>
  <c r="L1118" i="3"/>
  <c r="M1118" i="3"/>
  <c r="N1118" i="3"/>
  <c r="O1118" i="3"/>
  <c r="P1118" i="3"/>
  <c r="A1119" i="3"/>
  <c r="B1119" i="3"/>
  <c r="C1119" i="3"/>
  <c r="D1119" i="3"/>
  <c r="E1119" i="3"/>
  <c r="F1119" i="3"/>
  <c r="G1119" i="3"/>
  <c r="H1119" i="3"/>
  <c r="I1119" i="3"/>
  <c r="J1119" i="3"/>
  <c r="K1119" i="3"/>
  <c r="L1119" i="3"/>
  <c r="M1119" i="3"/>
  <c r="N1119" i="3"/>
  <c r="O1119" i="3"/>
  <c r="P1119" i="3"/>
  <c r="A1120" i="3"/>
  <c r="B1120" i="3"/>
  <c r="C1120" i="3"/>
  <c r="D1120" i="3"/>
  <c r="E1120" i="3"/>
  <c r="F1120" i="3"/>
  <c r="G1120" i="3"/>
  <c r="H1120" i="3"/>
  <c r="I1120" i="3"/>
  <c r="J1120" i="3"/>
  <c r="K1120" i="3"/>
  <c r="L1120" i="3"/>
  <c r="M1120" i="3"/>
  <c r="N1120" i="3"/>
  <c r="O1120" i="3"/>
  <c r="P1120" i="3"/>
  <c r="P1137" i="3"/>
  <c r="O1137" i="3"/>
  <c r="N1137" i="3"/>
  <c r="M1137" i="3"/>
  <c r="L1137" i="3"/>
  <c r="K1137" i="3"/>
  <c r="J1137" i="3"/>
  <c r="I1137" i="3"/>
  <c r="H1137" i="3"/>
  <c r="G1137" i="3"/>
  <c r="F1137" i="3"/>
  <c r="E1137" i="3"/>
  <c r="D1137" i="3"/>
  <c r="C1137" i="3"/>
  <c r="B1137" i="3"/>
  <c r="A1137" i="3"/>
  <c r="P1136" i="3"/>
  <c r="O1136" i="3"/>
  <c r="N1136" i="3"/>
  <c r="M1136" i="3"/>
  <c r="L1136" i="3"/>
  <c r="K1136" i="3"/>
  <c r="J1136" i="3"/>
  <c r="I1136" i="3"/>
  <c r="H1136" i="3"/>
  <c r="G1136" i="3"/>
  <c r="F1136" i="3"/>
  <c r="E1136" i="3"/>
  <c r="D1136" i="3"/>
  <c r="C1136" i="3"/>
  <c r="B1136" i="3"/>
  <c r="A1136" i="3"/>
  <c r="P1135" i="3"/>
  <c r="O1135" i="3"/>
  <c r="N1135" i="3"/>
  <c r="M1135" i="3"/>
  <c r="L1135" i="3"/>
  <c r="K1135" i="3"/>
  <c r="J1135" i="3"/>
  <c r="I1135" i="3"/>
  <c r="H1135" i="3"/>
  <c r="G1135" i="3"/>
  <c r="F1135" i="3"/>
  <c r="E1135" i="3"/>
  <c r="D1135" i="3"/>
  <c r="C1135" i="3"/>
  <c r="B1135" i="3"/>
  <c r="A1135" i="3"/>
  <c r="P1134" i="3"/>
  <c r="O1134" i="3"/>
  <c r="M1134" i="3"/>
  <c r="L1134" i="3"/>
  <c r="K1134" i="3"/>
  <c r="J1134" i="3"/>
  <c r="H1134" i="3"/>
  <c r="G1134" i="3"/>
  <c r="F1134" i="3"/>
  <c r="E1134" i="3"/>
  <c r="C1134" i="3"/>
  <c r="B1134" i="3"/>
  <c r="A1134" i="3"/>
  <c r="P1133" i="3"/>
  <c r="O1133" i="3"/>
  <c r="M1133" i="3"/>
  <c r="L1133" i="3"/>
  <c r="K1133" i="3"/>
  <c r="J1133" i="3"/>
  <c r="H1133" i="3"/>
  <c r="G1133" i="3"/>
  <c r="F1133" i="3"/>
  <c r="E1133" i="3"/>
  <c r="C1133" i="3"/>
  <c r="B1133" i="3"/>
  <c r="A1133" i="3"/>
  <c r="P1132" i="3"/>
  <c r="O1132" i="3"/>
  <c r="M1132" i="3"/>
  <c r="L1132" i="3"/>
  <c r="K1132" i="3"/>
  <c r="J1132" i="3"/>
  <c r="H1132" i="3"/>
  <c r="G1132" i="3"/>
  <c r="F1132" i="3"/>
  <c r="E1132" i="3"/>
  <c r="C1132" i="3"/>
  <c r="B1132" i="3"/>
  <c r="A1132" i="3"/>
  <c r="P1131" i="3"/>
  <c r="O1131" i="3"/>
  <c r="M1131" i="3"/>
  <c r="L1131" i="3"/>
  <c r="K1131" i="3"/>
  <c r="J1131" i="3"/>
  <c r="I1131" i="3"/>
  <c r="H1131" i="3"/>
  <c r="G1131" i="3"/>
  <c r="F1131" i="3"/>
  <c r="E1131" i="3"/>
  <c r="C1131" i="3"/>
  <c r="B1131" i="3"/>
  <c r="A1131" i="3"/>
  <c r="P1130" i="3"/>
  <c r="O1130" i="3"/>
  <c r="M1130" i="3"/>
  <c r="L1130" i="3"/>
  <c r="K1130" i="3"/>
  <c r="J1130" i="3"/>
  <c r="H1130" i="3"/>
  <c r="G1130" i="3"/>
  <c r="F1130" i="3"/>
  <c r="E1130" i="3"/>
  <c r="C1130" i="3"/>
  <c r="B1130" i="3"/>
  <c r="A1130" i="3"/>
  <c r="P1129" i="3"/>
  <c r="O1129" i="3"/>
  <c r="M1129" i="3"/>
  <c r="L1129" i="3"/>
  <c r="K1129" i="3"/>
  <c r="J1129" i="3"/>
  <c r="H1129" i="3"/>
  <c r="G1129" i="3"/>
  <c r="F1129" i="3"/>
  <c r="E1129" i="3"/>
  <c r="C1129" i="3"/>
  <c r="B1129" i="3"/>
  <c r="A1129" i="3"/>
  <c r="P1128" i="3"/>
  <c r="O1128" i="3"/>
  <c r="M1128" i="3"/>
  <c r="L1128" i="3"/>
  <c r="K1128" i="3"/>
  <c r="J1128" i="3"/>
  <c r="H1128" i="3"/>
  <c r="G1128" i="3"/>
  <c r="F1128" i="3"/>
  <c r="E1128" i="3"/>
  <c r="C1128" i="3"/>
  <c r="B1128" i="3"/>
  <c r="A1128" i="3"/>
  <c r="P1127" i="3"/>
  <c r="O1127" i="3"/>
  <c r="M1127" i="3"/>
  <c r="L1127" i="3"/>
  <c r="K1127" i="3"/>
  <c r="J1127" i="3"/>
  <c r="I1127" i="3"/>
  <c r="H1127" i="3"/>
  <c r="G1127" i="3"/>
  <c r="F1127" i="3"/>
  <c r="E1127" i="3"/>
  <c r="C1127" i="3"/>
  <c r="B1127" i="3"/>
  <c r="A1127" i="3"/>
  <c r="P1126" i="3"/>
  <c r="O1126" i="3"/>
  <c r="M1126" i="3"/>
  <c r="L1126" i="3"/>
  <c r="K1126" i="3"/>
  <c r="J1126" i="3"/>
  <c r="H1126" i="3"/>
  <c r="G1126" i="3"/>
  <c r="F1126" i="3"/>
  <c r="E1126" i="3"/>
  <c r="C1126" i="3"/>
  <c r="B1126" i="3"/>
  <c r="A1126" i="3"/>
  <c r="P1125" i="3"/>
  <c r="O1125" i="3"/>
  <c r="M1125" i="3"/>
  <c r="L1125" i="3"/>
  <c r="K1125" i="3"/>
  <c r="J1125" i="3"/>
  <c r="H1125" i="3"/>
  <c r="G1125" i="3"/>
  <c r="F1125" i="3"/>
  <c r="E1125" i="3"/>
  <c r="C1125" i="3"/>
  <c r="B1125" i="3"/>
  <c r="A1125" i="3"/>
  <c r="P1124" i="3"/>
  <c r="O1124" i="3"/>
  <c r="N1124" i="3"/>
  <c r="M1124" i="3"/>
  <c r="L1124" i="3"/>
  <c r="K1124" i="3"/>
  <c r="J1124" i="3"/>
  <c r="H1124" i="3"/>
  <c r="G1124" i="3"/>
  <c r="F1124" i="3"/>
  <c r="E1124" i="3"/>
  <c r="C1124" i="3"/>
  <c r="B1124" i="3"/>
  <c r="A1124" i="3"/>
  <c r="P958" i="3"/>
  <c r="O958" i="3"/>
  <c r="M958" i="3"/>
  <c r="L958" i="3"/>
  <c r="K958" i="3"/>
  <c r="J958" i="3"/>
  <c r="H958" i="3"/>
  <c r="G958" i="3"/>
  <c r="F958" i="3"/>
  <c r="E958" i="3"/>
  <c r="C958" i="3"/>
  <c r="B958" i="3"/>
  <c r="A958" i="3"/>
  <c r="P957" i="3"/>
  <c r="O957" i="3"/>
  <c r="M957" i="3"/>
  <c r="L957" i="3"/>
  <c r="K957" i="3"/>
  <c r="J957" i="3"/>
  <c r="H957" i="3"/>
  <c r="G957" i="3"/>
  <c r="F957" i="3"/>
  <c r="E957" i="3"/>
  <c r="C957" i="3"/>
  <c r="B957" i="3"/>
  <c r="A957" i="3"/>
  <c r="M405" i="3"/>
  <c r="K405" i="3"/>
  <c r="J405" i="3"/>
  <c r="G405" i="3"/>
  <c r="E405" i="3"/>
  <c r="C405" i="3"/>
  <c r="B405" i="3"/>
  <c r="A405" i="3"/>
  <c r="M404" i="3"/>
  <c r="K404" i="3"/>
  <c r="J404" i="3"/>
  <c r="G404" i="3"/>
  <c r="E404" i="3"/>
  <c r="C404" i="3"/>
  <c r="B404" i="3"/>
  <c r="A404" i="3"/>
  <c r="M403" i="3"/>
  <c r="K403" i="3"/>
  <c r="J403" i="3"/>
  <c r="G403" i="3"/>
  <c r="E403" i="3"/>
  <c r="C403" i="3"/>
  <c r="B403" i="3"/>
  <c r="A403" i="3"/>
  <c r="M402" i="3"/>
  <c r="K402" i="3"/>
  <c r="J402" i="3"/>
  <c r="G402" i="3"/>
  <c r="E402" i="3"/>
  <c r="C402" i="3"/>
  <c r="B402" i="3"/>
  <c r="A402" i="3"/>
  <c r="M401" i="3"/>
  <c r="K401" i="3"/>
  <c r="J401" i="3"/>
  <c r="G401" i="3"/>
  <c r="E401" i="3"/>
  <c r="C401" i="3"/>
  <c r="B401" i="3"/>
  <c r="A401" i="3"/>
  <c r="M400" i="3"/>
  <c r="K400" i="3"/>
  <c r="J400" i="3"/>
  <c r="G400" i="3"/>
  <c r="E400" i="3"/>
  <c r="C400" i="3"/>
  <c r="B400" i="3"/>
  <c r="A400" i="3"/>
  <c r="M399" i="3"/>
  <c r="K399" i="3"/>
  <c r="J399" i="3"/>
  <c r="G399" i="3"/>
  <c r="E399" i="3"/>
  <c r="C399" i="3"/>
  <c r="B399" i="3"/>
  <c r="A399" i="3"/>
  <c r="M398" i="3"/>
  <c r="K398" i="3"/>
  <c r="J398" i="3"/>
  <c r="G398" i="3"/>
  <c r="E398" i="3"/>
  <c r="C398" i="3"/>
  <c r="B398" i="3"/>
  <c r="A398" i="3"/>
  <c r="M397" i="3"/>
  <c r="K397" i="3"/>
  <c r="J397" i="3"/>
  <c r="G397" i="3"/>
  <c r="E397" i="3"/>
  <c r="C397" i="3"/>
  <c r="B397" i="3"/>
  <c r="A397" i="3"/>
  <c r="M396" i="3"/>
  <c r="K396" i="3"/>
  <c r="J396" i="3"/>
  <c r="G396" i="3"/>
  <c r="E396" i="3"/>
  <c r="C396" i="3"/>
  <c r="B396" i="3"/>
  <c r="A396" i="3"/>
  <c r="M395" i="3"/>
  <c r="K395" i="3"/>
  <c r="J395" i="3"/>
  <c r="G395" i="3"/>
  <c r="E395" i="3"/>
  <c r="C395" i="3"/>
  <c r="B395" i="3"/>
  <c r="A395" i="3"/>
  <c r="P394" i="3"/>
  <c r="O394" i="3"/>
  <c r="N394" i="3"/>
  <c r="M394" i="3"/>
  <c r="L394" i="3"/>
  <c r="K394" i="3"/>
  <c r="J394" i="3"/>
  <c r="I394" i="3"/>
  <c r="H394" i="3"/>
  <c r="G394" i="3"/>
  <c r="F394" i="3"/>
  <c r="E394" i="3"/>
  <c r="D394" i="3"/>
  <c r="C394" i="3"/>
  <c r="B394" i="3"/>
  <c r="A394" i="3"/>
  <c r="P393" i="3"/>
  <c r="O393" i="3"/>
  <c r="N393" i="3"/>
  <c r="M393" i="3"/>
  <c r="L393" i="3"/>
  <c r="K393" i="3"/>
  <c r="J393" i="3"/>
  <c r="I393" i="3"/>
  <c r="H393" i="3"/>
  <c r="G393" i="3"/>
  <c r="F393" i="3"/>
  <c r="E393" i="3"/>
  <c r="D393" i="3"/>
  <c r="C393" i="3"/>
  <c r="B393" i="3"/>
  <c r="A393" i="3"/>
  <c r="M392" i="3"/>
  <c r="K392" i="3"/>
  <c r="J392" i="3"/>
  <c r="G392" i="3"/>
  <c r="E392" i="3"/>
  <c r="C392" i="3"/>
  <c r="B392" i="3"/>
  <c r="A392" i="3"/>
  <c r="P391" i="3"/>
  <c r="O391" i="3"/>
  <c r="N391" i="3"/>
  <c r="M391" i="3"/>
  <c r="L391" i="3"/>
  <c r="K391" i="3"/>
  <c r="J391" i="3"/>
  <c r="I391" i="3"/>
  <c r="H391" i="3"/>
  <c r="G391" i="3"/>
  <c r="F391" i="3"/>
  <c r="E391" i="3"/>
  <c r="D391" i="3"/>
  <c r="C391" i="3"/>
  <c r="B391" i="3"/>
  <c r="A391" i="3"/>
  <c r="M390" i="3"/>
  <c r="K390" i="3"/>
  <c r="J390" i="3"/>
  <c r="G390" i="3"/>
  <c r="E390" i="3"/>
  <c r="C390" i="3"/>
  <c r="B390" i="3"/>
  <c r="A390" i="3"/>
  <c r="P389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A389" i="3"/>
  <c r="M388" i="3"/>
  <c r="K388" i="3"/>
  <c r="J388" i="3"/>
  <c r="G388" i="3"/>
  <c r="E388" i="3"/>
  <c r="C388" i="3"/>
  <c r="B388" i="3"/>
  <c r="A388" i="3"/>
  <c r="M387" i="3"/>
  <c r="K387" i="3"/>
  <c r="J387" i="3"/>
  <c r="G387" i="3"/>
  <c r="E387" i="3"/>
  <c r="C387" i="3"/>
  <c r="B387" i="3"/>
  <c r="A387" i="3"/>
  <c r="M386" i="3"/>
  <c r="K386" i="3"/>
  <c r="J386" i="3"/>
  <c r="G386" i="3"/>
  <c r="E386" i="3"/>
  <c r="C386" i="3"/>
  <c r="B386" i="3"/>
  <c r="A386" i="3"/>
  <c r="P385" i="3"/>
  <c r="O385" i="3"/>
  <c r="N385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A385" i="3"/>
  <c r="M384" i="3"/>
  <c r="K384" i="3"/>
  <c r="J384" i="3"/>
  <c r="G384" i="3"/>
  <c r="E384" i="3"/>
  <c r="C384" i="3"/>
  <c r="B384" i="3"/>
  <c r="A384" i="3"/>
  <c r="M383" i="3"/>
  <c r="L383" i="3"/>
  <c r="K383" i="3"/>
  <c r="J383" i="3"/>
  <c r="G383" i="3"/>
  <c r="E383" i="3"/>
  <c r="C383" i="3"/>
  <c r="B383" i="3"/>
  <c r="A383" i="3"/>
  <c r="M382" i="3"/>
  <c r="K382" i="3"/>
  <c r="J382" i="3"/>
  <c r="G382" i="3"/>
  <c r="E382" i="3"/>
  <c r="C382" i="3"/>
  <c r="B382" i="3"/>
  <c r="A382" i="3"/>
  <c r="O381" i="3"/>
  <c r="M381" i="3"/>
  <c r="K381" i="3"/>
  <c r="J381" i="3"/>
  <c r="G381" i="3"/>
  <c r="F381" i="3"/>
  <c r="E381" i="3"/>
  <c r="C381" i="3"/>
  <c r="B381" i="3"/>
  <c r="A381" i="3"/>
  <c r="M380" i="3"/>
  <c r="K380" i="3"/>
  <c r="J380" i="3"/>
  <c r="G380" i="3"/>
  <c r="E380" i="3"/>
  <c r="C380" i="3"/>
  <c r="B380" i="3"/>
  <c r="A380" i="3"/>
  <c r="M379" i="3"/>
  <c r="K379" i="3"/>
  <c r="J379" i="3"/>
  <c r="G379" i="3"/>
  <c r="E379" i="3"/>
  <c r="C379" i="3"/>
  <c r="B379" i="3"/>
  <c r="A379" i="3"/>
  <c r="M378" i="3"/>
  <c r="K378" i="3"/>
  <c r="J378" i="3"/>
  <c r="G378" i="3"/>
  <c r="E378" i="3"/>
  <c r="C378" i="3"/>
  <c r="B378" i="3"/>
  <c r="A378" i="3"/>
  <c r="P377" i="3"/>
  <c r="M377" i="3"/>
  <c r="L377" i="3"/>
  <c r="K377" i="3"/>
  <c r="J377" i="3"/>
  <c r="G377" i="3"/>
  <c r="E377" i="3"/>
  <c r="C377" i="3"/>
  <c r="B377" i="3"/>
  <c r="A377" i="3"/>
  <c r="P376" i="3"/>
  <c r="M376" i="3"/>
  <c r="K376" i="3"/>
  <c r="J376" i="3"/>
  <c r="G376" i="3"/>
  <c r="E376" i="3"/>
  <c r="C376" i="3"/>
  <c r="B376" i="3"/>
  <c r="A376" i="3"/>
  <c r="M375" i="3"/>
  <c r="K375" i="3"/>
  <c r="J375" i="3"/>
  <c r="G375" i="3"/>
  <c r="E375" i="3"/>
  <c r="C375" i="3"/>
  <c r="B375" i="3"/>
  <c r="A375" i="3"/>
  <c r="Q325" i="1"/>
  <c r="P325" i="1"/>
  <c r="P1196" i="3" s="1"/>
  <c r="O325" i="1"/>
  <c r="L325" i="1"/>
  <c r="L1196" i="3" s="1"/>
  <c r="N77" i="1"/>
  <c r="N958" i="3" s="1"/>
  <c r="I77" i="1"/>
  <c r="I958" i="3" s="1"/>
  <c r="Q324" i="1"/>
  <c r="P324" i="1"/>
  <c r="P1195" i="3" s="1"/>
  <c r="O324" i="1"/>
  <c r="L324" i="1"/>
  <c r="L1195" i="3" s="1"/>
  <c r="N76" i="1"/>
  <c r="N957" i="3" s="1"/>
  <c r="Q511" i="1"/>
  <c r="P511" i="1"/>
  <c r="O511" i="1"/>
  <c r="L511" i="1"/>
  <c r="Q501" i="1"/>
  <c r="P501" i="1"/>
  <c r="O501" i="1"/>
  <c r="Q502" i="1"/>
  <c r="P502" i="1"/>
  <c r="O502" i="1"/>
  <c r="L502" i="1"/>
  <c r="Q503" i="1"/>
  <c r="P503" i="1"/>
  <c r="O503" i="1"/>
  <c r="L503" i="1"/>
  <c r="Q504" i="1"/>
  <c r="P504" i="1"/>
  <c r="O504" i="1"/>
  <c r="L504" i="1"/>
  <c r="Q505" i="1"/>
  <c r="P505" i="1"/>
  <c r="O505" i="1"/>
  <c r="L505" i="1"/>
  <c r="Q506" i="1"/>
  <c r="P506" i="1"/>
  <c r="O506" i="1"/>
  <c r="L506" i="1"/>
  <c r="Q507" i="1"/>
  <c r="P507" i="1"/>
  <c r="O507" i="1"/>
  <c r="L507" i="1"/>
  <c r="Q508" i="1"/>
  <c r="P508" i="1"/>
  <c r="O508" i="1"/>
  <c r="L508" i="1"/>
  <c r="Q509" i="1"/>
  <c r="L509" i="1"/>
  <c r="H509" i="1"/>
  <c r="F509" i="1"/>
  <c r="Q900" i="1"/>
  <c r="P900" i="1"/>
  <c r="P375" i="3" s="1"/>
  <c r="O900" i="1"/>
  <c r="O375" i="3" s="1"/>
  <c r="L900" i="1"/>
  <c r="L375" i="3" s="1"/>
  <c r="H900" i="1"/>
  <c r="H375" i="3" s="1"/>
  <c r="Q901" i="1"/>
  <c r="P901" i="1"/>
  <c r="O901" i="1"/>
  <c r="O376" i="3" s="1"/>
  <c r="L901" i="1"/>
  <c r="L376" i="3" s="1"/>
  <c r="H901" i="1"/>
  <c r="H376" i="3" s="1"/>
  <c r="F901" i="1"/>
  <c r="F376" i="3" s="1"/>
  <c r="Q902" i="1"/>
  <c r="P902" i="1"/>
  <c r="O902" i="1"/>
  <c r="O377" i="3" s="1"/>
  <c r="L902" i="1"/>
  <c r="H902" i="1"/>
  <c r="H377" i="3" s="1"/>
  <c r="F902" i="1"/>
  <c r="F377" i="3" s="1"/>
  <c r="Q903" i="1"/>
  <c r="P903" i="1"/>
  <c r="P378" i="3" s="1"/>
  <c r="O903" i="1"/>
  <c r="O378" i="3" s="1"/>
  <c r="L903" i="1"/>
  <c r="L378" i="3" s="1"/>
  <c r="H903" i="1"/>
  <c r="H378" i="3" s="1"/>
  <c r="F903" i="1"/>
  <c r="F378" i="3" s="1"/>
  <c r="Q904" i="1"/>
  <c r="P904" i="1"/>
  <c r="P379" i="3" s="1"/>
  <c r="O904" i="1"/>
  <c r="O379" i="3" s="1"/>
  <c r="L904" i="1"/>
  <c r="L379" i="3" s="1"/>
  <c r="H904" i="1"/>
  <c r="H379" i="3" s="1"/>
  <c r="F904" i="1"/>
  <c r="F379" i="3" s="1"/>
  <c r="Q905" i="1"/>
  <c r="P905" i="1"/>
  <c r="P380" i="3" s="1"/>
  <c r="O905" i="1"/>
  <c r="O380" i="3" s="1"/>
  <c r="L905" i="1"/>
  <c r="L380" i="3" s="1"/>
  <c r="H905" i="1"/>
  <c r="H380" i="3" s="1"/>
  <c r="F905" i="1"/>
  <c r="F380" i="3" s="1"/>
  <c r="Q906" i="1"/>
  <c r="P906" i="1"/>
  <c r="P381" i="3" s="1"/>
  <c r="O906" i="1"/>
  <c r="L906" i="1"/>
  <c r="L381" i="3" s="1"/>
  <c r="H906" i="1"/>
  <c r="H381" i="3" s="1"/>
  <c r="F906" i="1"/>
  <c r="Q907" i="1"/>
  <c r="P907" i="1"/>
  <c r="P382" i="3" s="1"/>
  <c r="O907" i="1"/>
  <c r="O382" i="3" s="1"/>
  <c r="L907" i="1"/>
  <c r="L382" i="3" s="1"/>
  <c r="H907" i="1"/>
  <c r="H382" i="3" s="1"/>
  <c r="F907" i="1"/>
  <c r="F382" i="3" s="1"/>
  <c r="Q908" i="1"/>
  <c r="L908" i="1"/>
  <c r="H908" i="1"/>
  <c r="H383" i="3" s="1"/>
  <c r="F908" i="1"/>
  <c r="F383" i="3" s="1"/>
  <c r="P908" i="1"/>
  <c r="P383" i="3" s="1"/>
  <c r="N260" i="1"/>
  <c r="I260" i="1" s="1"/>
  <c r="D260" i="1" s="1"/>
  <c r="H508" i="1" s="1"/>
  <c r="N259" i="1"/>
  <c r="I259" i="1" s="1"/>
  <c r="D259" i="1" s="1"/>
  <c r="H507" i="1" s="1"/>
  <c r="N258" i="1"/>
  <c r="I258" i="1" s="1"/>
  <c r="D258" i="1" s="1"/>
  <c r="H506" i="1" s="1"/>
  <c r="N257" i="1"/>
  <c r="I257" i="1" s="1"/>
  <c r="D257" i="1" s="1"/>
  <c r="F505" i="1" s="1"/>
  <c r="N256" i="1"/>
  <c r="I256" i="1" s="1"/>
  <c r="D256" i="1" s="1"/>
  <c r="H504" i="1" s="1"/>
  <c r="N255" i="1"/>
  <c r="I255" i="1" s="1"/>
  <c r="D255" i="1" s="1"/>
  <c r="H503" i="1" s="1"/>
  <c r="F900" i="1"/>
  <c r="F375" i="3" s="1"/>
  <c r="N254" i="1"/>
  <c r="I254" i="1" s="1"/>
  <c r="D254" i="1" s="1"/>
  <c r="F502" i="1" s="1"/>
  <c r="N253" i="1"/>
  <c r="I253" i="1" s="1"/>
  <c r="I1124" i="3" s="1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A64" i="3"/>
  <c r="W1293" i="1"/>
  <c r="W1292" i="1"/>
  <c r="N1128" i="3" l="1"/>
  <c r="D77" i="1"/>
  <c r="D958" i="3" s="1"/>
  <c r="I1126" i="3"/>
  <c r="N1127" i="3"/>
  <c r="I1130" i="3"/>
  <c r="N1131" i="3"/>
  <c r="I1125" i="3"/>
  <c r="N1126" i="3"/>
  <c r="I1129" i="3"/>
  <c r="N1130" i="3"/>
  <c r="I76" i="1"/>
  <c r="I957" i="3" s="1"/>
  <c r="N1125" i="3"/>
  <c r="I1128" i="3"/>
  <c r="N1129" i="3"/>
  <c r="D1131" i="3"/>
  <c r="D1130" i="3"/>
  <c r="D1129" i="3"/>
  <c r="D1128" i="3"/>
  <c r="D1127" i="3"/>
  <c r="D1126" i="3"/>
  <c r="D1125" i="3"/>
  <c r="H325" i="1"/>
  <c r="F325" i="1"/>
  <c r="F1196" i="3" s="1"/>
  <c r="N325" i="1"/>
  <c r="O1196" i="3"/>
  <c r="N324" i="1"/>
  <c r="O1195" i="3"/>
  <c r="D109" i="15"/>
  <c r="F109" i="15"/>
  <c r="N109" i="15"/>
  <c r="B109" i="15"/>
  <c r="J109" i="15"/>
  <c r="H109" i="15"/>
  <c r="D76" i="1"/>
  <c r="N505" i="1"/>
  <c r="F504" i="1"/>
  <c r="F503" i="1"/>
  <c r="N502" i="1"/>
  <c r="I506" i="1"/>
  <c r="N504" i="1"/>
  <c r="I507" i="1"/>
  <c r="N503" i="1"/>
  <c r="H502" i="1"/>
  <c r="N501" i="1"/>
  <c r="N511" i="1"/>
  <c r="F508" i="1"/>
  <c r="N508" i="1"/>
  <c r="F507" i="1"/>
  <c r="N507" i="1"/>
  <c r="F506" i="1"/>
  <c r="N506" i="1"/>
  <c r="H505" i="1"/>
  <c r="I503" i="1"/>
  <c r="D503" i="1" s="1"/>
  <c r="I502" i="1"/>
  <c r="I508" i="1"/>
  <c r="I505" i="1"/>
  <c r="I504" i="1"/>
  <c r="N905" i="1"/>
  <c r="N903" i="1"/>
  <c r="N901" i="1"/>
  <c r="N261" i="1"/>
  <c r="N904" i="1"/>
  <c r="O908" i="1"/>
  <c r="O383" i="3" s="1"/>
  <c r="N906" i="1"/>
  <c r="N907" i="1"/>
  <c r="N902" i="1"/>
  <c r="N900" i="1"/>
  <c r="D253" i="1"/>
  <c r="D1124" i="3" s="1"/>
  <c r="H37" i="1"/>
  <c r="I906" i="1" l="1"/>
  <c r="N381" i="3"/>
  <c r="I900" i="1"/>
  <c r="N375" i="3"/>
  <c r="I901" i="1"/>
  <c r="N376" i="3"/>
  <c r="I902" i="1"/>
  <c r="N377" i="3"/>
  <c r="I904" i="1"/>
  <c r="N379" i="3"/>
  <c r="I905" i="1"/>
  <c r="N380" i="3"/>
  <c r="I903" i="1"/>
  <c r="N378" i="3"/>
  <c r="I907" i="1"/>
  <c r="N382" i="3"/>
  <c r="I261" i="1"/>
  <c r="I1132" i="3" s="1"/>
  <c r="N1132" i="3"/>
  <c r="D504" i="1"/>
  <c r="D900" i="1"/>
  <c r="D375" i="3" s="1"/>
  <c r="I375" i="3"/>
  <c r="H1196" i="3"/>
  <c r="I325" i="1"/>
  <c r="I1196" i="3" s="1"/>
  <c r="N1196" i="3"/>
  <c r="I324" i="1"/>
  <c r="I1195" i="3" s="1"/>
  <c r="N1195" i="3"/>
  <c r="D957" i="3"/>
  <c r="F324" i="1"/>
  <c r="F1195" i="3" s="1"/>
  <c r="H324" i="1"/>
  <c r="L109" i="15"/>
  <c r="P109" i="15"/>
  <c r="D502" i="1"/>
  <c r="D506" i="1"/>
  <c r="D508" i="1"/>
  <c r="D505" i="1"/>
  <c r="L501" i="1"/>
  <c r="H501" i="1"/>
  <c r="F501" i="1"/>
  <c r="D507" i="1"/>
  <c r="I501" i="1"/>
  <c r="N908" i="1"/>
  <c r="AA924" i="1"/>
  <c r="T924" i="1" s="1"/>
  <c r="D907" i="1" l="1"/>
  <c r="D382" i="3" s="1"/>
  <c r="I382" i="3"/>
  <c r="D905" i="1"/>
  <c r="D380" i="3" s="1"/>
  <c r="I380" i="3"/>
  <c r="D902" i="1"/>
  <c r="D377" i="3" s="1"/>
  <c r="I377" i="3"/>
  <c r="D903" i="1"/>
  <c r="D378" i="3" s="1"/>
  <c r="I378" i="3"/>
  <c r="D904" i="1"/>
  <c r="D379" i="3" s="1"/>
  <c r="I379" i="3"/>
  <c r="D901" i="1"/>
  <c r="D376" i="3" s="1"/>
  <c r="I376" i="3"/>
  <c r="D906" i="1"/>
  <c r="D381" i="3" s="1"/>
  <c r="I381" i="3"/>
  <c r="D261" i="1"/>
  <c r="D1132" i="3" s="1"/>
  <c r="I908" i="1"/>
  <c r="N383" i="3"/>
  <c r="D325" i="1"/>
  <c r="D1196" i="3" s="1"/>
  <c r="D324" i="1"/>
  <c r="D1195" i="3" s="1"/>
  <c r="H1195" i="3"/>
  <c r="D501" i="1"/>
  <c r="P509" i="1" l="1"/>
  <c r="I509" i="1"/>
  <c r="D509" i="1" s="1"/>
  <c r="O509" i="1"/>
  <c r="D908" i="1"/>
  <c r="D383" i="3" s="1"/>
  <c r="I383" i="3"/>
  <c r="K13" i="8"/>
  <c r="N509" i="1" l="1"/>
  <c r="M753" i="3" l="1"/>
  <c r="K753" i="3"/>
  <c r="J753" i="3"/>
  <c r="G753" i="3"/>
  <c r="E753" i="3"/>
  <c r="C753" i="3"/>
  <c r="B753" i="3"/>
  <c r="A753" i="3"/>
  <c r="Q465" i="1"/>
  <c r="W618" i="1" l="1"/>
  <c r="H17" i="16"/>
  <c r="W615" i="1" s="1"/>
  <c r="L57" i="14"/>
  <c r="C57" i="14"/>
  <c r="J54" i="14" l="1"/>
  <c r="J57" i="14" s="1"/>
  <c r="I54" i="14"/>
  <c r="I57" i="14" s="1"/>
  <c r="F57" i="14"/>
  <c r="J48" i="14"/>
  <c r="I48" i="14"/>
  <c r="J47" i="14"/>
  <c r="I47" i="14"/>
  <c r="J46" i="14"/>
  <c r="I46" i="14"/>
  <c r="J45" i="14"/>
  <c r="I45" i="14"/>
  <c r="J44" i="14"/>
  <c r="I44" i="14"/>
  <c r="J43" i="14"/>
  <c r="I43" i="14"/>
  <c r="J42" i="14"/>
  <c r="I42" i="14"/>
  <c r="J41" i="14"/>
  <c r="I41" i="14"/>
  <c r="J40" i="14"/>
  <c r="I40" i="14"/>
  <c r="J39" i="14"/>
  <c r="I39" i="14"/>
  <c r="J38" i="14"/>
  <c r="I38" i="14"/>
  <c r="J37" i="14"/>
  <c r="I37" i="14"/>
  <c r="J36" i="14"/>
  <c r="J49" i="14" s="1"/>
  <c r="I36" i="14"/>
  <c r="I49" i="14" s="1"/>
  <c r="J33" i="14"/>
  <c r="I33" i="14"/>
  <c r="J32" i="14"/>
  <c r="J34" i="14" s="1"/>
  <c r="I32" i="14"/>
  <c r="I34" i="14" s="1"/>
  <c r="J28" i="14"/>
  <c r="I28" i="14"/>
  <c r="J27" i="14"/>
  <c r="I27" i="14"/>
  <c r="J26" i="14"/>
  <c r="I26" i="14"/>
  <c r="J25" i="14"/>
  <c r="I25" i="14"/>
  <c r="J24" i="14"/>
  <c r="I24" i="14"/>
  <c r="J22" i="14"/>
  <c r="I22" i="14"/>
  <c r="J21" i="14"/>
  <c r="I21" i="14"/>
  <c r="J20" i="14"/>
  <c r="I20" i="14"/>
  <c r="J19" i="14"/>
  <c r="I19" i="14"/>
  <c r="J18" i="14"/>
  <c r="I18" i="14"/>
  <c r="J17" i="14"/>
  <c r="I17" i="14"/>
  <c r="J16" i="14"/>
  <c r="I16" i="14"/>
  <c r="J15" i="14"/>
  <c r="I15" i="14"/>
  <c r="J14" i="14"/>
  <c r="I14" i="14"/>
  <c r="J13" i="14"/>
  <c r="I13" i="14"/>
  <c r="J12" i="14"/>
  <c r="I12" i="14"/>
  <c r="J11" i="14"/>
  <c r="I11" i="14"/>
  <c r="J10" i="14"/>
  <c r="I10" i="14"/>
  <c r="J30" i="14" l="1"/>
  <c r="J51" i="14" s="1"/>
  <c r="I30" i="14"/>
  <c r="I51" i="14" s="1"/>
  <c r="T1174" i="1" l="1"/>
  <c r="T1168" i="1"/>
  <c r="T1161" i="1"/>
  <c r="Y1034" i="1" l="1"/>
  <c r="Y1005" i="1"/>
  <c r="AA1087" i="1"/>
  <c r="Z1087" i="1"/>
  <c r="Y1090" i="1" l="1"/>
  <c r="AB1087" i="1"/>
  <c r="X986" i="1"/>
  <c r="W1337" i="1"/>
  <c r="W1328" i="1"/>
  <c r="W1364" i="1"/>
  <c r="W1361" i="1"/>
  <c r="W1387" i="1"/>
  <c r="W1386" i="1"/>
  <c r="W1381" i="1"/>
  <c r="W1375" i="1"/>
  <c r="W1413" i="1"/>
  <c r="W1411" i="1"/>
  <c r="W1066" i="1"/>
  <c r="W1064" i="1"/>
  <c r="W1063" i="1"/>
  <c r="W1038" i="1"/>
  <c r="W1037" i="1"/>
  <c r="W1032" i="1"/>
  <c r="W1025" i="1"/>
  <c r="W1013" i="1"/>
  <c r="W1011" i="1"/>
  <c r="W1010" i="1"/>
  <c r="W1009" i="1"/>
  <c r="W1003" i="1"/>
  <c r="W961" i="1"/>
  <c r="W959" i="1"/>
  <c r="W958" i="1"/>
  <c r="W957" i="1"/>
  <c r="F87" i="12"/>
  <c r="F86" i="12"/>
  <c r="F85" i="12"/>
  <c r="W1088" i="1" s="1"/>
  <c r="F83" i="12"/>
  <c r="F82" i="12"/>
  <c r="F81" i="12"/>
  <c r="W1086" i="1" s="1"/>
  <c r="F80" i="12"/>
  <c r="F79" i="12"/>
  <c r="F78" i="12"/>
  <c r="W1081" i="1" s="1"/>
  <c r="F77" i="12"/>
  <c r="W1080" i="1" s="1"/>
  <c r="F76" i="12"/>
  <c r="W1072" i="1" s="1"/>
  <c r="F75" i="12"/>
  <c r="W1079" i="1" s="1"/>
  <c r="F74" i="12"/>
  <c r="W1078" i="1" s="1"/>
  <c r="F73" i="12"/>
  <c r="W1077" i="1" s="1"/>
  <c r="F72" i="12"/>
  <c r="W1076" i="1" s="1"/>
  <c r="F71" i="12"/>
  <c r="W1065" i="1" s="1"/>
  <c r="F70" i="12"/>
  <c r="W1059" i="1" s="1"/>
  <c r="F69" i="12"/>
  <c r="W1058" i="1" s="1"/>
  <c r="F68" i="12"/>
  <c r="W1057" i="1" s="1"/>
  <c r="F67" i="12"/>
  <c r="W1056" i="1" s="1"/>
  <c r="F66" i="12"/>
  <c r="W1052" i="1" s="1"/>
  <c r="F65" i="12"/>
  <c r="W1051" i="1" s="1"/>
  <c r="F64" i="12"/>
  <c r="W1050" i="1" s="1"/>
  <c r="F63" i="12"/>
  <c r="W1049" i="1" s="1"/>
  <c r="F62" i="12"/>
  <c r="W1048" i="1" s="1"/>
  <c r="F61" i="12"/>
  <c r="W1039" i="1" s="1"/>
  <c r="F60" i="12"/>
  <c r="W1036" i="1" s="1"/>
  <c r="F59" i="12"/>
  <c r="W1035" i="1" s="1"/>
  <c r="F58" i="12"/>
  <c r="W1034" i="1" s="1"/>
  <c r="T1034" i="1" s="1"/>
  <c r="F57" i="12"/>
  <c r="W1033" i="1" s="1"/>
  <c r="F56" i="12"/>
  <c r="W1031" i="1" s="1"/>
  <c r="F55" i="12"/>
  <c r="W1029" i="1" s="1"/>
  <c r="F54" i="12"/>
  <c r="W1028" i="1" s="1"/>
  <c r="F53" i="12"/>
  <c r="W1027" i="1" s="1"/>
  <c r="F52" i="12"/>
  <c r="W1026" i="1" s="1"/>
  <c r="F50" i="12"/>
  <c r="W1024" i="1" s="1"/>
  <c r="F49" i="12"/>
  <c r="W1023" i="1" s="1"/>
  <c r="F48" i="12"/>
  <c r="W1022" i="1" s="1"/>
  <c r="F47" i="12"/>
  <c r="W1021" i="1" s="1"/>
  <c r="F46" i="12"/>
  <c r="W1020" i="1" s="1"/>
  <c r="F45" i="12"/>
  <c r="W1007" i="1" s="1"/>
  <c r="T1007" i="1" s="1"/>
  <c r="F44" i="12"/>
  <c r="W1014" i="1" s="1"/>
  <c r="F43" i="12"/>
  <c r="W1012" i="1" s="1"/>
  <c r="T1012" i="1" s="1"/>
  <c r="F42" i="12"/>
  <c r="F41" i="12"/>
  <c r="W1006" i="1" s="1"/>
  <c r="F40" i="12"/>
  <c r="W1005" i="1" s="1"/>
  <c r="F39" i="12"/>
  <c r="W1004" i="1" s="1"/>
  <c r="F38" i="12"/>
  <c r="W1002" i="1" s="1"/>
  <c r="F37" i="12"/>
  <c r="W1001" i="1" s="1"/>
  <c r="F36" i="12"/>
  <c r="W1000" i="1" s="1"/>
  <c r="F35" i="12"/>
  <c r="W999" i="1" s="1"/>
  <c r="F34" i="12"/>
  <c r="W992" i="1" s="1"/>
  <c r="F33" i="12"/>
  <c r="W991" i="1" s="1"/>
  <c r="F32" i="12"/>
  <c r="W986" i="1" s="1"/>
  <c r="F31" i="12"/>
  <c r="W981" i="1" s="1"/>
  <c r="F30" i="12"/>
  <c r="W980" i="1" s="1"/>
  <c r="F29" i="12"/>
  <c r="W979" i="1" s="1"/>
  <c r="F28" i="12"/>
  <c r="W978" i="1" s="1"/>
  <c r="F27" i="12"/>
  <c r="F26" i="12"/>
  <c r="F25" i="12"/>
  <c r="W975" i="1" s="1"/>
  <c r="F24" i="12"/>
  <c r="W974" i="1" s="1"/>
  <c r="F23" i="12"/>
  <c r="W973" i="1" s="1"/>
  <c r="F22" i="12"/>
  <c r="W967" i="1" s="1"/>
  <c r="F21" i="12"/>
  <c r="W966" i="1" s="1"/>
  <c r="F20" i="12"/>
  <c r="W965" i="1" s="1"/>
  <c r="F19" i="12"/>
  <c r="W964" i="1" s="1"/>
  <c r="F18" i="12"/>
  <c r="W963" i="1" s="1"/>
  <c r="F17" i="12"/>
  <c r="W960" i="1" s="1"/>
  <c r="F16" i="12"/>
  <c r="W956" i="1" s="1"/>
  <c r="F15" i="12"/>
  <c r="W950" i="1" s="1"/>
  <c r="T950" i="1" s="1"/>
  <c r="F14" i="12"/>
  <c r="W949" i="1" s="1"/>
  <c r="T949" i="1" s="1"/>
  <c r="F13" i="12"/>
  <c r="W948" i="1" s="1"/>
  <c r="T948" i="1" s="1"/>
  <c r="F12" i="12"/>
  <c r="W947" i="1" s="1"/>
  <c r="T947" i="1" s="1"/>
  <c r="F11" i="12"/>
  <c r="W946" i="1" s="1"/>
  <c r="T946" i="1" s="1"/>
  <c r="F10" i="12"/>
  <c r="F9" i="12"/>
  <c r="F8" i="12"/>
  <c r="W943" i="1" s="1"/>
  <c r="T943" i="1" s="1"/>
  <c r="F7" i="12"/>
  <c r="W942" i="1" s="1"/>
  <c r="T942" i="1" s="1"/>
  <c r="F5" i="12"/>
  <c r="W941" i="1" s="1"/>
  <c r="T941" i="1" s="1"/>
  <c r="F4" i="12"/>
  <c r="W939" i="1" s="1"/>
  <c r="F3" i="12"/>
  <c r="W938" i="1" s="1"/>
  <c r="T618" i="1"/>
  <c r="W1087" i="1" l="1"/>
  <c r="Y1087" i="1"/>
  <c r="W1089" i="1"/>
  <c r="W976" i="1"/>
  <c r="W944" i="1"/>
  <c r="T944" i="1" s="1"/>
  <c r="T619" i="1"/>
  <c r="T615" i="1"/>
  <c r="AC1087" i="1" l="1"/>
  <c r="AD1087" i="1" s="1"/>
  <c r="T595" i="1"/>
  <c r="T747" i="1"/>
  <c r="T741" i="1"/>
  <c r="T736" i="1"/>
  <c r="T749" i="1" l="1"/>
  <c r="Q17" i="11" l="1"/>
  <c r="J17" i="11" s="1"/>
  <c r="Q18" i="11"/>
  <c r="J18" i="11" s="1"/>
  <c r="Q19" i="11"/>
  <c r="J19" i="11" s="1"/>
  <c r="D580" i="1" l="1"/>
  <c r="D56" i="3" s="1"/>
  <c r="X829" i="1"/>
  <c r="D15" i="19"/>
  <c r="F15" i="19" s="1"/>
  <c r="D36" i="19" s="1"/>
  <c r="B35" i="11" s="1"/>
  <c r="X831" i="1" s="1"/>
  <c r="F11" i="19"/>
  <c r="D27" i="19"/>
  <c r="T1129" i="1"/>
  <c r="T1128" i="1"/>
  <c r="T1123" i="1"/>
  <c r="T1122" i="1"/>
  <c r="Q915" i="1"/>
  <c r="P915" i="1"/>
  <c r="P390" i="3" s="1"/>
  <c r="O915" i="1"/>
  <c r="O390" i="3" s="1"/>
  <c r="L915" i="1"/>
  <c r="L390" i="3" s="1"/>
  <c r="H915" i="1"/>
  <c r="H390" i="3" s="1"/>
  <c r="F915" i="1"/>
  <c r="F390" i="3" s="1"/>
  <c r="N263" i="1"/>
  <c r="T671" i="1"/>
  <c r="L1093" i="1"/>
  <c r="L564" i="3" s="1"/>
  <c r="F1093" i="1"/>
  <c r="F564" i="3" s="1"/>
  <c r="G1" i="12"/>
  <c r="M158" i="3"/>
  <c r="K158" i="3"/>
  <c r="J158" i="3"/>
  <c r="G158" i="3"/>
  <c r="E158" i="3"/>
  <c r="C158" i="3"/>
  <c r="B158" i="3"/>
  <c r="A158" i="3"/>
  <c r="N1298" i="1"/>
  <c r="N769" i="3" s="1"/>
  <c r="Q359" i="1"/>
  <c r="L359" i="1"/>
  <c r="L1230" i="3" s="1"/>
  <c r="N111" i="1"/>
  <c r="I111" i="1" s="1"/>
  <c r="D111" i="1" s="1"/>
  <c r="D992" i="3" s="1"/>
  <c r="Y1216" i="1"/>
  <c r="T1216" i="1" s="1"/>
  <c r="D1216" i="1" s="1"/>
  <c r="Y1218" i="1"/>
  <c r="D1217" i="1" s="1"/>
  <c r="L68" i="1"/>
  <c r="L949" i="3" s="1"/>
  <c r="AD1096" i="1"/>
  <c r="T1096" i="1" s="1"/>
  <c r="C4" i="5"/>
  <c r="P21" i="11"/>
  <c r="P22" i="11" s="1"/>
  <c r="T841" i="1" s="1"/>
  <c r="O21" i="11"/>
  <c r="O22" i="11" s="1"/>
  <c r="N21" i="11"/>
  <c r="N22" i="11" s="1"/>
  <c r="L21" i="11"/>
  <c r="L22" i="11" s="1"/>
  <c r="T848" i="1" s="1"/>
  <c r="H21" i="11"/>
  <c r="H22" i="11" s="1"/>
  <c r="T829" i="1" s="1"/>
  <c r="F21" i="11"/>
  <c r="F22" i="11" s="1"/>
  <c r="T835" i="1" s="1"/>
  <c r="D21" i="11"/>
  <c r="D22" i="11" s="1"/>
  <c r="X840" i="1"/>
  <c r="G20" i="12"/>
  <c r="K29" i="8"/>
  <c r="K22" i="8"/>
  <c r="H18" i="16"/>
  <c r="G52" i="16"/>
  <c r="F52" i="16"/>
  <c r="E52" i="16"/>
  <c r="D52" i="16"/>
  <c r="G43" i="16"/>
  <c r="F43" i="16"/>
  <c r="E43" i="16"/>
  <c r="D43" i="16"/>
  <c r="G30" i="16"/>
  <c r="F30" i="16"/>
  <c r="E30" i="16"/>
  <c r="D30" i="16"/>
  <c r="G19" i="16"/>
  <c r="F19" i="16"/>
  <c r="E19" i="16"/>
  <c r="D19" i="16"/>
  <c r="G11" i="16"/>
  <c r="F11" i="16"/>
  <c r="E11" i="16"/>
  <c r="D11" i="16"/>
  <c r="D889" i="1"/>
  <c r="D891" i="1"/>
  <c r="Q580" i="1"/>
  <c r="P580" i="1"/>
  <c r="P56" i="3" s="1"/>
  <c r="O580" i="1"/>
  <c r="O56" i="3" s="1"/>
  <c r="L580" i="1"/>
  <c r="L56" i="3" s="1"/>
  <c r="H319" i="3"/>
  <c r="T668" i="1"/>
  <c r="T669" i="1"/>
  <c r="T670" i="1"/>
  <c r="H69" i="1"/>
  <c r="H950" i="3" s="1"/>
  <c r="T819" i="1"/>
  <c r="H290" i="1"/>
  <c r="H1161" i="3" s="1"/>
  <c r="H291" i="1"/>
  <c r="H1162" i="3" s="1"/>
  <c r="H292" i="1"/>
  <c r="H1163" i="3" s="1"/>
  <c r="H293" i="1"/>
  <c r="H1164" i="3" s="1"/>
  <c r="H294" i="1"/>
  <c r="H1165" i="3" s="1"/>
  <c r="H295" i="1"/>
  <c r="H1166" i="3" s="1"/>
  <c r="H296" i="1"/>
  <c r="H1167" i="3" s="1"/>
  <c r="H297" i="1"/>
  <c r="H1168" i="3" s="1"/>
  <c r="H340" i="1"/>
  <c r="H1211" i="3" s="1"/>
  <c r="H341" i="1"/>
  <c r="H1212" i="3" s="1"/>
  <c r="H342" i="1"/>
  <c r="H1213" i="3" s="1"/>
  <c r="H343" i="1"/>
  <c r="H1214" i="3" s="1"/>
  <c r="H298" i="1"/>
  <c r="H1169" i="3" s="1"/>
  <c r="T820" i="1"/>
  <c r="H315" i="1"/>
  <c r="H1186" i="3" s="1"/>
  <c r="F351" i="1"/>
  <c r="F1222" i="3" s="1"/>
  <c r="F315" i="1"/>
  <c r="F1186" i="3" s="1"/>
  <c r="L342" i="1"/>
  <c r="L1213" i="3" s="1"/>
  <c r="L351" i="1"/>
  <c r="L1222" i="3" s="1"/>
  <c r="O342" i="1"/>
  <c r="O351" i="1"/>
  <c r="O315" i="1"/>
  <c r="O1186" i="3" s="1"/>
  <c r="P342" i="1"/>
  <c r="P1213" i="3" s="1"/>
  <c r="P351" i="1"/>
  <c r="P1222" i="3" s="1"/>
  <c r="P315" i="1"/>
  <c r="P1186" i="3" s="1"/>
  <c r="Q342" i="1"/>
  <c r="Q351" i="1"/>
  <c r="Q315" i="1"/>
  <c r="H307" i="1"/>
  <c r="H1178" i="3" s="1"/>
  <c r="H308" i="1"/>
  <c r="H1179" i="3" s="1"/>
  <c r="H309" i="1"/>
  <c r="H1180" i="3" s="1"/>
  <c r="F299" i="1"/>
  <c r="F1170" i="3" s="1"/>
  <c r="F300" i="1"/>
  <c r="F1171" i="3" s="1"/>
  <c r="F301" i="1"/>
  <c r="F1172" i="3" s="1"/>
  <c r="F307" i="1"/>
  <c r="F1178" i="3" s="1"/>
  <c r="F308" i="1"/>
  <c r="F1179" i="3" s="1"/>
  <c r="F309" i="1"/>
  <c r="F1180" i="3" s="1"/>
  <c r="L290" i="1"/>
  <c r="L1161" i="3" s="1"/>
  <c r="L291" i="1"/>
  <c r="L1162" i="3" s="1"/>
  <c r="L292" i="1"/>
  <c r="L1163" i="3" s="1"/>
  <c r="L299" i="1"/>
  <c r="L1170" i="3" s="1"/>
  <c r="L300" i="1"/>
  <c r="L1171" i="3" s="1"/>
  <c r="L301" i="1"/>
  <c r="L1172" i="3" s="1"/>
  <c r="O299" i="1"/>
  <c r="O1170" i="3" s="1"/>
  <c r="O300" i="1"/>
  <c r="O1171" i="3" s="1"/>
  <c r="O301" i="1"/>
  <c r="O1172" i="3" s="1"/>
  <c r="O307" i="1"/>
  <c r="O1178" i="3" s="1"/>
  <c r="O308" i="1"/>
  <c r="O1179" i="3" s="1"/>
  <c r="O309" i="1"/>
  <c r="O1180" i="3" s="1"/>
  <c r="P290" i="1"/>
  <c r="P1161" i="3" s="1"/>
  <c r="P291" i="1"/>
  <c r="P1162" i="3" s="1"/>
  <c r="P292" i="1"/>
  <c r="P1163" i="3" s="1"/>
  <c r="P299" i="1"/>
  <c r="P1170" i="3" s="1"/>
  <c r="P300" i="1"/>
  <c r="P1171" i="3" s="1"/>
  <c r="P301" i="1"/>
  <c r="P1172" i="3" s="1"/>
  <c r="P307" i="1"/>
  <c r="P308" i="1"/>
  <c r="P1179" i="3" s="1"/>
  <c r="P309" i="1"/>
  <c r="P1180" i="3" s="1"/>
  <c r="Q290" i="1"/>
  <c r="Q291" i="1"/>
  <c r="Q292" i="1"/>
  <c r="Q299" i="1"/>
  <c r="Q300" i="1"/>
  <c r="Q301" i="1"/>
  <c r="Q307" i="1"/>
  <c r="Q308" i="1"/>
  <c r="Q309" i="1"/>
  <c r="H310" i="1"/>
  <c r="H1181" i="3" s="1"/>
  <c r="H311" i="1"/>
  <c r="H1182" i="3" s="1"/>
  <c r="H312" i="1"/>
  <c r="H1183" i="3" s="1"/>
  <c r="H313" i="1"/>
  <c r="H1184" i="3" s="1"/>
  <c r="H314" i="1"/>
  <c r="H1185" i="3" s="1"/>
  <c r="F303" i="1"/>
  <c r="F1174" i="3" s="1"/>
  <c r="F304" i="1"/>
  <c r="F1175" i="3" s="1"/>
  <c r="F310" i="1"/>
  <c r="F1181" i="3" s="1"/>
  <c r="F311" i="1"/>
  <c r="F1182" i="3" s="1"/>
  <c r="L293" i="1"/>
  <c r="L1164" i="3" s="1"/>
  <c r="L294" i="1"/>
  <c r="L1165" i="3" s="1"/>
  <c r="L303" i="1"/>
  <c r="L1174" i="3" s="1"/>
  <c r="L304" i="1"/>
  <c r="L1175" i="3" s="1"/>
  <c r="O293" i="1"/>
  <c r="O1164" i="3" s="1"/>
  <c r="O294" i="1"/>
  <c r="O1165" i="3" s="1"/>
  <c r="O303" i="1"/>
  <c r="O1174" i="3" s="1"/>
  <c r="O304" i="1"/>
  <c r="O1175" i="3" s="1"/>
  <c r="O310" i="1"/>
  <c r="O1181" i="3" s="1"/>
  <c r="O311" i="1"/>
  <c r="O1182" i="3" s="1"/>
  <c r="P293" i="1"/>
  <c r="P1164" i="3" s="1"/>
  <c r="P294" i="1"/>
  <c r="P1165" i="3" s="1"/>
  <c r="P303" i="1"/>
  <c r="P1174" i="3" s="1"/>
  <c r="P304" i="1"/>
  <c r="P1175" i="3" s="1"/>
  <c r="P310" i="1"/>
  <c r="P1181" i="3" s="1"/>
  <c r="P311" i="1"/>
  <c r="P1182" i="3" s="1"/>
  <c r="Q293" i="1"/>
  <c r="Q294" i="1"/>
  <c r="Q303" i="1"/>
  <c r="Q304" i="1"/>
  <c r="Q310" i="1"/>
  <c r="Q311" i="1"/>
  <c r="F352" i="1"/>
  <c r="F1223" i="3" s="1"/>
  <c r="L343" i="1"/>
  <c r="L1214" i="3" s="1"/>
  <c r="L352" i="1"/>
  <c r="L1223" i="3" s="1"/>
  <c r="O343" i="1"/>
  <c r="O352" i="1"/>
  <c r="O1223" i="3" s="1"/>
  <c r="P343" i="1"/>
  <c r="P1214" i="3" s="1"/>
  <c r="P352" i="1"/>
  <c r="P1223" i="3" s="1"/>
  <c r="Q343" i="1"/>
  <c r="Q352" i="1"/>
  <c r="F305" i="1"/>
  <c r="F1176" i="3" s="1"/>
  <c r="L295" i="1"/>
  <c r="L1166" i="3" s="1"/>
  <c r="L296" i="1"/>
  <c r="L1167" i="3" s="1"/>
  <c r="L305" i="1"/>
  <c r="L1176" i="3" s="1"/>
  <c r="O295" i="1"/>
  <c r="O1166" i="3" s="1"/>
  <c r="O296" i="1"/>
  <c r="O1167" i="3" s="1"/>
  <c r="O305" i="1"/>
  <c r="P295" i="1"/>
  <c r="P1166" i="3" s="1"/>
  <c r="P296" i="1"/>
  <c r="P1167" i="3" s="1"/>
  <c r="P305" i="1"/>
  <c r="P1176" i="3" s="1"/>
  <c r="Q295" i="1"/>
  <c r="Q296" i="1"/>
  <c r="Q305" i="1"/>
  <c r="F350" i="1"/>
  <c r="F1221" i="3" s="1"/>
  <c r="F314" i="1"/>
  <c r="F1185" i="3" s="1"/>
  <c r="L341" i="1"/>
  <c r="L1212" i="3" s="1"/>
  <c r="L350" i="1"/>
  <c r="L1221" i="3" s="1"/>
  <c r="O350" i="1"/>
  <c r="O314" i="1"/>
  <c r="O1185" i="3" s="1"/>
  <c r="P350" i="1"/>
  <c r="P1221" i="3" s="1"/>
  <c r="P314" i="1"/>
  <c r="P1185" i="3" s="1"/>
  <c r="Q341" i="1"/>
  <c r="Q350" i="1"/>
  <c r="Q314" i="1"/>
  <c r="F306" i="1"/>
  <c r="F1177" i="3" s="1"/>
  <c r="F312" i="1"/>
  <c r="F1183" i="3" s="1"/>
  <c r="L297" i="1"/>
  <c r="L1168" i="3" s="1"/>
  <c r="L306" i="1"/>
  <c r="L1177" i="3" s="1"/>
  <c r="O297" i="1"/>
  <c r="O1168" i="3" s="1"/>
  <c r="O306" i="1"/>
  <c r="O1177" i="3" s="1"/>
  <c r="O312" i="1"/>
  <c r="O1183" i="3" s="1"/>
  <c r="P297" i="1"/>
  <c r="P1168" i="3" s="1"/>
  <c r="P306" i="1"/>
  <c r="P1177" i="3" s="1"/>
  <c r="P312" i="1"/>
  <c r="P1183" i="3" s="1"/>
  <c r="Q297" i="1"/>
  <c r="Q306" i="1"/>
  <c r="Q312" i="1"/>
  <c r="F349" i="1"/>
  <c r="F1220" i="3" s="1"/>
  <c r="L349" i="1"/>
  <c r="L1220" i="3" s="1"/>
  <c r="O349" i="1"/>
  <c r="O1220" i="3" s="1"/>
  <c r="P349" i="1"/>
  <c r="P1220" i="3" s="1"/>
  <c r="Q349" i="1"/>
  <c r="T814" i="1"/>
  <c r="F313" i="1"/>
  <c r="F1184" i="3" s="1"/>
  <c r="L340" i="1"/>
  <c r="L1211" i="3" s="1"/>
  <c r="L298" i="1"/>
  <c r="L1169" i="3" s="1"/>
  <c r="O313" i="1"/>
  <c r="O1184" i="3" s="1"/>
  <c r="O340" i="1"/>
  <c r="O1211" i="3" s="1"/>
  <c r="O298" i="1"/>
  <c r="O1169" i="3" s="1"/>
  <c r="P313" i="1"/>
  <c r="P1184" i="3" s="1"/>
  <c r="P340" i="1"/>
  <c r="P1211" i="3" s="1"/>
  <c r="P298" i="1"/>
  <c r="P1169" i="3" s="1"/>
  <c r="Q313" i="1"/>
  <c r="Q340" i="1"/>
  <c r="Q298" i="1"/>
  <c r="T823" i="1"/>
  <c r="T793" i="1"/>
  <c r="T834" i="1"/>
  <c r="F317" i="1"/>
  <c r="F1188" i="3" s="1"/>
  <c r="L317" i="1"/>
  <c r="L1188" i="3" s="1"/>
  <c r="O317" i="1"/>
  <c r="O1188" i="3" s="1"/>
  <c r="P317" i="1"/>
  <c r="P1188" i="3" s="1"/>
  <c r="Q317" i="1"/>
  <c r="M741" i="3"/>
  <c r="K741" i="3"/>
  <c r="J741" i="3"/>
  <c r="G741" i="3"/>
  <c r="E741" i="3"/>
  <c r="C741" i="3"/>
  <c r="B741" i="3"/>
  <c r="A741" i="3"/>
  <c r="M745" i="3"/>
  <c r="K745" i="3"/>
  <c r="J745" i="3"/>
  <c r="G745" i="3"/>
  <c r="E745" i="3"/>
  <c r="C745" i="3"/>
  <c r="B745" i="3"/>
  <c r="A745" i="3"/>
  <c r="F12" i="1"/>
  <c r="L321" i="1"/>
  <c r="L1192" i="3" s="1"/>
  <c r="L35" i="1"/>
  <c r="L916" i="3" s="1"/>
  <c r="F35" i="1"/>
  <c r="F916" i="3" s="1"/>
  <c r="H35" i="1"/>
  <c r="H38" i="1" s="1"/>
  <c r="H919" i="3" s="1"/>
  <c r="O35" i="1"/>
  <c r="O916" i="3" s="1"/>
  <c r="P35" i="1"/>
  <c r="P916" i="3" s="1"/>
  <c r="Q35" i="1"/>
  <c r="Q283" i="1" s="1"/>
  <c r="L388" i="1"/>
  <c r="L1259" i="3" s="1"/>
  <c r="L398" i="1"/>
  <c r="L1269" i="3" s="1"/>
  <c r="L322" i="1"/>
  <c r="L1193" i="3" s="1"/>
  <c r="L323" i="1"/>
  <c r="L1194" i="3" s="1"/>
  <c r="N28" i="1"/>
  <c r="I28" i="1" s="1"/>
  <c r="I909" i="3" s="1"/>
  <c r="N85" i="1"/>
  <c r="I85" i="1" s="1"/>
  <c r="D85" i="1" s="1"/>
  <c r="H333" i="1" s="1"/>
  <c r="H6" i="16"/>
  <c r="W601" i="1" s="1"/>
  <c r="H7" i="16"/>
  <c r="H8" i="16"/>
  <c r="W603" i="1" s="1"/>
  <c r="H9" i="16"/>
  <c r="W604" i="1" s="1"/>
  <c r="H10" i="16"/>
  <c r="W605" i="1" s="1"/>
  <c r="L277" i="1"/>
  <c r="L1148" i="3" s="1"/>
  <c r="L280" i="1"/>
  <c r="L1151" i="3" s="1"/>
  <c r="F277" i="1"/>
  <c r="F1148" i="3" s="1"/>
  <c r="F280" i="1"/>
  <c r="F1151" i="3" s="1"/>
  <c r="H29" i="1"/>
  <c r="H910" i="3" s="1"/>
  <c r="O29" i="1"/>
  <c r="O38" i="1" s="1"/>
  <c r="O919" i="3" s="1"/>
  <c r="P29" i="1"/>
  <c r="P38" i="1" s="1"/>
  <c r="P919" i="3" s="1"/>
  <c r="Q29" i="1"/>
  <c r="Q277" i="1" s="1"/>
  <c r="H280" i="1"/>
  <c r="H1151" i="3" s="1"/>
  <c r="O32" i="1"/>
  <c r="O913" i="3" s="1"/>
  <c r="P32" i="1"/>
  <c r="P913" i="3" s="1"/>
  <c r="Q32" i="1"/>
  <c r="Q276" i="1"/>
  <c r="L416" i="1"/>
  <c r="L1286" i="3" s="1"/>
  <c r="H16" i="16"/>
  <c r="W614" i="1" s="1"/>
  <c r="H24" i="16"/>
  <c r="H25" i="16"/>
  <c r="H26" i="16"/>
  <c r="H27" i="16"/>
  <c r="H28" i="16"/>
  <c r="H29" i="16"/>
  <c r="W631" i="1" s="1"/>
  <c r="T988" i="1"/>
  <c r="H35" i="16"/>
  <c r="W643" i="1" s="1"/>
  <c r="H36" i="16"/>
  <c r="W644" i="1" s="1"/>
  <c r="H37" i="16"/>
  <c r="W645" i="1" s="1"/>
  <c r="H38" i="16"/>
  <c r="H39" i="16"/>
  <c r="W647" i="1" s="1"/>
  <c r="H40" i="16"/>
  <c r="W648" i="1" s="1"/>
  <c r="H41" i="16"/>
  <c r="W649" i="1" s="1"/>
  <c r="H42" i="16"/>
  <c r="W650" i="1" s="1"/>
  <c r="L286" i="1"/>
  <c r="L1157" i="3" s="1"/>
  <c r="L287" i="1"/>
  <c r="L1158" i="3" s="1"/>
  <c r="L284" i="1"/>
  <c r="L1155" i="3" s="1"/>
  <c r="H48" i="16"/>
  <c r="X658" i="1" s="1"/>
  <c r="H49" i="16"/>
  <c r="H50" i="16"/>
  <c r="X661" i="1" s="1"/>
  <c r="H51" i="16"/>
  <c r="X662" i="1" s="1"/>
  <c r="L33" i="1"/>
  <c r="L914" i="3" s="1"/>
  <c r="F33" i="1"/>
  <c r="F914" i="3" s="1"/>
  <c r="O33" i="1"/>
  <c r="O914" i="3" s="1"/>
  <c r="P33" i="1"/>
  <c r="P914" i="3" s="1"/>
  <c r="Q33" i="1"/>
  <c r="Q281" i="1" s="1"/>
  <c r="F286" i="1"/>
  <c r="F1157" i="3" s="1"/>
  <c r="F287" i="1"/>
  <c r="F1158" i="3" s="1"/>
  <c r="F284" i="1"/>
  <c r="F1155" i="3" s="1"/>
  <c r="H287" i="1"/>
  <c r="H1158" i="3" s="1"/>
  <c r="N36" i="1"/>
  <c r="I36" i="1" s="1"/>
  <c r="I917" i="3" s="1"/>
  <c r="H281" i="1"/>
  <c r="H1152" i="3" s="1"/>
  <c r="O39" i="1"/>
  <c r="O920" i="3" s="1"/>
  <c r="P39" i="1"/>
  <c r="P920" i="3" s="1"/>
  <c r="Q39" i="1"/>
  <c r="Q287" i="1" s="1"/>
  <c r="O284" i="1"/>
  <c r="O1155" i="3" s="1"/>
  <c r="P284" i="1"/>
  <c r="P1155" i="3" s="1"/>
  <c r="Q284" i="1"/>
  <c r="N59" i="1"/>
  <c r="N940" i="3" s="1"/>
  <c r="N60" i="1"/>
  <c r="N941" i="3" s="1"/>
  <c r="N61" i="1"/>
  <c r="N942" i="3" s="1"/>
  <c r="N62" i="1"/>
  <c r="N943" i="3" s="1"/>
  <c r="N63" i="1"/>
  <c r="N944" i="3" s="1"/>
  <c r="N64" i="1"/>
  <c r="N945" i="3" s="1"/>
  <c r="N65" i="1"/>
  <c r="N946" i="3" s="1"/>
  <c r="N66" i="1"/>
  <c r="N947" i="3" s="1"/>
  <c r="N67" i="1"/>
  <c r="N948" i="3" s="1"/>
  <c r="L278" i="1"/>
  <c r="L1149" i="3" s="1"/>
  <c r="L279" i="1"/>
  <c r="L1150" i="3" s="1"/>
  <c r="F278" i="1"/>
  <c r="F1149" i="3" s="1"/>
  <c r="N42" i="1"/>
  <c r="I42" i="1" s="1"/>
  <c r="I923" i="3" s="1"/>
  <c r="N43" i="1"/>
  <c r="I43" i="1" s="1"/>
  <c r="I924" i="3" s="1"/>
  <c r="N44" i="1"/>
  <c r="I44" i="1" s="1"/>
  <c r="N45" i="1"/>
  <c r="I45" i="1" s="1"/>
  <c r="I926" i="3" s="1"/>
  <c r="N46" i="1"/>
  <c r="I46" i="1" s="1"/>
  <c r="I927" i="3" s="1"/>
  <c r="N47" i="1"/>
  <c r="I47" i="1" s="1"/>
  <c r="I928" i="3" s="1"/>
  <c r="N48" i="1"/>
  <c r="I48" i="1" s="1"/>
  <c r="I929" i="3" s="1"/>
  <c r="F31" i="1"/>
  <c r="F912" i="3" s="1"/>
  <c r="O31" i="1"/>
  <c r="O912" i="3" s="1"/>
  <c r="P31" i="1"/>
  <c r="P912" i="3" s="1"/>
  <c r="Q31" i="1"/>
  <c r="N49" i="1"/>
  <c r="I49" i="1" s="1"/>
  <c r="I930" i="3" s="1"/>
  <c r="N92" i="1"/>
  <c r="I92" i="1" s="1"/>
  <c r="I973" i="3" s="1"/>
  <c r="N93" i="1"/>
  <c r="I93" i="1" s="1"/>
  <c r="I974" i="3" s="1"/>
  <c r="N94" i="1"/>
  <c r="I94" i="1" s="1"/>
  <c r="I975" i="3" s="1"/>
  <c r="N95" i="1"/>
  <c r="I95" i="1" s="1"/>
  <c r="I976" i="3" s="1"/>
  <c r="N50" i="1"/>
  <c r="I50" i="1" s="1"/>
  <c r="N51" i="1"/>
  <c r="I51" i="1" s="1"/>
  <c r="I932" i="3" s="1"/>
  <c r="N52" i="1"/>
  <c r="I52" i="1" s="1"/>
  <c r="I933" i="3" s="1"/>
  <c r="N53" i="1"/>
  <c r="I53" i="1" s="1"/>
  <c r="N55" i="1"/>
  <c r="I55" i="1" s="1"/>
  <c r="I936" i="3" s="1"/>
  <c r="N56" i="1"/>
  <c r="I56" i="1" s="1"/>
  <c r="I937" i="3" s="1"/>
  <c r="N57" i="1"/>
  <c r="I57" i="1" s="1"/>
  <c r="I938" i="3" s="1"/>
  <c r="H30" i="1"/>
  <c r="H911" i="3" s="1"/>
  <c r="N30" i="1"/>
  <c r="I30" i="1" s="1"/>
  <c r="N58" i="1"/>
  <c r="I58" i="1" s="1"/>
  <c r="I939" i="3" s="1"/>
  <c r="N101" i="1"/>
  <c r="I101" i="1" s="1"/>
  <c r="I982" i="3" s="1"/>
  <c r="N102" i="1"/>
  <c r="I102" i="1" s="1"/>
  <c r="I983" i="3" s="1"/>
  <c r="N103" i="1"/>
  <c r="I103" i="1" s="1"/>
  <c r="I984" i="3" s="1"/>
  <c r="N104" i="1"/>
  <c r="I104" i="1" s="1"/>
  <c r="I985" i="3" s="1"/>
  <c r="H279" i="1"/>
  <c r="H1150" i="3" s="1"/>
  <c r="O278" i="1"/>
  <c r="O1149" i="3" s="1"/>
  <c r="P278" i="1"/>
  <c r="Q278" i="1"/>
  <c r="Q279" i="1"/>
  <c r="N98" i="1"/>
  <c r="I98" i="1" s="1"/>
  <c r="L99" i="1"/>
  <c r="L980" i="3" s="1"/>
  <c r="F99" i="1"/>
  <c r="F980" i="3" s="1"/>
  <c r="H99" i="1"/>
  <c r="H980" i="3" s="1"/>
  <c r="O99" i="1"/>
  <c r="O980" i="3" s="1"/>
  <c r="P99" i="1"/>
  <c r="P980" i="3" s="1"/>
  <c r="L100" i="1"/>
  <c r="L981" i="3" s="1"/>
  <c r="F100" i="1"/>
  <c r="F981" i="3" s="1"/>
  <c r="H100" i="1"/>
  <c r="H981" i="3" s="1"/>
  <c r="O100" i="1"/>
  <c r="O981" i="3" s="1"/>
  <c r="P100" i="1"/>
  <c r="P981" i="3" s="1"/>
  <c r="Q346" i="1"/>
  <c r="Q347" i="1"/>
  <c r="Q348" i="1"/>
  <c r="L353" i="1"/>
  <c r="L1224" i="3" s="1"/>
  <c r="N106" i="1"/>
  <c r="I106" i="1" s="1"/>
  <c r="N105" i="1"/>
  <c r="I105" i="1" s="1"/>
  <c r="H353" i="1"/>
  <c r="H1224" i="3" s="1"/>
  <c r="O353" i="1"/>
  <c r="O1224" i="3" s="1"/>
  <c r="O354" i="1"/>
  <c r="O1225" i="3" s="1"/>
  <c r="P353" i="1"/>
  <c r="P354" i="1"/>
  <c r="P1225" i="3" s="1"/>
  <c r="Q353" i="1"/>
  <c r="Q354" i="1"/>
  <c r="F107" i="1"/>
  <c r="F988" i="3" s="1"/>
  <c r="H107" i="1"/>
  <c r="H988" i="3" s="1"/>
  <c r="N107" i="1"/>
  <c r="N988" i="3" s="1"/>
  <c r="L108" i="1"/>
  <c r="L989" i="3" s="1"/>
  <c r="F108" i="1"/>
  <c r="F989" i="3" s="1"/>
  <c r="H108" i="1"/>
  <c r="H989" i="3" s="1"/>
  <c r="N108" i="1"/>
  <c r="N989" i="3" s="1"/>
  <c r="O355" i="1"/>
  <c r="O1226" i="3" s="1"/>
  <c r="O356" i="1"/>
  <c r="O1227" i="3" s="1"/>
  <c r="P355" i="1"/>
  <c r="P1226" i="3" s="1"/>
  <c r="P356" i="1"/>
  <c r="P1227" i="3" s="1"/>
  <c r="Q355" i="1"/>
  <c r="Q356" i="1"/>
  <c r="L369" i="1"/>
  <c r="L1240" i="3" s="1"/>
  <c r="Q124" i="1"/>
  <c r="Q371" i="1" s="1"/>
  <c r="N121" i="1"/>
  <c r="I121" i="1" s="1"/>
  <c r="I1002" i="3" s="1"/>
  <c r="H369" i="1"/>
  <c r="H1240" i="3" s="1"/>
  <c r="O369" i="1"/>
  <c r="P369" i="1"/>
  <c r="P1240" i="3" s="1"/>
  <c r="Q369" i="1"/>
  <c r="L461" i="1"/>
  <c r="L1331" i="3" s="1"/>
  <c r="L462" i="1"/>
  <c r="L1332" i="3" s="1"/>
  <c r="L463" i="1"/>
  <c r="L1333" i="3" s="1"/>
  <c r="L464" i="1"/>
  <c r="L1334" i="3" s="1"/>
  <c r="L417" i="1"/>
  <c r="L1287" i="3" s="1"/>
  <c r="L419" i="1"/>
  <c r="L1289" i="3" s="1"/>
  <c r="L86" i="1"/>
  <c r="L967" i="3" s="1"/>
  <c r="F86" i="1"/>
  <c r="F967" i="3" s="1"/>
  <c r="H86" i="1"/>
  <c r="H967" i="3" s="1"/>
  <c r="N86" i="1"/>
  <c r="N967" i="3" s="1"/>
  <c r="T1137" i="1"/>
  <c r="T1138" i="1"/>
  <c r="B30" i="5"/>
  <c r="T762" i="1" s="1"/>
  <c r="B31" i="5"/>
  <c r="T763" i="1" s="1"/>
  <c r="B23" i="5"/>
  <c r="C7" i="5" s="1"/>
  <c r="D7" i="5" s="1"/>
  <c r="B37" i="5"/>
  <c r="T768" i="1" s="1"/>
  <c r="B38" i="5"/>
  <c r="T769" i="1" s="1"/>
  <c r="B44" i="5"/>
  <c r="T774" i="1" s="1"/>
  <c r="B45" i="5"/>
  <c r="T775" i="1" s="1"/>
  <c r="B60" i="5"/>
  <c r="B61" i="5"/>
  <c r="N68" i="1"/>
  <c r="N949" i="3" s="1"/>
  <c r="F316" i="1"/>
  <c r="F1187" i="3" s="1"/>
  <c r="O316" i="1"/>
  <c r="O1187" i="3" s="1"/>
  <c r="P316" i="1"/>
  <c r="Q316" i="1"/>
  <c r="L327" i="1"/>
  <c r="F17" i="8"/>
  <c r="F18" i="8"/>
  <c r="F19" i="8"/>
  <c r="F32" i="8"/>
  <c r="H32" i="8" s="1"/>
  <c r="H33" i="8" s="1"/>
  <c r="F33" i="8"/>
  <c r="F34" i="8"/>
  <c r="F35" i="8"/>
  <c r="F36" i="8"/>
  <c r="F37" i="8"/>
  <c r="F38" i="8"/>
  <c r="F39" i="8"/>
  <c r="F40" i="8"/>
  <c r="F41" i="8"/>
  <c r="F42" i="8"/>
  <c r="F43" i="8"/>
  <c r="L318" i="1"/>
  <c r="L319" i="1"/>
  <c r="L1190" i="3" s="1"/>
  <c r="L344" i="1"/>
  <c r="L1215" i="3" s="1"/>
  <c r="L345" i="1"/>
  <c r="L1216" i="3" s="1"/>
  <c r="L328" i="1"/>
  <c r="F416" i="1"/>
  <c r="F1286" i="3" s="1"/>
  <c r="N213" i="1"/>
  <c r="I213" i="1" s="1"/>
  <c r="F462" i="1"/>
  <c r="F1332" i="3" s="1"/>
  <c r="F463" i="1"/>
  <c r="F1333" i="3" s="1"/>
  <c r="F464" i="1"/>
  <c r="F1334" i="3" s="1"/>
  <c r="N140" i="1"/>
  <c r="I140" i="1" s="1"/>
  <c r="I1021" i="3" s="1"/>
  <c r="F417" i="1"/>
  <c r="F1287" i="3" s="1"/>
  <c r="F419" i="1"/>
  <c r="F1289" i="3" s="1"/>
  <c r="F318" i="1"/>
  <c r="F1189" i="3" s="1"/>
  <c r="F319" i="1"/>
  <c r="F1190" i="3" s="1"/>
  <c r="N96" i="1"/>
  <c r="I96" i="1" s="1"/>
  <c r="N97" i="1"/>
  <c r="I97" i="1" s="1"/>
  <c r="F328" i="1"/>
  <c r="F1199" i="3" s="1"/>
  <c r="H388" i="1"/>
  <c r="H1259" i="3" s="1"/>
  <c r="N69" i="1"/>
  <c r="I69" i="1" s="1"/>
  <c r="I950" i="3" s="1"/>
  <c r="N70" i="1"/>
  <c r="I70" i="1" s="1"/>
  <c r="I951" i="3" s="1"/>
  <c r="N71" i="1"/>
  <c r="I71" i="1" s="1"/>
  <c r="I952" i="3" s="1"/>
  <c r="N80" i="1"/>
  <c r="I80" i="1" s="1"/>
  <c r="I961" i="3" s="1"/>
  <c r="O461" i="1"/>
  <c r="O462" i="1"/>
  <c r="O1332" i="3" s="1"/>
  <c r="O463" i="1"/>
  <c r="O1333" i="3" s="1"/>
  <c r="O388" i="1"/>
  <c r="O417" i="1"/>
  <c r="O419" i="1"/>
  <c r="O334" i="1"/>
  <c r="O1205" i="3" s="1"/>
  <c r="O318" i="1"/>
  <c r="O319" i="1"/>
  <c r="O344" i="1"/>
  <c r="O1215" i="3" s="1"/>
  <c r="O345" i="1"/>
  <c r="O1216" i="3" s="1"/>
  <c r="O328" i="1"/>
  <c r="P461" i="1"/>
  <c r="P1331" i="3" s="1"/>
  <c r="P462" i="1"/>
  <c r="P1332" i="3" s="1"/>
  <c r="P463" i="1"/>
  <c r="P1333" i="3" s="1"/>
  <c r="P388" i="1"/>
  <c r="P1259" i="3" s="1"/>
  <c r="P417" i="1"/>
  <c r="P1287" i="3" s="1"/>
  <c r="P419" i="1"/>
  <c r="P1289" i="3" s="1"/>
  <c r="P334" i="1"/>
  <c r="P1205" i="3" s="1"/>
  <c r="P318" i="1"/>
  <c r="P1189" i="3" s="1"/>
  <c r="P319" i="1"/>
  <c r="P1190" i="3" s="1"/>
  <c r="P344" i="1"/>
  <c r="P1215" i="3" s="1"/>
  <c r="P345" i="1"/>
  <c r="P1216" i="3" s="1"/>
  <c r="P328" i="1"/>
  <c r="P1199" i="3" s="1"/>
  <c r="Q333" i="1"/>
  <c r="Q461" i="1"/>
  <c r="Q462" i="1"/>
  <c r="Q463" i="1"/>
  <c r="Q464" i="1"/>
  <c r="Q388" i="1"/>
  <c r="Q417" i="1"/>
  <c r="Q419" i="1"/>
  <c r="Q334" i="1"/>
  <c r="Q318" i="1"/>
  <c r="Q319" i="1"/>
  <c r="Q344" i="1"/>
  <c r="Q345" i="1"/>
  <c r="Q328" i="1"/>
  <c r="L358" i="1"/>
  <c r="L1229" i="3" s="1"/>
  <c r="L1258" i="1"/>
  <c r="L729" i="3" s="1"/>
  <c r="H416" i="1"/>
  <c r="H1286" i="3" s="1"/>
  <c r="H461" i="1"/>
  <c r="H1331" i="3" s="1"/>
  <c r="N214" i="1"/>
  <c r="I214" i="1" s="1"/>
  <c r="H463" i="1"/>
  <c r="H1333" i="3" s="1"/>
  <c r="H464" i="1"/>
  <c r="H1334" i="3" s="1"/>
  <c r="N169" i="1"/>
  <c r="I169" i="1" s="1"/>
  <c r="I1050" i="3" s="1"/>
  <c r="N171" i="1"/>
  <c r="I171" i="1" s="1"/>
  <c r="D171" i="1" s="1"/>
  <c r="D1052" i="3" s="1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A207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206" i="3"/>
  <c r="Q358" i="1"/>
  <c r="P358" i="1"/>
  <c r="P1229" i="3" s="1"/>
  <c r="O358" i="1"/>
  <c r="O1229" i="3" s="1"/>
  <c r="N110" i="1"/>
  <c r="I110" i="1" s="1"/>
  <c r="I991" i="3" s="1"/>
  <c r="M742" i="3"/>
  <c r="K742" i="3"/>
  <c r="J742" i="3"/>
  <c r="G742" i="3"/>
  <c r="E742" i="3"/>
  <c r="C742" i="3"/>
  <c r="B742" i="3"/>
  <c r="A742" i="3"/>
  <c r="M740" i="3"/>
  <c r="K740" i="3"/>
  <c r="J740" i="3"/>
  <c r="G740" i="3"/>
  <c r="E740" i="3"/>
  <c r="C740" i="3"/>
  <c r="B740" i="3"/>
  <c r="A740" i="3"/>
  <c r="M739" i="3"/>
  <c r="K739" i="3"/>
  <c r="J739" i="3"/>
  <c r="G739" i="3"/>
  <c r="E739" i="3"/>
  <c r="C739" i="3"/>
  <c r="B739" i="3"/>
  <c r="A739" i="3"/>
  <c r="N73" i="1"/>
  <c r="I73" i="1" s="1"/>
  <c r="D73" i="1" s="1"/>
  <c r="N74" i="1"/>
  <c r="I74" i="1" s="1"/>
  <c r="I955" i="3" s="1"/>
  <c r="N75" i="1"/>
  <c r="I75" i="1" s="1"/>
  <c r="D75" i="1" s="1"/>
  <c r="F327" i="1"/>
  <c r="F1198" i="3" s="1"/>
  <c r="F1258" i="1"/>
  <c r="F729" i="3" s="1"/>
  <c r="O320" i="1"/>
  <c r="O1191" i="3" s="1"/>
  <c r="O321" i="1"/>
  <c r="O1192" i="3" s="1"/>
  <c r="O322" i="1"/>
  <c r="O1193" i="3" s="1"/>
  <c r="O323" i="1"/>
  <c r="O1194" i="3" s="1"/>
  <c r="O327" i="1"/>
  <c r="O1198" i="3" s="1"/>
  <c r="O1258" i="1"/>
  <c r="P320" i="1"/>
  <c r="P1191" i="3" s="1"/>
  <c r="P321" i="1"/>
  <c r="P1192" i="3" s="1"/>
  <c r="P322" i="1"/>
  <c r="P1193" i="3" s="1"/>
  <c r="P323" i="1"/>
  <c r="P1194" i="3" s="1"/>
  <c r="P327" i="1"/>
  <c r="P1198" i="3" s="1"/>
  <c r="P1258" i="1"/>
  <c r="P729" i="3" s="1"/>
  <c r="Q320" i="1"/>
  <c r="Q321" i="1"/>
  <c r="Q322" i="1"/>
  <c r="Q323" i="1"/>
  <c r="Q327" i="1"/>
  <c r="Q1258" i="1"/>
  <c r="N72" i="1"/>
  <c r="I72" i="1" s="1"/>
  <c r="H398" i="1"/>
  <c r="H1269" i="3" s="1"/>
  <c r="H322" i="1"/>
  <c r="H1193" i="3" s="1"/>
  <c r="H327" i="1"/>
  <c r="H1198" i="3" s="1"/>
  <c r="H1258" i="1"/>
  <c r="H729" i="3" s="1"/>
  <c r="F326" i="1"/>
  <c r="F1197" i="3" s="1"/>
  <c r="N78" i="1"/>
  <c r="I78" i="1" s="1"/>
  <c r="L326" i="1"/>
  <c r="L1197" i="3" s="1"/>
  <c r="O326" i="1"/>
  <c r="O1197" i="3" s="1"/>
  <c r="P326" i="1"/>
  <c r="Q326" i="1"/>
  <c r="Z1218" i="1"/>
  <c r="T1217" i="1" s="1"/>
  <c r="M56" i="3"/>
  <c r="G56" i="3"/>
  <c r="E56" i="3"/>
  <c r="C56" i="3"/>
  <c r="B56" i="3"/>
  <c r="A56" i="3"/>
  <c r="F357" i="1"/>
  <c r="H357" i="1"/>
  <c r="H1228" i="3" s="1"/>
  <c r="L357" i="1"/>
  <c r="L1228" i="3" s="1"/>
  <c r="O357" i="1"/>
  <c r="O1228" i="3" s="1"/>
  <c r="P357" i="1"/>
  <c r="Q357" i="1"/>
  <c r="M1186" i="3"/>
  <c r="K1186" i="3"/>
  <c r="J1186" i="3"/>
  <c r="G1186" i="3"/>
  <c r="E1186" i="3"/>
  <c r="C1186" i="3"/>
  <c r="B1186" i="3"/>
  <c r="A1186" i="3"/>
  <c r="M1185" i="3"/>
  <c r="K1185" i="3"/>
  <c r="J1185" i="3"/>
  <c r="G1185" i="3"/>
  <c r="E1185" i="3"/>
  <c r="C1185" i="3"/>
  <c r="B1185" i="3"/>
  <c r="A1185" i="3"/>
  <c r="M1184" i="3"/>
  <c r="K1184" i="3"/>
  <c r="J1184" i="3"/>
  <c r="G1184" i="3"/>
  <c r="E1184" i="3"/>
  <c r="C1184" i="3"/>
  <c r="B1184" i="3"/>
  <c r="A1184" i="3"/>
  <c r="M1183" i="3"/>
  <c r="K1183" i="3"/>
  <c r="J1183" i="3"/>
  <c r="G1183" i="3"/>
  <c r="E1183" i="3"/>
  <c r="C1183" i="3"/>
  <c r="B1183" i="3"/>
  <c r="A1183" i="3"/>
  <c r="M1182" i="3"/>
  <c r="K1182" i="3"/>
  <c r="J1182" i="3"/>
  <c r="G1182" i="3"/>
  <c r="E1182" i="3"/>
  <c r="C1182" i="3"/>
  <c r="B1182" i="3"/>
  <c r="A1182" i="3"/>
  <c r="M1181" i="3"/>
  <c r="K1181" i="3"/>
  <c r="J1181" i="3"/>
  <c r="G1181" i="3"/>
  <c r="E1181" i="3"/>
  <c r="C1181" i="3"/>
  <c r="B1181" i="3"/>
  <c r="A1181" i="3"/>
  <c r="M1180" i="3"/>
  <c r="K1180" i="3"/>
  <c r="J1180" i="3"/>
  <c r="G1180" i="3"/>
  <c r="E1180" i="3"/>
  <c r="C1180" i="3"/>
  <c r="B1180" i="3"/>
  <c r="A1180" i="3"/>
  <c r="M1179" i="3"/>
  <c r="K1179" i="3"/>
  <c r="J1179" i="3"/>
  <c r="G1179" i="3"/>
  <c r="E1179" i="3"/>
  <c r="C1179" i="3"/>
  <c r="B1179" i="3"/>
  <c r="A1179" i="3"/>
  <c r="M1175" i="3"/>
  <c r="K1175" i="3"/>
  <c r="J1175" i="3"/>
  <c r="G1175" i="3"/>
  <c r="E1175" i="3"/>
  <c r="C1175" i="3"/>
  <c r="B1175" i="3"/>
  <c r="A1175" i="3"/>
  <c r="M1172" i="3"/>
  <c r="K1172" i="3"/>
  <c r="J1172" i="3"/>
  <c r="G1172" i="3"/>
  <c r="E1172" i="3"/>
  <c r="C1172" i="3"/>
  <c r="B1172" i="3"/>
  <c r="A1172" i="3"/>
  <c r="M1171" i="3"/>
  <c r="K1171" i="3"/>
  <c r="J1171" i="3"/>
  <c r="G1171" i="3"/>
  <c r="E1171" i="3"/>
  <c r="C1171" i="3"/>
  <c r="B1171" i="3"/>
  <c r="A1171" i="3"/>
  <c r="M1169" i="3"/>
  <c r="K1169" i="3"/>
  <c r="J1169" i="3"/>
  <c r="G1169" i="3"/>
  <c r="E1169" i="3"/>
  <c r="C1169" i="3"/>
  <c r="B1169" i="3"/>
  <c r="A1169" i="3"/>
  <c r="M1167" i="3"/>
  <c r="K1167" i="3"/>
  <c r="J1167" i="3"/>
  <c r="G1167" i="3"/>
  <c r="E1167" i="3"/>
  <c r="C1167" i="3"/>
  <c r="B1167" i="3"/>
  <c r="A1167" i="3"/>
  <c r="M1165" i="3"/>
  <c r="K1165" i="3"/>
  <c r="J1165" i="3"/>
  <c r="G1165" i="3"/>
  <c r="E1165" i="3"/>
  <c r="C1165" i="3"/>
  <c r="B1165" i="3"/>
  <c r="A1165" i="3"/>
  <c r="M1164" i="3"/>
  <c r="K1164" i="3"/>
  <c r="J1164" i="3"/>
  <c r="G1164" i="3"/>
  <c r="E1164" i="3"/>
  <c r="C1164" i="3"/>
  <c r="B1164" i="3"/>
  <c r="A1164" i="3"/>
  <c r="M1163" i="3"/>
  <c r="K1163" i="3"/>
  <c r="J1163" i="3"/>
  <c r="G1163" i="3"/>
  <c r="E1163" i="3"/>
  <c r="C1163" i="3"/>
  <c r="B1163" i="3"/>
  <c r="A1163" i="3"/>
  <c r="M1162" i="3"/>
  <c r="K1162" i="3"/>
  <c r="J1162" i="3"/>
  <c r="G1162" i="3"/>
  <c r="E1162" i="3"/>
  <c r="C1162" i="3"/>
  <c r="B1162" i="3"/>
  <c r="A1162" i="3"/>
  <c r="P948" i="3"/>
  <c r="O948" i="3"/>
  <c r="M948" i="3"/>
  <c r="K948" i="3"/>
  <c r="J948" i="3"/>
  <c r="H948" i="3"/>
  <c r="G948" i="3"/>
  <c r="F948" i="3"/>
  <c r="E948" i="3"/>
  <c r="C948" i="3"/>
  <c r="B948" i="3"/>
  <c r="A948" i="3"/>
  <c r="P947" i="3"/>
  <c r="O947" i="3"/>
  <c r="M947" i="3"/>
  <c r="K947" i="3"/>
  <c r="J947" i="3"/>
  <c r="H947" i="3"/>
  <c r="G947" i="3"/>
  <c r="F947" i="3"/>
  <c r="E947" i="3"/>
  <c r="C947" i="3"/>
  <c r="B947" i="3"/>
  <c r="A947" i="3"/>
  <c r="P946" i="3"/>
  <c r="O946" i="3"/>
  <c r="M946" i="3"/>
  <c r="K946" i="3"/>
  <c r="J946" i="3"/>
  <c r="H946" i="3"/>
  <c r="G946" i="3"/>
  <c r="F946" i="3"/>
  <c r="E946" i="3"/>
  <c r="C946" i="3"/>
  <c r="B946" i="3"/>
  <c r="A946" i="3"/>
  <c r="P945" i="3"/>
  <c r="O945" i="3"/>
  <c r="M945" i="3"/>
  <c r="K945" i="3"/>
  <c r="J945" i="3"/>
  <c r="H945" i="3"/>
  <c r="G945" i="3"/>
  <c r="F945" i="3"/>
  <c r="E945" i="3"/>
  <c r="C945" i="3"/>
  <c r="B945" i="3"/>
  <c r="A945" i="3"/>
  <c r="P944" i="3"/>
  <c r="O944" i="3"/>
  <c r="M944" i="3"/>
  <c r="K944" i="3"/>
  <c r="J944" i="3"/>
  <c r="H944" i="3"/>
  <c r="G944" i="3"/>
  <c r="F944" i="3"/>
  <c r="E944" i="3"/>
  <c r="C944" i="3"/>
  <c r="B944" i="3"/>
  <c r="A944" i="3"/>
  <c r="P943" i="3"/>
  <c r="O943" i="3"/>
  <c r="M943" i="3"/>
  <c r="K943" i="3"/>
  <c r="J943" i="3"/>
  <c r="H943" i="3"/>
  <c r="G943" i="3"/>
  <c r="F943" i="3"/>
  <c r="E943" i="3"/>
  <c r="C943" i="3"/>
  <c r="B943" i="3"/>
  <c r="A943" i="3"/>
  <c r="P942" i="3"/>
  <c r="O942" i="3"/>
  <c r="M942" i="3"/>
  <c r="K942" i="3"/>
  <c r="J942" i="3"/>
  <c r="H942" i="3"/>
  <c r="G942" i="3"/>
  <c r="F942" i="3"/>
  <c r="E942" i="3"/>
  <c r="C942" i="3"/>
  <c r="B942" i="3"/>
  <c r="A942" i="3"/>
  <c r="P941" i="3"/>
  <c r="O941" i="3"/>
  <c r="M941" i="3"/>
  <c r="K941" i="3"/>
  <c r="J941" i="3"/>
  <c r="H941" i="3"/>
  <c r="G941" i="3"/>
  <c r="F941" i="3"/>
  <c r="E941" i="3"/>
  <c r="C941" i="3"/>
  <c r="B941" i="3"/>
  <c r="A941" i="3"/>
  <c r="P937" i="3"/>
  <c r="O937" i="3"/>
  <c r="M937" i="3"/>
  <c r="L937" i="3"/>
  <c r="K937" i="3"/>
  <c r="J937" i="3"/>
  <c r="G937" i="3"/>
  <c r="F937" i="3"/>
  <c r="E937" i="3"/>
  <c r="C937" i="3"/>
  <c r="B937" i="3"/>
  <c r="A937" i="3"/>
  <c r="P934" i="3"/>
  <c r="O934" i="3"/>
  <c r="M934" i="3"/>
  <c r="L934" i="3"/>
  <c r="K934" i="3"/>
  <c r="J934" i="3"/>
  <c r="G934" i="3"/>
  <c r="F934" i="3"/>
  <c r="E934" i="3"/>
  <c r="C934" i="3"/>
  <c r="B934" i="3"/>
  <c r="A934" i="3"/>
  <c r="P933" i="3"/>
  <c r="O933" i="3"/>
  <c r="M933" i="3"/>
  <c r="L933" i="3"/>
  <c r="K933" i="3"/>
  <c r="J933" i="3"/>
  <c r="G933" i="3"/>
  <c r="F933" i="3"/>
  <c r="E933" i="3"/>
  <c r="C933" i="3"/>
  <c r="B933" i="3"/>
  <c r="A933" i="3"/>
  <c r="P931" i="3"/>
  <c r="O931" i="3"/>
  <c r="M931" i="3"/>
  <c r="L931" i="3"/>
  <c r="K931" i="3"/>
  <c r="J931" i="3"/>
  <c r="H931" i="3"/>
  <c r="G931" i="3"/>
  <c r="E931" i="3"/>
  <c r="C931" i="3"/>
  <c r="B931" i="3"/>
  <c r="A931" i="3"/>
  <c r="P929" i="3"/>
  <c r="O929" i="3"/>
  <c r="M929" i="3"/>
  <c r="L929" i="3"/>
  <c r="K929" i="3"/>
  <c r="J929" i="3"/>
  <c r="H929" i="3"/>
  <c r="G929" i="3"/>
  <c r="E929" i="3"/>
  <c r="C929" i="3"/>
  <c r="B929" i="3"/>
  <c r="A929" i="3"/>
  <c r="P927" i="3"/>
  <c r="O927" i="3"/>
  <c r="M927" i="3"/>
  <c r="L927" i="3"/>
  <c r="K927" i="3"/>
  <c r="J927" i="3"/>
  <c r="H927" i="3"/>
  <c r="G927" i="3"/>
  <c r="E927" i="3"/>
  <c r="C927" i="3"/>
  <c r="B927" i="3"/>
  <c r="A927" i="3"/>
  <c r="P926" i="3"/>
  <c r="O926" i="3"/>
  <c r="M926" i="3"/>
  <c r="L926" i="3"/>
  <c r="K926" i="3"/>
  <c r="J926" i="3"/>
  <c r="H926" i="3"/>
  <c r="G926" i="3"/>
  <c r="E926" i="3"/>
  <c r="C926" i="3"/>
  <c r="B926" i="3"/>
  <c r="A926" i="3"/>
  <c r="P925" i="3"/>
  <c r="O925" i="3"/>
  <c r="M925" i="3"/>
  <c r="L925" i="3"/>
  <c r="K925" i="3"/>
  <c r="J925" i="3"/>
  <c r="H925" i="3"/>
  <c r="G925" i="3"/>
  <c r="E925" i="3"/>
  <c r="C925" i="3"/>
  <c r="B925" i="3"/>
  <c r="A925" i="3"/>
  <c r="P924" i="3"/>
  <c r="O924" i="3"/>
  <c r="M924" i="3"/>
  <c r="L924" i="3"/>
  <c r="K924" i="3"/>
  <c r="J924" i="3"/>
  <c r="H924" i="3"/>
  <c r="G924" i="3"/>
  <c r="E924" i="3"/>
  <c r="C924" i="3"/>
  <c r="B924" i="3"/>
  <c r="A924" i="3"/>
  <c r="M55" i="3"/>
  <c r="G55" i="3"/>
  <c r="E55" i="3"/>
  <c r="C55" i="3"/>
  <c r="B55" i="3"/>
  <c r="A55" i="3"/>
  <c r="M54" i="3"/>
  <c r="G54" i="3"/>
  <c r="E54" i="3"/>
  <c r="C54" i="3"/>
  <c r="B54" i="3"/>
  <c r="A54" i="3"/>
  <c r="M688" i="3"/>
  <c r="K688" i="3"/>
  <c r="J688" i="3"/>
  <c r="G688" i="3"/>
  <c r="E688" i="3"/>
  <c r="C688" i="3"/>
  <c r="B688" i="3"/>
  <c r="A688" i="3"/>
  <c r="M687" i="3"/>
  <c r="K687" i="3"/>
  <c r="J687" i="3"/>
  <c r="G687" i="3"/>
  <c r="E687" i="3"/>
  <c r="C687" i="3"/>
  <c r="B687" i="3"/>
  <c r="A687" i="3"/>
  <c r="M228" i="3"/>
  <c r="K228" i="3"/>
  <c r="J228" i="3"/>
  <c r="G228" i="3"/>
  <c r="E228" i="3"/>
  <c r="C228" i="3"/>
  <c r="B228" i="3"/>
  <c r="A228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A227" i="3"/>
  <c r="M226" i="3"/>
  <c r="K226" i="3"/>
  <c r="J226" i="3"/>
  <c r="G226" i="3"/>
  <c r="E226" i="3"/>
  <c r="C226" i="3"/>
  <c r="B226" i="3"/>
  <c r="A226" i="3"/>
  <c r="M225" i="3"/>
  <c r="K225" i="3"/>
  <c r="J225" i="3"/>
  <c r="G225" i="3"/>
  <c r="E225" i="3"/>
  <c r="C225" i="3"/>
  <c r="B225" i="3"/>
  <c r="A225" i="3"/>
  <c r="M224" i="3"/>
  <c r="K224" i="3"/>
  <c r="J224" i="3"/>
  <c r="G224" i="3"/>
  <c r="E224" i="3"/>
  <c r="C224" i="3"/>
  <c r="B224" i="3"/>
  <c r="A224" i="3"/>
  <c r="M223" i="3"/>
  <c r="K223" i="3"/>
  <c r="J223" i="3"/>
  <c r="G223" i="3"/>
  <c r="E223" i="3"/>
  <c r="C223" i="3"/>
  <c r="B223" i="3"/>
  <c r="A223" i="3"/>
  <c r="M222" i="3"/>
  <c r="K222" i="3"/>
  <c r="J222" i="3"/>
  <c r="G222" i="3"/>
  <c r="E222" i="3"/>
  <c r="C222" i="3"/>
  <c r="B222" i="3"/>
  <c r="A222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221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A220" i="3"/>
  <c r="M219" i="3"/>
  <c r="K219" i="3"/>
  <c r="J219" i="3"/>
  <c r="G219" i="3"/>
  <c r="E219" i="3"/>
  <c r="C219" i="3"/>
  <c r="B219" i="3"/>
  <c r="A219" i="3"/>
  <c r="M218" i="3"/>
  <c r="K218" i="3"/>
  <c r="J218" i="3"/>
  <c r="G218" i="3"/>
  <c r="E218" i="3"/>
  <c r="C218" i="3"/>
  <c r="B218" i="3"/>
  <c r="A218" i="3"/>
  <c r="M217" i="3"/>
  <c r="K217" i="3"/>
  <c r="J217" i="3"/>
  <c r="G217" i="3"/>
  <c r="E217" i="3"/>
  <c r="C217" i="3"/>
  <c r="B217" i="3"/>
  <c r="A217" i="3"/>
  <c r="M216" i="3"/>
  <c r="K216" i="3"/>
  <c r="J216" i="3"/>
  <c r="G216" i="3"/>
  <c r="E216" i="3"/>
  <c r="C216" i="3"/>
  <c r="B216" i="3"/>
  <c r="A216" i="3"/>
  <c r="M215" i="3"/>
  <c r="K215" i="3"/>
  <c r="J215" i="3"/>
  <c r="G215" i="3"/>
  <c r="E215" i="3"/>
  <c r="C215" i="3"/>
  <c r="B215" i="3"/>
  <c r="A215" i="3"/>
  <c r="M214" i="3"/>
  <c r="K214" i="3"/>
  <c r="J214" i="3"/>
  <c r="G214" i="3"/>
  <c r="E214" i="3"/>
  <c r="C214" i="3"/>
  <c r="B214" i="3"/>
  <c r="A214" i="3"/>
  <c r="M213" i="3"/>
  <c r="K213" i="3"/>
  <c r="J213" i="3"/>
  <c r="G213" i="3"/>
  <c r="E213" i="3"/>
  <c r="C213" i="3"/>
  <c r="B213" i="3"/>
  <c r="A213" i="3"/>
  <c r="M212" i="3"/>
  <c r="K212" i="3"/>
  <c r="J212" i="3"/>
  <c r="G212" i="3"/>
  <c r="E212" i="3"/>
  <c r="C212" i="3"/>
  <c r="B212" i="3"/>
  <c r="A212" i="3"/>
  <c r="M211" i="3"/>
  <c r="K211" i="3"/>
  <c r="J211" i="3"/>
  <c r="G211" i="3"/>
  <c r="E211" i="3"/>
  <c r="C211" i="3"/>
  <c r="B211" i="3"/>
  <c r="A211" i="3"/>
  <c r="M210" i="3"/>
  <c r="K210" i="3"/>
  <c r="J210" i="3"/>
  <c r="G210" i="3"/>
  <c r="E210" i="3"/>
  <c r="C210" i="3"/>
  <c r="B210" i="3"/>
  <c r="A210" i="3"/>
  <c r="M209" i="3"/>
  <c r="K209" i="3"/>
  <c r="J209" i="3"/>
  <c r="G209" i="3"/>
  <c r="E209" i="3"/>
  <c r="C209" i="3"/>
  <c r="B209" i="3"/>
  <c r="A209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A208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205" i="3"/>
  <c r="M204" i="3"/>
  <c r="K204" i="3"/>
  <c r="J204" i="3"/>
  <c r="G204" i="3"/>
  <c r="E204" i="3"/>
  <c r="C204" i="3"/>
  <c r="B204" i="3"/>
  <c r="A204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A203" i="3"/>
  <c r="M202" i="3"/>
  <c r="K202" i="3"/>
  <c r="J202" i="3"/>
  <c r="G202" i="3"/>
  <c r="E202" i="3"/>
  <c r="C202" i="3"/>
  <c r="B202" i="3"/>
  <c r="A202" i="3"/>
  <c r="M201" i="3"/>
  <c r="K201" i="3"/>
  <c r="J201" i="3"/>
  <c r="G201" i="3"/>
  <c r="E201" i="3"/>
  <c r="C201" i="3"/>
  <c r="B201" i="3"/>
  <c r="A201" i="3"/>
  <c r="M200" i="3"/>
  <c r="K200" i="3"/>
  <c r="J200" i="3"/>
  <c r="G200" i="3"/>
  <c r="E200" i="3"/>
  <c r="C200" i="3"/>
  <c r="B200" i="3"/>
  <c r="A200" i="3"/>
  <c r="M199" i="3"/>
  <c r="K199" i="3"/>
  <c r="J199" i="3"/>
  <c r="G199" i="3"/>
  <c r="E199" i="3"/>
  <c r="C199" i="3"/>
  <c r="B199" i="3"/>
  <c r="A199" i="3"/>
  <c r="M198" i="3"/>
  <c r="K198" i="3"/>
  <c r="J198" i="3"/>
  <c r="G198" i="3"/>
  <c r="E198" i="3"/>
  <c r="C198" i="3"/>
  <c r="B198" i="3"/>
  <c r="A198" i="3"/>
  <c r="M197" i="3"/>
  <c r="K197" i="3"/>
  <c r="J197" i="3"/>
  <c r="G197" i="3"/>
  <c r="E197" i="3"/>
  <c r="C197" i="3"/>
  <c r="B197" i="3"/>
  <c r="A197" i="3"/>
  <c r="M196" i="3"/>
  <c r="K196" i="3"/>
  <c r="J196" i="3"/>
  <c r="G196" i="3"/>
  <c r="E196" i="3"/>
  <c r="C196" i="3"/>
  <c r="B196" i="3"/>
  <c r="A196" i="3"/>
  <c r="M195" i="3"/>
  <c r="K195" i="3"/>
  <c r="J195" i="3"/>
  <c r="G195" i="3"/>
  <c r="E195" i="3"/>
  <c r="C195" i="3"/>
  <c r="B195" i="3"/>
  <c r="A195" i="3"/>
  <c r="M194" i="3"/>
  <c r="K194" i="3"/>
  <c r="J194" i="3"/>
  <c r="G194" i="3"/>
  <c r="E194" i="3"/>
  <c r="C194" i="3"/>
  <c r="B194" i="3"/>
  <c r="A194" i="3"/>
  <c r="M193" i="3"/>
  <c r="K193" i="3"/>
  <c r="J193" i="3"/>
  <c r="G193" i="3"/>
  <c r="E193" i="3"/>
  <c r="C193" i="3"/>
  <c r="B193" i="3"/>
  <c r="A193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192" i="3"/>
  <c r="M180" i="3"/>
  <c r="K180" i="3"/>
  <c r="J180" i="3"/>
  <c r="G180" i="3"/>
  <c r="E180" i="3"/>
  <c r="C180" i="3"/>
  <c r="B180" i="3"/>
  <c r="A180" i="3"/>
  <c r="M177" i="3"/>
  <c r="K177" i="3"/>
  <c r="J177" i="3"/>
  <c r="G177" i="3"/>
  <c r="E177" i="3"/>
  <c r="C177" i="3"/>
  <c r="B177" i="3"/>
  <c r="A177" i="3"/>
  <c r="M173" i="3"/>
  <c r="K173" i="3"/>
  <c r="J173" i="3"/>
  <c r="G173" i="3"/>
  <c r="E173" i="3"/>
  <c r="C173" i="3"/>
  <c r="B173" i="3"/>
  <c r="A173" i="3"/>
  <c r="M172" i="3"/>
  <c r="K172" i="3"/>
  <c r="J172" i="3"/>
  <c r="G172" i="3"/>
  <c r="E172" i="3"/>
  <c r="C172" i="3"/>
  <c r="B172" i="3"/>
  <c r="A172" i="3"/>
  <c r="M171" i="3"/>
  <c r="K171" i="3"/>
  <c r="J171" i="3"/>
  <c r="G171" i="3"/>
  <c r="E171" i="3"/>
  <c r="C171" i="3"/>
  <c r="B171" i="3"/>
  <c r="A171" i="3"/>
  <c r="M163" i="3"/>
  <c r="K163" i="3"/>
  <c r="J163" i="3"/>
  <c r="G163" i="3"/>
  <c r="E163" i="3"/>
  <c r="C163" i="3"/>
  <c r="B163" i="3"/>
  <c r="A163" i="3"/>
  <c r="M161" i="3"/>
  <c r="K161" i="3"/>
  <c r="J161" i="3"/>
  <c r="G161" i="3"/>
  <c r="E161" i="3"/>
  <c r="C161" i="3"/>
  <c r="B161" i="3"/>
  <c r="A161" i="3"/>
  <c r="J60" i="14"/>
  <c r="I60" i="14"/>
  <c r="G60" i="14"/>
  <c r="F60" i="14"/>
  <c r="D60" i="14"/>
  <c r="C60" i="14"/>
  <c r="F302" i="1"/>
  <c r="H302" i="1"/>
  <c r="H1173" i="3" s="1"/>
  <c r="L302" i="1"/>
  <c r="L1173" i="3" s="1"/>
  <c r="O302" i="1"/>
  <c r="O1173" i="3" s="1"/>
  <c r="P302" i="1"/>
  <c r="Q302" i="1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114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113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152" i="3"/>
  <c r="M151" i="3"/>
  <c r="K151" i="3"/>
  <c r="J151" i="3"/>
  <c r="G151" i="3"/>
  <c r="E151" i="3"/>
  <c r="C151" i="3"/>
  <c r="B151" i="3"/>
  <c r="A151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150" i="3"/>
  <c r="M149" i="3"/>
  <c r="K149" i="3"/>
  <c r="J149" i="3"/>
  <c r="G149" i="3"/>
  <c r="E149" i="3"/>
  <c r="C149" i="3"/>
  <c r="B149" i="3"/>
  <c r="A149" i="3"/>
  <c r="M148" i="3"/>
  <c r="K148" i="3"/>
  <c r="J148" i="3"/>
  <c r="G148" i="3"/>
  <c r="E148" i="3"/>
  <c r="C148" i="3"/>
  <c r="B148" i="3"/>
  <c r="A148" i="3"/>
  <c r="M147" i="3"/>
  <c r="K147" i="3"/>
  <c r="J147" i="3"/>
  <c r="G147" i="3"/>
  <c r="E147" i="3"/>
  <c r="C147" i="3"/>
  <c r="B147" i="3"/>
  <c r="A147" i="3"/>
  <c r="M146" i="3"/>
  <c r="K146" i="3"/>
  <c r="J146" i="3"/>
  <c r="G146" i="3"/>
  <c r="E146" i="3"/>
  <c r="C146" i="3"/>
  <c r="B146" i="3"/>
  <c r="A146" i="3"/>
  <c r="M145" i="3"/>
  <c r="K145" i="3"/>
  <c r="J145" i="3"/>
  <c r="G145" i="3"/>
  <c r="E145" i="3"/>
  <c r="C145" i="3"/>
  <c r="B145" i="3"/>
  <c r="A145" i="3"/>
  <c r="M144" i="3"/>
  <c r="K144" i="3"/>
  <c r="J144" i="3"/>
  <c r="G144" i="3"/>
  <c r="E144" i="3"/>
  <c r="C144" i="3"/>
  <c r="B144" i="3"/>
  <c r="A144" i="3"/>
  <c r="M143" i="3"/>
  <c r="K143" i="3"/>
  <c r="J143" i="3"/>
  <c r="G143" i="3"/>
  <c r="E143" i="3"/>
  <c r="C143" i="3"/>
  <c r="B143" i="3"/>
  <c r="A143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142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A141" i="3"/>
  <c r="M140" i="3"/>
  <c r="K140" i="3"/>
  <c r="J140" i="3"/>
  <c r="G140" i="3"/>
  <c r="E140" i="3"/>
  <c r="C140" i="3"/>
  <c r="B140" i="3"/>
  <c r="A140" i="3"/>
  <c r="M139" i="3"/>
  <c r="K139" i="3"/>
  <c r="J139" i="3"/>
  <c r="G139" i="3"/>
  <c r="E139" i="3"/>
  <c r="C139" i="3"/>
  <c r="B139" i="3"/>
  <c r="A139" i="3"/>
  <c r="M138" i="3"/>
  <c r="K138" i="3"/>
  <c r="J138" i="3"/>
  <c r="G138" i="3"/>
  <c r="E138" i="3"/>
  <c r="C138" i="3"/>
  <c r="B138" i="3"/>
  <c r="A138" i="3"/>
  <c r="M137" i="3"/>
  <c r="K137" i="3"/>
  <c r="J137" i="3"/>
  <c r="G137" i="3"/>
  <c r="E137" i="3"/>
  <c r="C137" i="3"/>
  <c r="B137" i="3"/>
  <c r="A137" i="3"/>
  <c r="M136" i="3"/>
  <c r="K136" i="3"/>
  <c r="J136" i="3"/>
  <c r="G136" i="3"/>
  <c r="E136" i="3"/>
  <c r="C136" i="3"/>
  <c r="B136" i="3"/>
  <c r="A136" i="3"/>
  <c r="M135" i="3"/>
  <c r="K135" i="3"/>
  <c r="J135" i="3"/>
  <c r="G135" i="3"/>
  <c r="E135" i="3"/>
  <c r="C135" i="3"/>
  <c r="B135" i="3"/>
  <c r="A135" i="3"/>
  <c r="M134" i="3"/>
  <c r="K134" i="3"/>
  <c r="J134" i="3"/>
  <c r="G134" i="3"/>
  <c r="E134" i="3"/>
  <c r="C134" i="3"/>
  <c r="B134" i="3"/>
  <c r="A134" i="3"/>
  <c r="M133" i="3"/>
  <c r="K133" i="3"/>
  <c r="J133" i="3"/>
  <c r="G133" i="3"/>
  <c r="E133" i="3"/>
  <c r="C133" i="3"/>
  <c r="B133" i="3"/>
  <c r="A133" i="3"/>
  <c r="M132" i="3"/>
  <c r="K132" i="3"/>
  <c r="J132" i="3"/>
  <c r="G132" i="3"/>
  <c r="E132" i="3"/>
  <c r="C132" i="3"/>
  <c r="B132" i="3"/>
  <c r="A132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131" i="3"/>
  <c r="M129" i="3"/>
  <c r="K129" i="3"/>
  <c r="J129" i="3"/>
  <c r="G129" i="3"/>
  <c r="E129" i="3"/>
  <c r="C129" i="3"/>
  <c r="B129" i="3"/>
  <c r="A129" i="3"/>
  <c r="M128" i="3"/>
  <c r="K128" i="3"/>
  <c r="J128" i="3"/>
  <c r="G128" i="3"/>
  <c r="E128" i="3"/>
  <c r="C128" i="3"/>
  <c r="B128" i="3"/>
  <c r="A128" i="3"/>
  <c r="M127" i="3"/>
  <c r="K127" i="3"/>
  <c r="J127" i="3"/>
  <c r="G127" i="3"/>
  <c r="E127" i="3"/>
  <c r="C127" i="3"/>
  <c r="B127" i="3"/>
  <c r="A127" i="3"/>
  <c r="M126" i="3"/>
  <c r="K126" i="3"/>
  <c r="J126" i="3"/>
  <c r="G126" i="3"/>
  <c r="E126" i="3"/>
  <c r="C126" i="3"/>
  <c r="B126" i="3"/>
  <c r="A126" i="3"/>
  <c r="M125" i="3"/>
  <c r="K125" i="3"/>
  <c r="J125" i="3"/>
  <c r="G125" i="3"/>
  <c r="E125" i="3"/>
  <c r="C125" i="3"/>
  <c r="B125" i="3"/>
  <c r="A125" i="3"/>
  <c r="M124" i="3"/>
  <c r="K124" i="3"/>
  <c r="J124" i="3"/>
  <c r="G124" i="3"/>
  <c r="E124" i="3"/>
  <c r="C124" i="3"/>
  <c r="B124" i="3"/>
  <c r="A124" i="3"/>
  <c r="M123" i="3"/>
  <c r="K123" i="3"/>
  <c r="J123" i="3"/>
  <c r="G123" i="3"/>
  <c r="E123" i="3"/>
  <c r="C123" i="3"/>
  <c r="B123" i="3"/>
  <c r="A123" i="3"/>
  <c r="M122" i="3"/>
  <c r="K122" i="3"/>
  <c r="J122" i="3"/>
  <c r="G122" i="3"/>
  <c r="E122" i="3"/>
  <c r="C122" i="3"/>
  <c r="B122" i="3"/>
  <c r="A122" i="3"/>
  <c r="M121" i="3"/>
  <c r="K121" i="3"/>
  <c r="J121" i="3"/>
  <c r="G121" i="3"/>
  <c r="E121" i="3"/>
  <c r="C121" i="3"/>
  <c r="B121" i="3"/>
  <c r="A121" i="3"/>
  <c r="M120" i="3"/>
  <c r="K120" i="3"/>
  <c r="J120" i="3"/>
  <c r="G120" i="3"/>
  <c r="E120" i="3"/>
  <c r="C120" i="3"/>
  <c r="B120" i="3"/>
  <c r="A120" i="3"/>
  <c r="M119" i="3"/>
  <c r="K119" i="3"/>
  <c r="J119" i="3"/>
  <c r="G119" i="3"/>
  <c r="E119" i="3"/>
  <c r="C119" i="3"/>
  <c r="B119" i="3"/>
  <c r="A119" i="3"/>
  <c r="M118" i="3"/>
  <c r="K118" i="3"/>
  <c r="J118" i="3"/>
  <c r="G118" i="3"/>
  <c r="E118" i="3"/>
  <c r="C118" i="3"/>
  <c r="B118" i="3"/>
  <c r="A118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117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116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115" i="3"/>
  <c r="M112" i="3"/>
  <c r="K112" i="3"/>
  <c r="J112" i="3"/>
  <c r="G112" i="3"/>
  <c r="E112" i="3"/>
  <c r="C112" i="3"/>
  <c r="B112" i="3"/>
  <c r="A112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111" i="3"/>
  <c r="M110" i="3"/>
  <c r="K110" i="3"/>
  <c r="J110" i="3"/>
  <c r="G110" i="3"/>
  <c r="E110" i="3"/>
  <c r="C110" i="3"/>
  <c r="B110" i="3"/>
  <c r="A110" i="3"/>
  <c r="M109" i="3"/>
  <c r="K109" i="3"/>
  <c r="J109" i="3"/>
  <c r="G109" i="3"/>
  <c r="E109" i="3"/>
  <c r="C109" i="3"/>
  <c r="B109" i="3"/>
  <c r="A109" i="3"/>
  <c r="M108" i="3"/>
  <c r="K108" i="3"/>
  <c r="J108" i="3"/>
  <c r="G108" i="3"/>
  <c r="E108" i="3"/>
  <c r="C108" i="3"/>
  <c r="B108" i="3"/>
  <c r="A108" i="3"/>
  <c r="M107" i="3"/>
  <c r="K107" i="3"/>
  <c r="J107" i="3"/>
  <c r="G107" i="3"/>
  <c r="E107" i="3"/>
  <c r="C107" i="3"/>
  <c r="B107" i="3"/>
  <c r="A107" i="3"/>
  <c r="M106" i="3"/>
  <c r="K106" i="3"/>
  <c r="J106" i="3"/>
  <c r="G106" i="3"/>
  <c r="E106" i="3"/>
  <c r="C106" i="3"/>
  <c r="B106" i="3"/>
  <c r="A106" i="3"/>
  <c r="M105" i="3"/>
  <c r="K105" i="3"/>
  <c r="J105" i="3"/>
  <c r="G105" i="3"/>
  <c r="E105" i="3"/>
  <c r="C105" i="3"/>
  <c r="B105" i="3"/>
  <c r="A105" i="3"/>
  <c r="M104" i="3"/>
  <c r="K104" i="3"/>
  <c r="J104" i="3"/>
  <c r="G104" i="3"/>
  <c r="E104" i="3"/>
  <c r="C104" i="3"/>
  <c r="B104" i="3"/>
  <c r="A104" i="3"/>
  <c r="M103" i="3"/>
  <c r="K103" i="3"/>
  <c r="J103" i="3"/>
  <c r="G103" i="3"/>
  <c r="E103" i="3"/>
  <c r="C103" i="3"/>
  <c r="B103" i="3"/>
  <c r="A103" i="3"/>
  <c r="M102" i="3"/>
  <c r="K102" i="3"/>
  <c r="J102" i="3"/>
  <c r="G102" i="3"/>
  <c r="E102" i="3"/>
  <c r="C102" i="3"/>
  <c r="B102" i="3"/>
  <c r="A102" i="3"/>
  <c r="M101" i="3"/>
  <c r="K101" i="3"/>
  <c r="J101" i="3"/>
  <c r="G101" i="3"/>
  <c r="E101" i="3"/>
  <c r="C101" i="3"/>
  <c r="B101" i="3"/>
  <c r="A101" i="3"/>
  <c r="M100" i="3"/>
  <c r="K100" i="3"/>
  <c r="J100" i="3"/>
  <c r="G100" i="3"/>
  <c r="E100" i="3"/>
  <c r="C100" i="3"/>
  <c r="B100" i="3"/>
  <c r="A100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A98" i="3"/>
  <c r="M97" i="3"/>
  <c r="K97" i="3"/>
  <c r="J97" i="3"/>
  <c r="G97" i="3"/>
  <c r="E97" i="3"/>
  <c r="C97" i="3"/>
  <c r="B97" i="3"/>
  <c r="A97" i="3"/>
  <c r="M96" i="3"/>
  <c r="K96" i="3"/>
  <c r="J96" i="3"/>
  <c r="G96" i="3"/>
  <c r="E96" i="3"/>
  <c r="C96" i="3"/>
  <c r="B96" i="3"/>
  <c r="A96" i="3"/>
  <c r="M95" i="3"/>
  <c r="K95" i="3"/>
  <c r="J95" i="3"/>
  <c r="G95" i="3"/>
  <c r="E95" i="3"/>
  <c r="C95" i="3"/>
  <c r="B95" i="3"/>
  <c r="A95" i="3"/>
  <c r="M94" i="3"/>
  <c r="K94" i="3"/>
  <c r="J94" i="3"/>
  <c r="G94" i="3"/>
  <c r="E94" i="3"/>
  <c r="C94" i="3"/>
  <c r="B94" i="3"/>
  <c r="A94" i="3"/>
  <c r="M93" i="3"/>
  <c r="K93" i="3"/>
  <c r="J93" i="3"/>
  <c r="G93" i="3"/>
  <c r="E93" i="3"/>
  <c r="C93" i="3"/>
  <c r="B93" i="3"/>
  <c r="A93" i="3"/>
  <c r="M92" i="3"/>
  <c r="K92" i="3"/>
  <c r="J92" i="3"/>
  <c r="G92" i="3"/>
  <c r="E92" i="3"/>
  <c r="C92" i="3"/>
  <c r="B92" i="3"/>
  <c r="A92" i="3"/>
  <c r="M91" i="3"/>
  <c r="K91" i="3"/>
  <c r="J91" i="3"/>
  <c r="G91" i="3"/>
  <c r="E91" i="3"/>
  <c r="C91" i="3"/>
  <c r="B91" i="3"/>
  <c r="A91" i="3"/>
  <c r="M90" i="3"/>
  <c r="K90" i="3"/>
  <c r="J90" i="3"/>
  <c r="G90" i="3"/>
  <c r="E90" i="3"/>
  <c r="C90" i="3"/>
  <c r="B90" i="3"/>
  <c r="A90" i="3"/>
  <c r="M89" i="3"/>
  <c r="K89" i="3"/>
  <c r="J89" i="3"/>
  <c r="G89" i="3"/>
  <c r="E89" i="3"/>
  <c r="C89" i="3"/>
  <c r="B89" i="3"/>
  <c r="A89" i="3"/>
  <c r="M88" i="3"/>
  <c r="K88" i="3"/>
  <c r="J88" i="3"/>
  <c r="G88" i="3"/>
  <c r="E88" i="3"/>
  <c r="C88" i="3"/>
  <c r="B88" i="3"/>
  <c r="A88" i="3"/>
  <c r="M87" i="3"/>
  <c r="K87" i="3"/>
  <c r="J87" i="3"/>
  <c r="G87" i="3"/>
  <c r="E87" i="3"/>
  <c r="C87" i="3"/>
  <c r="B87" i="3"/>
  <c r="A87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A86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85" i="3"/>
  <c r="M84" i="3"/>
  <c r="K84" i="3"/>
  <c r="J84" i="3"/>
  <c r="G84" i="3"/>
  <c r="E84" i="3"/>
  <c r="C84" i="3"/>
  <c r="B84" i="3"/>
  <c r="A84" i="3"/>
  <c r="M83" i="3"/>
  <c r="K83" i="3"/>
  <c r="J83" i="3"/>
  <c r="G83" i="3"/>
  <c r="E83" i="3"/>
  <c r="C83" i="3"/>
  <c r="B83" i="3"/>
  <c r="A83" i="3"/>
  <c r="M82" i="3"/>
  <c r="K82" i="3"/>
  <c r="J82" i="3"/>
  <c r="G82" i="3"/>
  <c r="E82" i="3"/>
  <c r="C82" i="3"/>
  <c r="B82" i="3"/>
  <c r="A82" i="3"/>
  <c r="M81" i="3"/>
  <c r="K81" i="3"/>
  <c r="J81" i="3"/>
  <c r="G81" i="3"/>
  <c r="E81" i="3"/>
  <c r="C81" i="3"/>
  <c r="B81" i="3"/>
  <c r="A81" i="3"/>
  <c r="M80" i="3"/>
  <c r="K80" i="3"/>
  <c r="J80" i="3"/>
  <c r="G80" i="3"/>
  <c r="E80" i="3"/>
  <c r="C80" i="3"/>
  <c r="B80" i="3"/>
  <c r="A80" i="3"/>
  <c r="M79" i="3"/>
  <c r="K79" i="3"/>
  <c r="J79" i="3"/>
  <c r="G79" i="3"/>
  <c r="E79" i="3"/>
  <c r="C79" i="3"/>
  <c r="B79" i="3"/>
  <c r="A79" i="3"/>
  <c r="M78" i="3"/>
  <c r="K78" i="3"/>
  <c r="J78" i="3"/>
  <c r="G78" i="3"/>
  <c r="E78" i="3"/>
  <c r="C78" i="3"/>
  <c r="B78" i="3"/>
  <c r="A78" i="3"/>
  <c r="M77" i="3"/>
  <c r="K77" i="3"/>
  <c r="J77" i="3"/>
  <c r="G77" i="3"/>
  <c r="E77" i="3"/>
  <c r="C77" i="3"/>
  <c r="B77" i="3"/>
  <c r="A77" i="3"/>
  <c r="M76" i="3"/>
  <c r="K76" i="3"/>
  <c r="J76" i="3"/>
  <c r="G76" i="3"/>
  <c r="E76" i="3"/>
  <c r="C76" i="3"/>
  <c r="B76" i="3"/>
  <c r="A76" i="3"/>
  <c r="M75" i="3"/>
  <c r="K75" i="3"/>
  <c r="J75" i="3"/>
  <c r="G75" i="3"/>
  <c r="E75" i="3"/>
  <c r="C75" i="3"/>
  <c r="B75" i="3"/>
  <c r="A75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74" i="3"/>
  <c r="F6" i="3"/>
  <c r="M6" i="3" s="1"/>
  <c r="M735" i="3"/>
  <c r="K735" i="3"/>
  <c r="J735" i="3"/>
  <c r="G735" i="3"/>
  <c r="E735" i="3"/>
  <c r="C735" i="3"/>
  <c r="B735" i="3"/>
  <c r="A735" i="3"/>
  <c r="X848" i="1"/>
  <c r="G3" i="12"/>
  <c r="G4" i="12"/>
  <c r="G5" i="12"/>
  <c r="G7" i="12"/>
  <c r="G8" i="12"/>
  <c r="G10" i="12"/>
  <c r="W1324" i="1" s="1"/>
  <c r="G11" i="12"/>
  <c r="G12" i="12"/>
  <c r="G13" i="12"/>
  <c r="G14" i="12"/>
  <c r="G15" i="12"/>
  <c r="G16" i="12"/>
  <c r="G17" i="12"/>
  <c r="G18" i="12"/>
  <c r="G19" i="12"/>
  <c r="G21" i="12"/>
  <c r="G22" i="12"/>
  <c r="G23" i="12"/>
  <c r="G24" i="12"/>
  <c r="G25" i="12"/>
  <c r="G26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W1428" i="1" s="1"/>
  <c r="G82" i="12"/>
  <c r="G83" i="12"/>
  <c r="G85" i="12"/>
  <c r="G86" i="12"/>
  <c r="G87" i="12"/>
  <c r="C90" i="12"/>
  <c r="D90" i="12"/>
  <c r="E90" i="12"/>
  <c r="D19" i="5"/>
  <c r="K1346" i="1"/>
  <c r="K1348" i="1" s="1"/>
  <c r="K816" i="3" s="1"/>
  <c r="J1346" i="1"/>
  <c r="J814" i="3" s="1"/>
  <c r="K1367" i="1"/>
  <c r="K835" i="3" s="1"/>
  <c r="J1367" i="1"/>
  <c r="J835" i="3" s="1"/>
  <c r="N27" i="1"/>
  <c r="N908" i="3" s="1"/>
  <c r="F37" i="1"/>
  <c r="L37" i="1"/>
  <c r="L918" i="3" s="1"/>
  <c r="P918" i="3"/>
  <c r="Q37" i="1"/>
  <c r="Q285" i="1" s="1"/>
  <c r="N109" i="1"/>
  <c r="I109" i="1" s="1"/>
  <c r="F1" i="3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M2" i="3"/>
  <c r="M3" i="3"/>
  <c r="M4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A16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A17" i="3"/>
  <c r="B17" i="3"/>
  <c r="C17" i="3"/>
  <c r="E17" i="3"/>
  <c r="G17" i="3"/>
  <c r="J17" i="3"/>
  <c r="K17" i="3"/>
  <c r="M17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A19" i="3"/>
  <c r="B19" i="3"/>
  <c r="C19" i="3"/>
  <c r="E19" i="3"/>
  <c r="G19" i="3"/>
  <c r="J19" i="3"/>
  <c r="K19" i="3"/>
  <c r="M19" i="3"/>
  <c r="A20" i="3"/>
  <c r="B20" i="3"/>
  <c r="C20" i="3"/>
  <c r="E20" i="3"/>
  <c r="G20" i="3"/>
  <c r="J20" i="3"/>
  <c r="K20" i="3"/>
  <c r="M20" i="3"/>
  <c r="A21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A22" i="3"/>
  <c r="B22" i="3"/>
  <c r="C22" i="3"/>
  <c r="E22" i="3"/>
  <c r="G22" i="3"/>
  <c r="J22" i="3"/>
  <c r="K22" i="3"/>
  <c r="M22" i="3"/>
  <c r="A23" i="3"/>
  <c r="B23" i="3"/>
  <c r="C23" i="3"/>
  <c r="E23" i="3"/>
  <c r="G23" i="3"/>
  <c r="J23" i="3"/>
  <c r="K23" i="3"/>
  <c r="M23" i="3"/>
  <c r="A24" i="3"/>
  <c r="B24" i="3"/>
  <c r="C24" i="3"/>
  <c r="E24" i="3"/>
  <c r="F24" i="3"/>
  <c r="G24" i="3"/>
  <c r="H24" i="3"/>
  <c r="I24" i="3"/>
  <c r="J24" i="3"/>
  <c r="K24" i="3"/>
  <c r="L24" i="3"/>
  <c r="M24" i="3"/>
  <c r="N24" i="3"/>
  <c r="O24" i="3"/>
  <c r="P24" i="3"/>
  <c r="A25" i="3"/>
  <c r="B25" i="3"/>
  <c r="C25" i="3"/>
  <c r="E25" i="3"/>
  <c r="F25" i="3"/>
  <c r="G25" i="3"/>
  <c r="H25" i="3"/>
  <c r="I25" i="3"/>
  <c r="J25" i="3"/>
  <c r="K25" i="3"/>
  <c r="L25" i="3"/>
  <c r="M25" i="3"/>
  <c r="N25" i="3"/>
  <c r="O25" i="3"/>
  <c r="P25" i="3"/>
  <c r="A26" i="3"/>
  <c r="B26" i="3"/>
  <c r="C26" i="3"/>
  <c r="E26" i="3"/>
  <c r="G26" i="3"/>
  <c r="J26" i="3"/>
  <c r="K26" i="3"/>
  <c r="M26" i="3"/>
  <c r="A27" i="3"/>
  <c r="B27" i="3"/>
  <c r="C27" i="3"/>
  <c r="E27" i="3"/>
  <c r="G27" i="3"/>
  <c r="J27" i="3"/>
  <c r="K27" i="3"/>
  <c r="M27" i="3"/>
  <c r="A28" i="3"/>
  <c r="B28" i="3"/>
  <c r="C28" i="3"/>
  <c r="E28" i="3"/>
  <c r="G28" i="3"/>
  <c r="J28" i="3"/>
  <c r="K28" i="3"/>
  <c r="M28" i="3"/>
  <c r="A29" i="3"/>
  <c r="B29" i="3"/>
  <c r="C29" i="3"/>
  <c r="H553" i="1"/>
  <c r="H29" i="3" s="1"/>
  <c r="E29" i="3"/>
  <c r="G29" i="3"/>
  <c r="J29" i="3"/>
  <c r="K29" i="3"/>
  <c r="M29" i="3"/>
  <c r="A30" i="3"/>
  <c r="B30" i="3"/>
  <c r="C30" i="3"/>
  <c r="E30" i="3"/>
  <c r="G30" i="3"/>
  <c r="J30" i="3"/>
  <c r="K30" i="3"/>
  <c r="M30" i="3"/>
  <c r="A31" i="3"/>
  <c r="B31" i="3"/>
  <c r="C31" i="3"/>
  <c r="E31" i="3"/>
  <c r="G31" i="3"/>
  <c r="J31" i="3"/>
  <c r="K31" i="3"/>
  <c r="M31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A34" i="3"/>
  <c r="B34" i="3"/>
  <c r="C34" i="3"/>
  <c r="E34" i="3"/>
  <c r="G34" i="3"/>
  <c r="J34" i="3"/>
  <c r="K34" i="3"/>
  <c r="M34" i="3"/>
  <c r="A35" i="3"/>
  <c r="B35" i="3"/>
  <c r="C35" i="3"/>
  <c r="E35" i="3"/>
  <c r="G35" i="3"/>
  <c r="J35" i="3"/>
  <c r="K35" i="3"/>
  <c r="M35" i="3"/>
  <c r="A36" i="3"/>
  <c r="B36" i="3"/>
  <c r="C36" i="3"/>
  <c r="E36" i="3"/>
  <c r="G36" i="3"/>
  <c r="J36" i="3"/>
  <c r="K36" i="3"/>
  <c r="M36" i="3"/>
  <c r="A37" i="3"/>
  <c r="B37" i="3"/>
  <c r="C37" i="3"/>
  <c r="E37" i="3"/>
  <c r="G37" i="3"/>
  <c r="J37" i="3"/>
  <c r="K37" i="3"/>
  <c r="M37" i="3"/>
  <c r="A38" i="3"/>
  <c r="B38" i="3"/>
  <c r="C38" i="3"/>
  <c r="E38" i="3"/>
  <c r="G38" i="3"/>
  <c r="J38" i="3"/>
  <c r="K38" i="3"/>
  <c r="M38" i="3"/>
  <c r="A39" i="3"/>
  <c r="B39" i="3"/>
  <c r="C39" i="3"/>
  <c r="E39" i="3"/>
  <c r="G39" i="3"/>
  <c r="J39" i="3"/>
  <c r="K39" i="3"/>
  <c r="M39" i="3"/>
  <c r="A40" i="3"/>
  <c r="B40" i="3"/>
  <c r="C40" i="3"/>
  <c r="E40" i="3"/>
  <c r="G40" i="3"/>
  <c r="J40" i="3"/>
  <c r="K40" i="3"/>
  <c r="M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A42" i="3"/>
  <c r="B42" i="3"/>
  <c r="C42" i="3"/>
  <c r="E42" i="3"/>
  <c r="G42" i="3"/>
  <c r="J42" i="3"/>
  <c r="K42" i="3"/>
  <c r="M42" i="3"/>
  <c r="A43" i="3"/>
  <c r="B43" i="3"/>
  <c r="C43" i="3"/>
  <c r="D43" i="3"/>
  <c r="E43" i="3"/>
  <c r="A44" i="3"/>
  <c r="B44" i="3"/>
  <c r="C44" i="3"/>
  <c r="D44" i="3"/>
  <c r="E44" i="3"/>
  <c r="A45" i="3"/>
  <c r="B45" i="3"/>
  <c r="C45" i="3"/>
  <c r="E45" i="3"/>
  <c r="G45" i="3"/>
  <c r="J45" i="3"/>
  <c r="K45" i="3"/>
  <c r="M45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A48" i="3"/>
  <c r="B48" i="3"/>
  <c r="C48" i="3"/>
  <c r="E48" i="3"/>
  <c r="G48" i="3"/>
  <c r="J48" i="3"/>
  <c r="K48" i="3"/>
  <c r="M48" i="3"/>
  <c r="A49" i="3"/>
  <c r="B49" i="3"/>
  <c r="C49" i="3"/>
  <c r="E49" i="3"/>
  <c r="G49" i="3"/>
  <c r="J49" i="3"/>
  <c r="K49" i="3"/>
  <c r="M49" i="3"/>
  <c r="A50" i="3"/>
  <c r="B50" i="3"/>
  <c r="C50" i="3"/>
  <c r="Q574" i="1"/>
  <c r="E50" i="3"/>
  <c r="G50" i="3"/>
  <c r="J50" i="3"/>
  <c r="K50" i="3"/>
  <c r="M50" i="3"/>
  <c r="A51" i="3"/>
  <c r="B51" i="3"/>
  <c r="C51" i="3"/>
  <c r="E51" i="3"/>
  <c r="G51" i="3"/>
  <c r="J51" i="3"/>
  <c r="K51" i="3"/>
  <c r="M51" i="3"/>
  <c r="A52" i="3"/>
  <c r="B52" i="3"/>
  <c r="C52" i="3"/>
  <c r="E52" i="3"/>
  <c r="G52" i="3"/>
  <c r="J52" i="3"/>
  <c r="K52" i="3"/>
  <c r="M52" i="3"/>
  <c r="A53" i="3"/>
  <c r="B53" i="3"/>
  <c r="C53" i="3"/>
  <c r="E53" i="3"/>
  <c r="G53" i="3"/>
  <c r="M53" i="3"/>
  <c r="A57" i="3"/>
  <c r="B57" i="3"/>
  <c r="C57" i="3"/>
  <c r="E57" i="3"/>
  <c r="G57" i="3"/>
  <c r="J57" i="3"/>
  <c r="K57" i="3"/>
  <c r="M57" i="3"/>
  <c r="A58" i="3"/>
  <c r="B58" i="3"/>
  <c r="C58" i="3"/>
  <c r="E58" i="3"/>
  <c r="G58" i="3"/>
  <c r="J58" i="3"/>
  <c r="K58" i="3"/>
  <c r="M58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A60" i="3"/>
  <c r="B60" i="3"/>
  <c r="C60" i="3"/>
  <c r="E60" i="3"/>
  <c r="G60" i="3"/>
  <c r="J60" i="3"/>
  <c r="K60" i="3"/>
  <c r="M60" i="3"/>
  <c r="A61" i="3"/>
  <c r="B61" i="3"/>
  <c r="C61" i="3"/>
  <c r="E61" i="3"/>
  <c r="G61" i="3"/>
  <c r="J61" i="3"/>
  <c r="K61" i="3"/>
  <c r="M61" i="3"/>
  <c r="A62" i="3"/>
  <c r="B62" i="3"/>
  <c r="C62" i="3"/>
  <c r="D62" i="3"/>
  <c r="E62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A67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A68" i="3"/>
  <c r="B68" i="3"/>
  <c r="C68" i="3"/>
  <c r="E68" i="3"/>
  <c r="G68" i="3"/>
  <c r="J68" i="3"/>
  <c r="K68" i="3"/>
  <c r="M68" i="3"/>
  <c r="A69" i="3"/>
  <c r="B69" i="3"/>
  <c r="C69" i="3"/>
  <c r="E69" i="3"/>
  <c r="G69" i="3"/>
  <c r="J69" i="3"/>
  <c r="K69" i="3"/>
  <c r="M69" i="3"/>
  <c r="A70" i="3"/>
  <c r="B70" i="3"/>
  <c r="C70" i="3"/>
  <c r="E70" i="3"/>
  <c r="G70" i="3"/>
  <c r="J70" i="3"/>
  <c r="K70" i="3"/>
  <c r="M70" i="3"/>
  <c r="A71" i="3"/>
  <c r="B71" i="3"/>
  <c r="C71" i="3"/>
  <c r="E71" i="3"/>
  <c r="G71" i="3"/>
  <c r="J71" i="3"/>
  <c r="K71" i="3"/>
  <c r="M71" i="3"/>
  <c r="A72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A73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A130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A153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A154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A155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A156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A157" i="3"/>
  <c r="B157" i="3"/>
  <c r="C157" i="3"/>
  <c r="E157" i="3"/>
  <c r="G157" i="3"/>
  <c r="J157" i="3"/>
  <c r="K157" i="3"/>
  <c r="M157" i="3"/>
  <c r="A159" i="3"/>
  <c r="B159" i="3"/>
  <c r="C159" i="3"/>
  <c r="E159" i="3"/>
  <c r="G159" i="3"/>
  <c r="J159" i="3"/>
  <c r="K159" i="3"/>
  <c r="M159" i="3"/>
  <c r="A160" i="3"/>
  <c r="B160" i="3"/>
  <c r="C160" i="3"/>
  <c r="E160" i="3"/>
  <c r="G160" i="3"/>
  <c r="J160" i="3"/>
  <c r="K160" i="3"/>
  <c r="M160" i="3"/>
  <c r="A162" i="3"/>
  <c r="B162" i="3"/>
  <c r="C162" i="3"/>
  <c r="E162" i="3"/>
  <c r="G162" i="3"/>
  <c r="J162" i="3"/>
  <c r="K162" i="3"/>
  <c r="M162" i="3"/>
  <c r="A164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A165" i="3"/>
  <c r="B165" i="3"/>
  <c r="C165" i="3"/>
  <c r="E165" i="3"/>
  <c r="G165" i="3"/>
  <c r="J165" i="3"/>
  <c r="K165" i="3"/>
  <c r="M165" i="3"/>
  <c r="A166" i="3"/>
  <c r="B166" i="3"/>
  <c r="C166" i="3"/>
  <c r="E166" i="3"/>
  <c r="G166" i="3"/>
  <c r="J166" i="3"/>
  <c r="K166" i="3"/>
  <c r="M166" i="3"/>
  <c r="A167" i="3"/>
  <c r="B167" i="3"/>
  <c r="C167" i="3"/>
  <c r="E167" i="3"/>
  <c r="G167" i="3"/>
  <c r="J167" i="3"/>
  <c r="K167" i="3"/>
  <c r="M167" i="3"/>
  <c r="A168" i="3"/>
  <c r="B168" i="3"/>
  <c r="C168" i="3"/>
  <c r="E168" i="3"/>
  <c r="G168" i="3"/>
  <c r="J168" i="3"/>
  <c r="K168" i="3"/>
  <c r="M168" i="3"/>
  <c r="A169" i="3"/>
  <c r="B169" i="3"/>
  <c r="C169" i="3"/>
  <c r="E169" i="3"/>
  <c r="G169" i="3"/>
  <c r="J169" i="3"/>
  <c r="K169" i="3"/>
  <c r="M169" i="3"/>
  <c r="A170" i="3"/>
  <c r="B170" i="3"/>
  <c r="C170" i="3"/>
  <c r="E170" i="3"/>
  <c r="G170" i="3"/>
  <c r="J170" i="3"/>
  <c r="K170" i="3"/>
  <c r="M170" i="3"/>
  <c r="A174" i="3"/>
  <c r="B174" i="3"/>
  <c r="C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A175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A176" i="3"/>
  <c r="B176" i="3"/>
  <c r="C176" i="3"/>
  <c r="E176" i="3"/>
  <c r="G176" i="3"/>
  <c r="J176" i="3"/>
  <c r="K176" i="3"/>
  <c r="M176" i="3"/>
  <c r="A178" i="3"/>
  <c r="B178" i="3"/>
  <c r="C178" i="3"/>
  <c r="E178" i="3"/>
  <c r="G178" i="3"/>
  <c r="J178" i="3"/>
  <c r="K178" i="3"/>
  <c r="M178" i="3"/>
  <c r="A179" i="3"/>
  <c r="B179" i="3"/>
  <c r="C179" i="3"/>
  <c r="E179" i="3"/>
  <c r="G179" i="3"/>
  <c r="J179" i="3"/>
  <c r="K179" i="3"/>
  <c r="M179" i="3"/>
  <c r="A181" i="3"/>
  <c r="B181" i="3"/>
  <c r="C181" i="3"/>
  <c r="E181" i="3"/>
  <c r="G181" i="3"/>
  <c r="J181" i="3"/>
  <c r="K181" i="3"/>
  <c r="M181" i="3"/>
  <c r="A182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A183" i="3"/>
  <c r="B183" i="3"/>
  <c r="C183" i="3"/>
  <c r="E183" i="3"/>
  <c r="G183" i="3"/>
  <c r="J183" i="3"/>
  <c r="K183" i="3"/>
  <c r="M183" i="3"/>
  <c r="A184" i="3"/>
  <c r="B184" i="3"/>
  <c r="C184" i="3"/>
  <c r="E184" i="3"/>
  <c r="G184" i="3"/>
  <c r="J184" i="3"/>
  <c r="K184" i="3"/>
  <c r="M184" i="3"/>
  <c r="A185" i="3"/>
  <c r="B185" i="3"/>
  <c r="C185" i="3"/>
  <c r="E185" i="3"/>
  <c r="G185" i="3"/>
  <c r="J185" i="3"/>
  <c r="K185" i="3"/>
  <c r="M185" i="3"/>
  <c r="A186" i="3"/>
  <c r="B186" i="3"/>
  <c r="C186" i="3"/>
  <c r="E186" i="3"/>
  <c r="G186" i="3"/>
  <c r="J186" i="3"/>
  <c r="K186" i="3"/>
  <c r="M186" i="3"/>
  <c r="A187" i="3"/>
  <c r="B187" i="3"/>
  <c r="C187" i="3"/>
  <c r="E187" i="3"/>
  <c r="G187" i="3"/>
  <c r="J187" i="3"/>
  <c r="K187" i="3"/>
  <c r="M187" i="3"/>
  <c r="A188" i="3"/>
  <c r="B188" i="3"/>
  <c r="C188" i="3"/>
  <c r="E188" i="3"/>
  <c r="G188" i="3"/>
  <c r="J188" i="3"/>
  <c r="K188" i="3"/>
  <c r="M188" i="3"/>
  <c r="A189" i="3"/>
  <c r="B189" i="3"/>
  <c r="C189" i="3"/>
  <c r="E189" i="3"/>
  <c r="G189" i="3"/>
  <c r="J189" i="3"/>
  <c r="K189" i="3"/>
  <c r="M189" i="3"/>
  <c r="A190" i="3"/>
  <c r="B190" i="3"/>
  <c r="C190" i="3"/>
  <c r="E190" i="3"/>
  <c r="G190" i="3"/>
  <c r="J190" i="3"/>
  <c r="K190" i="3"/>
  <c r="M190" i="3"/>
  <c r="A191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A229" i="3"/>
  <c r="B229" i="3"/>
  <c r="C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A230" i="3"/>
  <c r="B230" i="3"/>
  <c r="C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A231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A232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A233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A234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A235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A236" i="3"/>
  <c r="B236" i="3"/>
  <c r="C236" i="3"/>
  <c r="E236" i="3"/>
  <c r="G236" i="3"/>
  <c r="J236" i="3"/>
  <c r="K236" i="3"/>
  <c r="M236" i="3"/>
  <c r="A237" i="3"/>
  <c r="B237" i="3"/>
  <c r="C237" i="3"/>
  <c r="E237" i="3"/>
  <c r="G237" i="3"/>
  <c r="J237" i="3"/>
  <c r="K237" i="3"/>
  <c r="M237" i="3"/>
  <c r="A238" i="3"/>
  <c r="B238" i="3"/>
  <c r="C238" i="3"/>
  <c r="E238" i="3"/>
  <c r="G238" i="3"/>
  <c r="J238" i="3"/>
  <c r="K238" i="3"/>
  <c r="M238" i="3"/>
  <c r="A239" i="3"/>
  <c r="B239" i="3"/>
  <c r="C239" i="3"/>
  <c r="E239" i="3"/>
  <c r="G239" i="3"/>
  <c r="J239" i="3"/>
  <c r="K239" i="3"/>
  <c r="M239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A242" i="3"/>
  <c r="B242" i="3"/>
  <c r="C242" i="3"/>
  <c r="E242" i="3"/>
  <c r="G242" i="3"/>
  <c r="J242" i="3"/>
  <c r="K242" i="3"/>
  <c r="M242" i="3"/>
  <c r="A243" i="3"/>
  <c r="B243" i="3"/>
  <c r="C243" i="3"/>
  <c r="E243" i="3"/>
  <c r="G243" i="3"/>
  <c r="J243" i="3"/>
  <c r="K243" i="3"/>
  <c r="M243" i="3"/>
  <c r="A244" i="3"/>
  <c r="B244" i="3"/>
  <c r="C244" i="3"/>
  <c r="E244" i="3"/>
  <c r="G244" i="3"/>
  <c r="J244" i="3"/>
  <c r="K244" i="3"/>
  <c r="M244" i="3"/>
  <c r="A245" i="3"/>
  <c r="B245" i="3"/>
  <c r="C245" i="3"/>
  <c r="E245" i="3"/>
  <c r="G245" i="3"/>
  <c r="J245" i="3"/>
  <c r="K245" i="3"/>
  <c r="M245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A248" i="3"/>
  <c r="B248" i="3"/>
  <c r="C248" i="3"/>
  <c r="E248" i="3"/>
  <c r="G248" i="3"/>
  <c r="J248" i="3"/>
  <c r="K248" i="3"/>
  <c r="M248" i="3"/>
  <c r="A249" i="3"/>
  <c r="B249" i="3"/>
  <c r="C249" i="3"/>
  <c r="E249" i="3"/>
  <c r="G249" i="3"/>
  <c r="J249" i="3"/>
  <c r="K249" i="3"/>
  <c r="M249" i="3"/>
  <c r="A250" i="3"/>
  <c r="B250" i="3"/>
  <c r="C250" i="3"/>
  <c r="E250" i="3"/>
  <c r="G250" i="3"/>
  <c r="J250" i="3"/>
  <c r="K250" i="3"/>
  <c r="M250" i="3"/>
  <c r="A251" i="3"/>
  <c r="B251" i="3"/>
  <c r="C251" i="3"/>
  <c r="E251" i="3"/>
  <c r="G251" i="3"/>
  <c r="J251" i="3"/>
  <c r="K251" i="3"/>
  <c r="M251" i="3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A253" i="3"/>
  <c r="B253" i="3"/>
  <c r="C253" i="3"/>
  <c r="E253" i="3"/>
  <c r="G253" i="3"/>
  <c r="J253" i="3"/>
  <c r="K253" i="3"/>
  <c r="M253" i="3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A256" i="3"/>
  <c r="B256" i="3"/>
  <c r="C256" i="3"/>
  <c r="E256" i="3"/>
  <c r="G256" i="3"/>
  <c r="J256" i="3"/>
  <c r="K256" i="3"/>
  <c r="M256" i="3"/>
  <c r="A257" i="3"/>
  <c r="B257" i="3"/>
  <c r="C257" i="3"/>
  <c r="E257" i="3"/>
  <c r="G257" i="3"/>
  <c r="J257" i="3"/>
  <c r="K257" i="3"/>
  <c r="M257" i="3"/>
  <c r="A258" i="3"/>
  <c r="B258" i="3"/>
  <c r="C258" i="3"/>
  <c r="E258" i="3"/>
  <c r="G258" i="3"/>
  <c r="J258" i="3"/>
  <c r="K258" i="3"/>
  <c r="M258" i="3"/>
  <c r="A259" i="3"/>
  <c r="B259" i="3"/>
  <c r="C259" i="3"/>
  <c r="E259" i="3"/>
  <c r="G259" i="3"/>
  <c r="J259" i="3"/>
  <c r="K259" i="3"/>
  <c r="M259" i="3"/>
  <c r="A260" i="3"/>
  <c r="B260" i="3"/>
  <c r="C260" i="3"/>
  <c r="E260" i="3"/>
  <c r="G260" i="3"/>
  <c r="J260" i="3"/>
  <c r="K260" i="3"/>
  <c r="M260" i="3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A262" i="3"/>
  <c r="B262" i="3"/>
  <c r="C262" i="3"/>
  <c r="E262" i="3"/>
  <c r="G262" i="3"/>
  <c r="J262" i="3"/>
  <c r="K262" i="3"/>
  <c r="M262" i="3"/>
  <c r="A263" i="3"/>
  <c r="B263" i="3"/>
  <c r="C263" i="3"/>
  <c r="E263" i="3"/>
  <c r="G263" i="3"/>
  <c r="J263" i="3"/>
  <c r="K263" i="3"/>
  <c r="M263" i="3"/>
  <c r="A264" i="3"/>
  <c r="B264" i="3"/>
  <c r="C264" i="3"/>
  <c r="E264" i="3"/>
  <c r="G264" i="3"/>
  <c r="J264" i="3"/>
  <c r="K264" i="3"/>
  <c r="M264" i="3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A266" i="3"/>
  <c r="B266" i="3"/>
  <c r="C266" i="3"/>
  <c r="E266" i="3"/>
  <c r="G266" i="3"/>
  <c r="J266" i="3"/>
  <c r="K266" i="3"/>
  <c r="M266" i="3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A268" i="3"/>
  <c r="B268" i="3"/>
  <c r="C268" i="3"/>
  <c r="E268" i="3"/>
  <c r="G268" i="3"/>
  <c r="J268" i="3"/>
  <c r="K268" i="3"/>
  <c r="M268" i="3"/>
  <c r="A269" i="3"/>
  <c r="B269" i="3"/>
  <c r="C269" i="3"/>
  <c r="E269" i="3"/>
  <c r="G269" i="3"/>
  <c r="J269" i="3"/>
  <c r="K269" i="3"/>
  <c r="M269" i="3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A271" i="3"/>
  <c r="B271" i="3"/>
  <c r="C271" i="3"/>
  <c r="E271" i="3"/>
  <c r="G271" i="3"/>
  <c r="J271" i="3"/>
  <c r="K271" i="3"/>
  <c r="M271" i="3"/>
  <c r="A272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A273" i="3"/>
  <c r="B273" i="3"/>
  <c r="C273" i="3"/>
  <c r="E273" i="3"/>
  <c r="G273" i="3"/>
  <c r="J273" i="3"/>
  <c r="K273" i="3"/>
  <c r="M273" i="3"/>
  <c r="A274" i="3"/>
  <c r="B274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A275" i="3"/>
  <c r="B275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A276" i="3"/>
  <c r="B276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A277" i="3"/>
  <c r="B277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A278" i="3"/>
  <c r="B278" i="3"/>
  <c r="C278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A279" i="3"/>
  <c r="B279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A280" i="3"/>
  <c r="B280" i="3"/>
  <c r="C280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A281" i="3"/>
  <c r="B281" i="3"/>
  <c r="C281" i="3"/>
  <c r="E281" i="3"/>
  <c r="G281" i="3"/>
  <c r="J281" i="3"/>
  <c r="K281" i="3"/>
  <c r="M281" i="3"/>
  <c r="A282" i="3"/>
  <c r="B282" i="3"/>
  <c r="C282" i="3"/>
  <c r="E282" i="3"/>
  <c r="G282" i="3"/>
  <c r="J282" i="3"/>
  <c r="K282" i="3"/>
  <c r="M282" i="3"/>
  <c r="A283" i="3"/>
  <c r="B283" i="3"/>
  <c r="C283" i="3"/>
  <c r="E283" i="3"/>
  <c r="G283" i="3"/>
  <c r="J283" i="3"/>
  <c r="K283" i="3"/>
  <c r="M283" i="3"/>
  <c r="A284" i="3"/>
  <c r="B284" i="3"/>
  <c r="C284" i="3"/>
  <c r="E284" i="3"/>
  <c r="G284" i="3"/>
  <c r="J284" i="3"/>
  <c r="K284" i="3"/>
  <c r="M284" i="3"/>
  <c r="A285" i="3"/>
  <c r="B285" i="3"/>
  <c r="C285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A286" i="3"/>
  <c r="B286" i="3"/>
  <c r="C286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A287" i="3"/>
  <c r="B287" i="3"/>
  <c r="C287" i="3"/>
  <c r="E287" i="3"/>
  <c r="G287" i="3"/>
  <c r="J287" i="3"/>
  <c r="K287" i="3"/>
  <c r="M287" i="3"/>
  <c r="A288" i="3"/>
  <c r="B288" i="3"/>
  <c r="C288" i="3"/>
  <c r="E288" i="3"/>
  <c r="G288" i="3"/>
  <c r="J288" i="3"/>
  <c r="K288" i="3"/>
  <c r="M288" i="3"/>
  <c r="A289" i="3"/>
  <c r="B289" i="3"/>
  <c r="C289" i="3"/>
  <c r="E289" i="3"/>
  <c r="G289" i="3"/>
  <c r="J289" i="3"/>
  <c r="K289" i="3"/>
  <c r="M289" i="3"/>
  <c r="A290" i="3"/>
  <c r="B290" i="3"/>
  <c r="C290" i="3"/>
  <c r="E290" i="3"/>
  <c r="G290" i="3"/>
  <c r="J290" i="3"/>
  <c r="K290" i="3"/>
  <c r="M290" i="3"/>
  <c r="A291" i="3"/>
  <c r="B291" i="3"/>
  <c r="C291" i="3"/>
  <c r="E291" i="3"/>
  <c r="G291" i="3"/>
  <c r="J291" i="3"/>
  <c r="K291" i="3"/>
  <c r="M291" i="3"/>
  <c r="A292" i="3"/>
  <c r="B292" i="3"/>
  <c r="C292" i="3"/>
  <c r="E292" i="3"/>
  <c r="G292" i="3"/>
  <c r="J292" i="3"/>
  <c r="K292" i="3"/>
  <c r="M292" i="3"/>
  <c r="A293" i="3"/>
  <c r="B293" i="3"/>
  <c r="C293" i="3"/>
  <c r="E293" i="3"/>
  <c r="F293" i="3"/>
  <c r="G293" i="3"/>
  <c r="H293" i="3"/>
  <c r="I293" i="3"/>
  <c r="J293" i="3"/>
  <c r="K293" i="3"/>
  <c r="L293" i="3"/>
  <c r="M293" i="3"/>
  <c r="O293" i="3"/>
  <c r="P293" i="3"/>
  <c r="A294" i="3"/>
  <c r="B294" i="3"/>
  <c r="C294" i="3"/>
  <c r="E294" i="3"/>
  <c r="G294" i="3"/>
  <c r="J294" i="3"/>
  <c r="K294" i="3"/>
  <c r="M294" i="3"/>
  <c r="A295" i="3"/>
  <c r="B295" i="3"/>
  <c r="C295" i="3"/>
  <c r="E295" i="3"/>
  <c r="G295" i="3"/>
  <c r="J295" i="3"/>
  <c r="K295" i="3"/>
  <c r="M295" i="3"/>
  <c r="A296" i="3"/>
  <c r="B296" i="3"/>
  <c r="C296" i="3"/>
  <c r="E296" i="3"/>
  <c r="G296" i="3"/>
  <c r="J296" i="3"/>
  <c r="K296" i="3"/>
  <c r="M296" i="3"/>
  <c r="A297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A298" i="3"/>
  <c r="B298" i="3"/>
  <c r="C298" i="3"/>
  <c r="E298" i="3"/>
  <c r="G298" i="3"/>
  <c r="J298" i="3"/>
  <c r="K298" i="3"/>
  <c r="M298" i="3"/>
  <c r="A299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A300" i="3"/>
  <c r="B300" i="3"/>
  <c r="C300" i="3"/>
  <c r="E300" i="3"/>
  <c r="G300" i="3"/>
  <c r="J300" i="3"/>
  <c r="K300" i="3"/>
  <c r="M300" i="3"/>
  <c r="A301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A302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A303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A304" i="3"/>
  <c r="B304" i="3"/>
  <c r="C304" i="3"/>
  <c r="E304" i="3"/>
  <c r="G304" i="3"/>
  <c r="J304" i="3"/>
  <c r="K304" i="3"/>
  <c r="M304" i="3"/>
  <c r="A305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A306" i="3"/>
  <c r="B306" i="3"/>
  <c r="C306" i="3"/>
  <c r="E306" i="3"/>
  <c r="G306" i="3"/>
  <c r="J306" i="3"/>
  <c r="K306" i="3"/>
  <c r="M306" i="3"/>
  <c r="A307" i="3"/>
  <c r="B307" i="3"/>
  <c r="C307" i="3"/>
  <c r="E307" i="3"/>
  <c r="G307" i="3"/>
  <c r="J307" i="3"/>
  <c r="K307" i="3"/>
  <c r="M307" i="3"/>
  <c r="A308" i="3"/>
  <c r="B308" i="3"/>
  <c r="C308" i="3"/>
  <c r="E308" i="3"/>
  <c r="G308" i="3"/>
  <c r="J308" i="3"/>
  <c r="K308" i="3"/>
  <c r="M308" i="3"/>
  <c r="A309" i="3"/>
  <c r="B309" i="3"/>
  <c r="C309" i="3"/>
  <c r="E309" i="3"/>
  <c r="G309" i="3"/>
  <c r="J309" i="3"/>
  <c r="K309" i="3"/>
  <c r="M309" i="3"/>
  <c r="A310" i="3"/>
  <c r="B310" i="3"/>
  <c r="C310" i="3"/>
  <c r="E310" i="3"/>
  <c r="G310" i="3"/>
  <c r="J310" i="3"/>
  <c r="K310" i="3"/>
  <c r="M310" i="3"/>
  <c r="A311" i="3"/>
  <c r="B311" i="3"/>
  <c r="C311" i="3"/>
  <c r="E311" i="3"/>
  <c r="G311" i="3"/>
  <c r="J311" i="3"/>
  <c r="K311" i="3"/>
  <c r="M311" i="3"/>
  <c r="A312" i="3"/>
  <c r="B312" i="3"/>
  <c r="C312" i="3"/>
  <c r="E312" i="3"/>
  <c r="G312" i="3"/>
  <c r="J312" i="3"/>
  <c r="K312" i="3"/>
  <c r="M312" i="3"/>
  <c r="A313" i="3"/>
  <c r="B313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A314" i="3"/>
  <c r="B314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A315" i="3"/>
  <c r="B315" i="3"/>
  <c r="C315" i="3"/>
  <c r="E315" i="3"/>
  <c r="G315" i="3"/>
  <c r="J315" i="3"/>
  <c r="K315" i="3"/>
  <c r="M315" i="3"/>
  <c r="A316" i="3"/>
  <c r="B316" i="3"/>
  <c r="C316" i="3"/>
  <c r="E316" i="3"/>
  <c r="G316" i="3"/>
  <c r="J316" i="3"/>
  <c r="K316" i="3"/>
  <c r="M316" i="3"/>
  <c r="A317" i="3"/>
  <c r="B317" i="3"/>
  <c r="C317" i="3"/>
  <c r="E317" i="3"/>
  <c r="G317" i="3"/>
  <c r="J317" i="3"/>
  <c r="K317" i="3"/>
  <c r="M317" i="3"/>
  <c r="A318" i="3"/>
  <c r="B318" i="3"/>
  <c r="C318" i="3"/>
  <c r="D318" i="3"/>
  <c r="E318" i="3"/>
  <c r="G318" i="3"/>
  <c r="H318" i="3"/>
  <c r="I318" i="3"/>
  <c r="J318" i="3"/>
  <c r="K318" i="3"/>
  <c r="L318" i="3"/>
  <c r="M318" i="3"/>
  <c r="N318" i="3"/>
  <c r="O318" i="3"/>
  <c r="P318" i="3"/>
  <c r="A319" i="3"/>
  <c r="B319" i="3"/>
  <c r="C319" i="3"/>
  <c r="E319" i="3"/>
  <c r="G319" i="3"/>
  <c r="J319" i="3"/>
  <c r="K319" i="3"/>
  <c r="M319" i="3"/>
  <c r="A320" i="3"/>
  <c r="B320" i="3"/>
  <c r="C320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A321" i="3"/>
  <c r="B321" i="3"/>
  <c r="C321" i="3"/>
  <c r="E321" i="3"/>
  <c r="G321" i="3"/>
  <c r="J321" i="3"/>
  <c r="K321" i="3"/>
  <c r="M321" i="3"/>
  <c r="A322" i="3"/>
  <c r="B322" i="3"/>
  <c r="C322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A323" i="3"/>
  <c r="B323" i="3"/>
  <c r="C323" i="3"/>
  <c r="E323" i="3"/>
  <c r="G323" i="3"/>
  <c r="J323" i="3"/>
  <c r="K323" i="3"/>
  <c r="M323" i="3"/>
  <c r="A324" i="3"/>
  <c r="B324" i="3"/>
  <c r="C324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A325" i="3"/>
  <c r="B325" i="3"/>
  <c r="C325" i="3"/>
  <c r="E325" i="3"/>
  <c r="G325" i="3"/>
  <c r="J325" i="3"/>
  <c r="K325" i="3"/>
  <c r="M325" i="3"/>
  <c r="A326" i="3"/>
  <c r="B326" i="3"/>
  <c r="C326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A327" i="3"/>
  <c r="B327" i="3"/>
  <c r="C327" i="3"/>
  <c r="D327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A328" i="3"/>
  <c r="B328" i="3"/>
  <c r="C328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A329" i="3"/>
  <c r="B329" i="3"/>
  <c r="C329" i="3"/>
  <c r="D329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A330" i="3"/>
  <c r="B330" i="3"/>
  <c r="C330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A331" i="3"/>
  <c r="B331" i="3"/>
  <c r="C331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A332" i="3"/>
  <c r="B332" i="3"/>
  <c r="C332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A333" i="3"/>
  <c r="B333" i="3"/>
  <c r="C333" i="3"/>
  <c r="E333" i="3"/>
  <c r="G333" i="3"/>
  <c r="J333" i="3"/>
  <c r="K333" i="3"/>
  <c r="M333" i="3"/>
  <c r="A334" i="3"/>
  <c r="B334" i="3"/>
  <c r="C334" i="3"/>
  <c r="E334" i="3"/>
  <c r="G334" i="3"/>
  <c r="J334" i="3"/>
  <c r="K334" i="3"/>
  <c r="M334" i="3"/>
  <c r="A335" i="3"/>
  <c r="B335" i="3"/>
  <c r="C335" i="3"/>
  <c r="E335" i="3"/>
  <c r="G335" i="3"/>
  <c r="J335" i="3"/>
  <c r="K335" i="3"/>
  <c r="M335" i="3"/>
  <c r="A336" i="3"/>
  <c r="B336" i="3"/>
  <c r="C336" i="3"/>
  <c r="E336" i="3"/>
  <c r="G336" i="3"/>
  <c r="J336" i="3"/>
  <c r="K336" i="3"/>
  <c r="M336" i="3"/>
  <c r="A337" i="3"/>
  <c r="B337" i="3"/>
  <c r="C337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A338" i="3"/>
  <c r="B338" i="3"/>
  <c r="C338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A339" i="3"/>
  <c r="B339" i="3"/>
  <c r="C339" i="3"/>
  <c r="E339" i="3"/>
  <c r="G339" i="3"/>
  <c r="J339" i="3"/>
  <c r="K339" i="3"/>
  <c r="M339" i="3"/>
  <c r="A340" i="3"/>
  <c r="B340" i="3"/>
  <c r="C340" i="3"/>
  <c r="E340" i="3"/>
  <c r="G340" i="3"/>
  <c r="J340" i="3"/>
  <c r="K340" i="3"/>
  <c r="M340" i="3"/>
  <c r="A341" i="3"/>
  <c r="B341" i="3"/>
  <c r="C341" i="3"/>
  <c r="E341" i="3"/>
  <c r="G341" i="3"/>
  <c r="J341" i="3"/>
  <c r="K341" i="3"/>
  <c r="M341" i="3"/>
  <c r="A342" i="3"/>
  <c r="B342" i="3"/>
  <c r="C342" i="3"/>
  <c r="E342" i="3"/>
  <c r="G342" i="3"/>
  <c r="J342" i="3"/>
  <c r="K342" i="3"/>
  <c r="M342" i="3"/>
  <c r="A343" i="3"/>
  <c r="B343" i="3"/>
  <c r="C343" i="3"/>
  <c r="E343" i="3"/>
  <c r="G343" i="3"/>
  <c r="J343" i="3"/>
  <c r="K343" i="3"/>
  <c r="M343" i="3"/>
  <c r="A344" i="3"/>
  <c r="B344" i="3"/>
  <c r="C344" i="3"/>
  <c r="E344" i="3"/>
  <c r="G344" i="3"/>
  <c r="J344" i="3"/>
  <c r="K344" i="3"/>
  <c r="M344" i="3"/>
  <c r="A345" i="3"/>
  <c r="B345" i="3"/>
  <c r="C345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A346" i="3"/>
  <c r="B346" i="3"/>
  <c r="C346" i="3"/>
  <c r="E346" i="3"/>
  <c r="G346" i="3"/>
  <c r="J346" i="3"/>
  <c r="K346" i="3"/>
  <c r="M346" i="3"/>
  <c r="A347" i="3"/>
  <c r="B347" i="3"/>
  <c r="C347" i="3"/>
  <c r="E347" i="3"/>
  <c r="G347" i="3"/>
  <c r="J347" i="3"/>
  <c r="K347" i="3"/>
  <c r="M347" i="3"/>
  <c r="A348" i="3"/>
  <c r="B348" i="3"/>
  <c r="C348" i="3"/>
  <c r="E348" i="3"/>
  <c r="G348" i="3"/>
  <c r="J348" i="3"/>
  <c r="K348" i="3"/>
  <c r="M348" i="3"/>
  <c r="A349" i="3"/>
  <c r="B349" i="3"/>
  <c r="C349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A350" i="3"/>
  <c r="B350" i="3"/>
  <c r="C350" i="3"/>
  <c r="E350" i="3"/>
  <c r="G350" i="3"/>
  <c r="J350" i="3"/>
  <c r="K350" i="3"/>
  <c r="M350" i="3"/>
  <c r="A351" i="3"/>
  <c r="B351" i="3"/>
  <c r="C351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A352" i="3"/>
  <c r="B352" i="3"/>
  <c r="C352" i="3"/>
  <c r="E352" i="3"/>
  <c r="G352" i="3"/>
  <c r="J352" i="3"/>
  <c r="K352" i="3"/>
  <c r="M352" i="3"/>
  <c r="A353" i="3"/>
  <c r="B353" i="3"/>
  <c r="C353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A354" i="3"/>
  <c r="B354" i="3"/>
  <c r="C354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A355" i="3"/>
  <c r="B355" i="3"/>
  <c r="C355" i="3"/>
  <c r="E355" i="3"/>
  <c r="G355" i="3"/>
  <c r="J355" i="3"/>
  <c r="K355" i="3"/>
  <c r="M355" i="3"/>
  <c r="A356" i="3"/>
  <c r="B356" i="3"/>
  <c r="C356" i="3"/>
  <c r="E356" i="3"/>
  <c r="G356" i="3"/>
  <c r="J356" i="3"/>
  <c r="K356" i="3"/>
  <c r="M356" i="3"/>
  <c r="A357" i="3"/>
  <c r="B357" i="3"/>
  <c r="C357" i="3"/>
  <c r="E357" i="3"/>
  <c r="G357" i="3"/>
  <c r="J357" i="3"/>
  <c r="K357" i="3"/>
  <c r="M357" i="3"/>
  <c r="A358" i="3"/>
  <c r="B358" i="3"/>
  <c r="C358" i="3"/>
  <c r="E358" i="3"/>
  <c r="G358" i="3"/>
  <c r="J358" i="3"/>
  <c r="K358" i="3"/>
  <c r="M358" i="3"/>
  <c r="A359" i="3"/>
  <c r="B359" i="3"/>
  <c r="C359" i="3"/>
  <c r="E359" i="3"/>
  <c r="G359" i="3"/>
  <c r="J359" i="3"/>
  <c r="K359" i="3"/>
  <c r="M359" i="3"/>
  <c r="A360" i="3"/>
  <c r="B360" i="3"/>
  <c r="C360" i="3"/>
  <c r="E360" i="3"/>
  <c r="G360" i="3"/>
  <c r="J360" i="3"/>
  <c r="K360" i="3"/>
  <c r="M360" i="3"/>
  <c r="A361" i="3"/>
  <c r="B361" i="3"/>
  <c r="C361" i="3"/>
  <c r="E361" i="3"/>
  <c r="G361" i="3"/>
  <c r="J361" i="3"/>
  <c r="K361" i="3"/>
  <c r="M361" i="3"/>
  <c r="A362" i="3"/>
  <c r="B362" i="3"/>
  <c r="C362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A363" i="3"/>
  <c r="B363" i="3"/>
  <c r="C363" i="3"/>
  <c r="E363" i="3"/>
  <c r="G363" i="3"/>
  <c r="J363" i="3"/>
  <c r="K363" i="3"/>
  <c r="M363" i="3"/>
  <c r="A364" i="3"/>
  <c r="B364" i="3"/>
  <c r="C364" i="3"/>
  <c r="E364" i="3"/>
  <c r="G364" i="3"/>
  <c r="J364" i="3"/>
  <c r="K364" i="3"/>
  <c r="M364" i="3"/>
  <c r="A365" i="3"/>
  <c r="B365" i="3"/>
  <c r="C365" i="3"/>
  <c r="E365" i="3"/>
  <c r="G365" i="3"/>
  <c r="J365" i="3"/>
  <c r="K365" i="3"/>
  <c r="M365" i="3"/>
  <c r="A366" i="3"/>
  <c r="B366" i="3"/>
  <c r="C366" i="3"/>
  <c r="E366" i="3"/>
  <c r="G366" i="3"/>
  <c r="J366" i="3"/>
  <c r="K366" i="3"/>
  <c r="M366" i="3"/>
  <c r="A367" i="3"/>
  <c r="B367" i="3"/>
  <c r="C367" i="3"/>
  <c r="E367" i="3"/>
  <c r="G367" i="3"/>
  <c r="J367" i="3"/>
  <c r="K367" i="3"/>
  <c r="M367" i="3"/>
  <c r="A368" i="3"/>
  <c r="B368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A369" i="3"/>
  <c r="B369" i="3"/>
  <c r="C369" i="3"/>
  <c r="E369" i="3"/>
  <c r="G369" i="3"/>
  <c r="J369" i="3"/>
  <c r="K369" i="3"/>
  <c r="M369" i="3"/>
  <c r="A370" i="3"/>
  <c r="B370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A371" i="3"/>
  <c r="B371" i="3"/>
  <c r="C371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A372" i="3"/>
  <c r="B372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A373" i="3"/>
  <c r="B373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A374" i="3"/>
  <c r="B374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A406" i="3"/>
  <c r="B406" i="3"/>
  <c r="C406" i="3"/>
  <c r="D406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A407" i="3"/>
  <c r="B407" i="3"/>
  <c r="C407" i="3"/>
  <c r="E407" i="3"/>
  <c r="G407" i="3"/>
  <c r="J407" i="3"/>
  <c r="K407" i="3"/>
  <c r="M407" i="3"/>
  <c r="A408" i="3"/>
  <c r="B408" i="3"/>
  <c r="C408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A409" i="3"/>
  <c r="B409" i="3"/>
  <c r="C409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A410" i="3"/>
  <c r="B410" i="3"/>
  <c r="C410" i="3"/>
  <c r="E410" i="3"/>
  <c r="F410" i="3"/>
  <c r="G410" i="3"/>
  <c r="H410" i="3"/>
  <c r="I410" i="3"/>
  <c r="J410" i="3"/>
  <c r="K410" i="3"/>
  <c r="L410" i="3"/>
  <c r="M410" i="3"/>
  <c r="N410" i="3"/>
  <c r="O410" i="3"/>
  <c r="P410" i="3"/>
  <c r="A411" i="3"/>
  <c r="B411" i="3"/>
  <c r="C411" i="3"/>
  <c r="D411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A412" i="3"/>
  <c r="B412" i="3"/>
  <c r="C412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A413" i="3"/>
  <c r="B413" i="3"/>
  <c r="C413" i="3"/>
  <c r="E413" i="3"/>
  <c r="G413" i="3"/>
  <c r="J413" i="3"/>
  <c r="K413" i="3"/>
  <c r="M413" i="3"/>
  <c r="A414" i="3"/>
  <c r="B414" i="3"/>
  <c r="C414" i="3"/>
  <c r="E414" i="3"/>
  <c r="G414" i="3"/>
  <c r="J414" i="3"/>
  <c r="K414" i="3"/>
  <c r="M414" i="3"/>
  <c r="A415" i="3"/>
  <c r="B415" i="3"/>
  <c r="C415" i="3"/>
  <c r="E415" i="3"/>
  <c r="G415" i="3"/>
  <c r="J415" i="3"/>
  <c r="K415" i="3"/>
  <c r="M415" i="3"/>
  <c r="A416" i="3"/>
  <c r="B416" i="3"/>
  <c r="C416" i="3"/>
  <c r="E416" i="3"/>
  <c r="G416" i="3"/>
  <c r="J416" i="3"/>
  <c r="K416" i="3"/>
  <c r="M416" i="3"/>
  <c r="A417" i="3"/>
  <c r="B417" i="3"/>
  <c r="C417" i="3"/>
  <c r="E417" i="3"/>
  <c r="G417" i="3"/>
  <c r="J417" i="3"/>
  <c r="K417" i="3"/>
  <c r="M417" i="3"/>
  <c r="A418" i="3"/>
  <c r="B418" i="3"/>
  <c r="C418" i="3"/>
  <c r="E418" i="3"/>
  <c r="G418" i="3"/>
  <c r="J418" i="3"/>
  <c r="K418" i="3"/>
  <c r="M418" i="3"/>
  <c r="A419" i="3"/>
  <c r="B419" i="3"/>
  <c r="C419" i="3"/>
  <c r="E419" i="3"/>
  <c r="G419" i="3"/>
  <c r="J419" i="3"/>
  <c r="K419" i="3"/>
  <c r="M419" i="3"/>
  <c r="A420" i="3"/>
  <c r="B420" i="3"/>
  <c r="C420" i="3"/>
  <c r="E420" i="3"/>
  <c r="G420" i="3"/>
  <c r="J420" i="3"/>
  <c r="K420" i="3"/>
  <c r="M420" i="3"/>
  <c r="A421" i="3"/>
  <c r="B421" i="3"/>
  <c r="C421" i="3"/>
  <c r="E421" i="3"/>
  <c r="G421" i="3"/>
  <c r="J421" i="3"/>
  <c r="K421" i="3"/>
  <c r="M421" i="3"/>
  <c r="A422" i="3"/>
  <c r="B422" i="3"/>
  <c r="C422" i="3"/>
  <c r="E422" i="3"/>
  <c r="G422" i="3"/>
  <c r="J422" i="3"/>
  <c r="K422" i="3"/>
  <c r="M422" i="3"/>
  <c r="A423" i="3"/>
  <c r="B423" i="3"/>
  <c r="C423" i="3"/>
  <c r="E423" i="3"/>
  <c r="G423" i="3"/>
  <c r="J423" i="3"/>
  <c r="K423" i="3"/>
  <c r="M423" i="3"/>
  <c r="A424" i="3"/>
  <c r="B424" i="3"/>
  <c r="C424" i="3"/>
  <c r="E424" i="3"/>
  <c r="G424" i="3"/>
  <c r="J424" i="3"/>
  <c r="K424" i="3"/>
  <c r="M424" i="3"/>
  <c r="A425" i="3"/>
  <c r="B425" i="3"/>
  <c r="C425" i="3"/>
  <c r="E425" i="3"/>
  <c r="G425" i="3"/>
  <c r="J425" i="3"/>
  <c r="K425" i="3"/>
  <c r="M425" i="3"/>
  <c r="A426" i="3"/>
  <c r="B426" i="3"/>
  <c r="C426" i="3"/>
  <c r="E426" i="3"/>
  <c r="G426" i="3"/>
  <c r="J426" i="3"/>
  <c r="K426" i="3"/>
  <c r="M426" i="3"/>
  <c r="A427" i="3"/>
  <c r="B427" i="3"/>
  <c r="C427" i="3"/>
  <c r="D427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A428" i="3"/>
  <c r="B428" i="3"/>
  <c r="C428" i="3"/>
  <c r="E428" i="3"/>
  <c r="G428" i="3"/>
  <c r="J428" i="3"/>
  <c r="K428" i="3"/>
  <c r="M428" i="3"/>
  <c r="A429" i="3"/>
  <c r="B429" i="3"/>
  <c r="C429" i="3"/>
  <c r="D429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A430" i="3"/>
  <c r="B430" i="3"/>
  <c r="C430" i="3"/>
  <c r="D430" i="3"/>
  <c r="E430" i="3"/>
  <c r="F430" i="3"/>
  <c r="G430" i="3"/>
  <c r="H430" i="3"/>
  <c r="I430" i="3"/>
  <c r="J430" i="3"/>
  <c r="K430" i="3"/>
  <c r="L430" i="3"/>
  <c r="M430" i="3"/>
  <c r="N430" i="3"/>
  <c r="O430" i="3"/>
  <c r="P430" i="3"/>
  <c r="A431" i="3"/>
  <c r="B431" i="3"/>
  <c r="C431" i="3"/>
  <c r="E431" i="3"/>
  <c r="G431" i="3"/>
  <c r="J431" i="3"/>
  <c r="K431" i="3"/>
  <c r="M431" i="3"/>
  <c r="A432" i="3"/>
  <c r="B432" i="3"/>
  <c r="C432" i="3"/>
  <c r="E432" i="3"/>
  <c r="G432" i="3"/>
  <c r="J432" i="3"/>
  <c r="K432" i="3"/>
  <c r="M432" i="3"/>
  <c r="A433" i="3"/>
  <c r="B433" i="3"/>
  <c r="C433" i="3"/>
  <c r="E433" i="3"/>
  <c r="G433" i="3"/>
  <c r="J433" i="3"/>
  <c r="K433" i="3"/>
  <c r="M433" i="3"/>
  <c r="A434" i="3"/>
  <c r="B434" i="3"/>
  <c r="C434" i="3"/>
  <c r="E434" i="3"/>
  <c r="G434" i="3"/>
  <c r="J434" i="3"/>
  <c r="K434" i="3"/>
  <c r="M434" i="3"/>
  <c r="A435" i="3"/>
  <c r="B435" i="3"/>
  <c r="C435" i="3"/>
  <c r="E435" i="3"/>
  <c r="G435" i="3"/>
  <c r="J435" i="3"/>
  <c r="K435" i="3"/>
  <c r="M435" i="3"/>
  <c r="A436" i="3"/>
  <c r="B436" i="3"/>
  <c r="C436" i="3"/>
  <c r="E436" i="3"/>
  <c r="G436" i="3"/>
  <c r="J436" i="3"/>
  <c r="K436" i="3"/>
  <c r="M436" i="3"/>
  <c r="A437" i="3"/>
  <c r="B437" i="3"/>
  <c r="C437" i="3"/>
  <c r="E437" i="3"/>
  <c r="G437" i="3"/>
  <c r="J437" i="3"/>
  <c r="K437" i="3"/>
  <c r="M437" i="3"/>
  <c r="A438" i="3"/>
  <c r="B438" i="3"/>
  <c r="C438" i="3"/>
  <c r="E438" i="3"/>
  <c r="G438" i="3"/>
  <c r="J438" i="3"/>
  <c r="K438" i="3"/>
  <c r="M438" i="3"/>
  <c r="A439" i="3"/>
  <c r="B439" i="3"/>
  <c r="C439" i="3"/>
  <c r="E439" i="3"/>
  <c r="G439" i="3"/>
  <c r="J439" i="3"/>
  <c r="K439" i="3"/>
  <c r="M439" i="3"/>
  <c r="A440" i="3"/>
  <c r="B440" i="3"/>
  <c r="C440" i="3"/>
  <c r="E440" i="3"/>
  <c r="G440" i="3"/>
  <c r="J440" i="3"/>
  <c r="K440" i="3"/>
  <c r="M440" i="3"/>
  <c r="A441" i="3"/>
  <c r="B441" i="3"/>
  <c r="C441" i="3"/>
  <c r="E441" i="3"/>
  <c r="G441" i="3"/>
  <c r="J441" i="3"/>
  <c r="K441" i="3"/>
  <c r="M441" i="3"/>
  <c r="A442" i="3"/>
  <c r="B442" i="3"/>
  <c r="C442" i="3"/>
  <c r="E442" i="3"/>
  <c r="G442" i="3"/>
  <c r="J442" i="3"/>
  <c r="K442" i="3"/>
  <c r="M442" i="3"/>
  <c r="A443" i="3"/>
  <c r="B443" i="3"/>
  <c r="C443" i="3"/>
  <c r="E443" i="3"/>
  <c r="G443" i="3"/>
  <c r="J443" i="3"/>
  <c r="K443" i="3"/>
  <c r="M443" i="3"/>
  <c r="A444" i="3"/>
  <c r="B444" i="3"/>
  <c r="C444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A445" i="3"/>
  <c r="B445" i="3"/>
  <c r="C445" i="3"/>
  <c r="E445" i="3"/>
  <c r="G445" i="3"/>
  <c r="J445" i="3"/>
  <c r="K445" i="3"/>
  <c r="M445" i="3"/>
  <c r="A446" i="3"/>
  <c r="B446" i="3"/>
  <c r="C446" i="3"/>
  <c r="D446" i="3"/>
  <c r="E446" i="3"/>
  <c r="F446" i="3"/>
  <c r="G446" i="3"/>
  <c r="H446" i="3"/>
  <c r="I446" i="3"/>
  <c r="J446" i="3"/>
  <c r="K446" i="3"/>
  <c r="L446" i="3"/>
  <c r="M446" i="3"/>
  <c r="N446" i="3"/>
  <c r="O446" i="3"/>
  <c r="P446" i="3"/>
  <c r="A447" i="3"/>
  <c r="B447" i="3"/>
  <c r="C447" i="3"/>
  <c r="D447" i="3"/>
  <c r="E447" i="3"/>
  <c r="F447" i="3"/>
  <c r="G447" i="3"/>
  <c r="H447" i="3"/>
  <c r="I447" i="3"/>
  <c r="J447" i="3"/>
  <c r="K447" i="3"/>
  <c r="L447" i="3"/>
  <c r="M447" i="3"/>
  <c r="N447" i="3"/>
  <c r="O447" i="3"/>
  <c r="P447" i="3"/>
  <c r="A448" i="3"/>
  <c r="B448" i="3"/>
  <c r="C448" i="3"/>
  <c r="E448" i="3"/>
  <c r="G448" i="3"/>
  <c r="J448" i="3"/>
  <c r="K448" i="3"/>
  <c r="M448" i="3"/>
  <c r="A449" i="3"/>
  <c r="B449" i="3"/>
  <c r="C449" i="3"/>
  <c r="E449" i="3"/>
  <c r="G449" i="3"/>
  <c r="J449" i="3"/>
  <c r="K449" i="3"/>
  <c r="M449" i="3"/>
  <c r="A450" i="3"/>
  <c r="B450" i="3"/>
  <c r="C450" i="3"/>
  <c r="E450" i="3"/>
  <c r="G450" i="3"/>
  <c r="J450" i="3"/>
  <c r="K450" i="3"/>
  <c r="M450" i="3"/>
  <c r="A451" i="3"/>
  <c r="B451" i="3"/>
  <c r="C451" i="3"/>
  <c r="E451" i="3"/>
  <c r="G451" i="3"/>
  <c r="J451" i="3"/>
  <c r="K451" i="3"/>
  <c r="M451" i="3"/>
  <c r="A452" i="3"/>
  <c r="B452" i="3"/>
  <c r="C452" i="3"/>
  <c r="E452" i="3"/>
  <c r="G452" i="3"/>
  <c r="J452" i="3"/>
  <c r="K452" i="3"/>
  <c r="M452" i="3"/>
  <c r="A453" i="3"/>
  <c r="B453" i="3"/>
  <c r="C453" i="3"/>
  <c r="E453" i="3"/>
  <c r="G453" i="3"/>
  <c r="J453" i="3"/>
  <c r="K453" i="3"/>
  <c r="M453" i="3"/>
  <c r="A454" i="3"/>
  <c r="B454" i="3"/>
  <c r="C454" i="3"/>
  <c r="E454" i="3"/>
  <c r="G454" i="3"/>
  <c r="J454" i="3"/>
  <c r="K454" i="3"/>
  <c r="M454" i="3"/>
  <c r="A455" i="3"/>
  <c r="B455" i="3"/>
  <c r="C455" i="3"/>
  <c r="E455" i="3"/>
  <c r="G455" i="3"/>
  <c r="J455" i="3"/>
  <c r="K455" i="3"/>
  <c r="M455" i="3"/>
  <c r="A456" i="3"/>
  <c r="B456" i="3"/>
  <c r="C456" i="3"/>
  <c r="E456" i="3"/>
  <c r="G456" i="3"/>
  <c r="J456" i="3"/>
  <c r="K456" i="3"/>
  <c r="M456" i="3"/>
  <c r="A457" i="3"/>
  <c r="B457" i="3"/>
  <c r="C457" i="3"/>
  <c r="E457" i="3"/>
  <c r="G457" i="3"/>
  <c r="J457" i="3"/>
  <c r="K457" i="3"/>
  <c r="M457" i="3"/>
  <c r="A458" i="3"/>
  <c r="B458" i="3"/>
  <c r="C458" i="3"/>
  <c r="D458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A459" i="3"/>
  <c r="B459" i="3"/>
  <c r="C459" i="3"/>
  <c r="E459" i="3"/>
  <c r="G459" i="3"/>
  <c r="J459" i="3"/>
  <c r="K459" i="3"/>
  <c r="M459" i="3"/>
  <c r="A460" i="3"/>
  <c r="B460" i="3"/>
  <c r="C460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A461" i="3"/>
  <c r="B461" i="3"/>
  <c r="C461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A462" i="3"/>
  <c r="B462" i="3"/>
  <c r="C462" i="3"/>
  <c r="E462" i="3"/>
  <c r="G462" i="3"/>
  <c r="J462" i="3"/>
  <c r="K462" i="3"/>
  <c r="M462" i="3"/>
  <c r="A463" i="3"/>
  <c r="B463" i="3"/>
  <c r="C463" i="3"/>
  <c r="E463" i="3"/>
  <c r="G463" i="3"/>
  <c r="J463" i="3"/>
  <c r="K463" i="3"/>
  <c r="M463" i="3"/>
  <c r="A464" i="3"/>
  <c r="B464" i="3"/>
  <c r="C464" i="3"/>
  <c r="E464" i="3"/>
  <c r="G464" i="3"/>
  <c r="J464" i="3"/>
  <c r="K464" i="3"/>
  <c r="M464" i="3"/>
  <c r="A465" i="3"/>
  <c r="B465" i="3"/>
  <c r="C465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A466" i="3"/>
  <c r="B466" i="3"/>
  <c r="C466" i="3"/>
  <c r="E466" i="3"/>
  <c r="G466" i="3"/>
  <c r="J466" i="3"/>
  <c r="K466" i="3"/>
  <c r="M466" i="3"/>
  <c r="A467" i="3"/>
  <c r="B467" i="3"/>
  <c r="C467" i="3"/>
  <c r="E467" i="3"/>
  <c r="G467" i="3"/>
  <c r="J467" i="3"/>
  <c r="K467" i="3"/>
  <c r="M467" i="3"/>
  <c r="A468" i="3"/>
  <c r="B468" i="3"/>
  <c r="C468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A469" i="3"/>
  <c r="B469" i="3"/>
  <c r="C469" i="3"/>
  <c r="E469" i="3"/>
  <c r="G469" i="3"/>
  <c r="J469" i="3"/>
  <c r="K469" i="3"/>
  <c r="M469" i="3"/>
  <c r="A470" i="3"/>
  <c r="B470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A471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A472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A473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A474" i="3"/>
  <c r="B474" i="3"/>
  <c r="C474" i="3"/>
  <c r="E474" i="3"/>
  <c r="G474" i="3"/>
  <c r="J474" i="3"/>
  <c r="K474" i="3"/>
  <c r="M474" i="3"/>
  <c r="A475" i="3"/>
  <c r="B475" i="3"/>
  <c r="C475" i="3"/>
  <c r="E475" i="3"/>
  <c r="G475" i="3"/>
  <c r="J475" i="3"/>
  <c r="K475" i="3"/>
  <c r="M475" i="3"/>
  <c r="A476" i="3"/>
  <c r="B476" i="3"/>
  <c r="C476" i="3"/>
  <c r="E476" i="3"/>
  <c r="G476" i="3"/>
  <c r="J476" i="3"/>
  <c r="K476" i="3"/>
  <c r="M476" i="3"/>
  <c r="A477" i="3"/>
  <c r="B477" i="3"/>
  <c r="C477" i="3"/>
  <c r="E477" i="3"/>
  <c r="G477" i="3"/>
  <c r="J477" i="3"/>
  <c r="K477" i="3"/>
  <c r="M477" i="3"/>
  <c r="A478" i="3"/>
  <c r="B478" i="3"/>
  <c r="C478" i="3"/>
  <c r="E478" i="3"/>
  <c r="G478" i="3"/>
  <c r="J478" i="3"/>
  <c r="K478" i="3"/>
  <c r="M478" i="3"/>
  <c r="A479" i="3"/>
  <c r="B479" i="3"/>
  <c r="C479" i="3"/>
  <c r="E479" i="3"/>
  <c r="G479" i="3"/>
  <c r="J479" i="3"/>
  <c r="K479" i="3"/>
  <c r="M479" i="3"/>
  <c r="A480" i="3"/>
  <c r="B480" i="3"/>
  <c r="C480" i="3"/>
  <c r="E480" i="3"/>
  <c r="G480" i="3"/>
  <c r="J480" i="3"/>
  <c r="K480" i="3"/>
  <c r="M480" i="3"/>
  <c r="A481" i="3"/>
  <c r="B481" i="3"/>
  <c r="C481" i="3"/>
  <c r="E481" i="3"/>
  <c r="G481" i="3"/>
  <c r="J481" i="3"/>
  <c r="K481" i="3"/>
  <c r="M481" i="3"/>
  <c r="A482" i="3"/>
  <c r="B482" i="3"/>
  <c r="C482" i="3"/>
  <c r="E482" i="3"/>
  <c r="G482" i="3"/>
  <c r="J482" i="3"/>
  <c r="K482" i="3"/>
  <c r="M482" i="3"/>
  <c r="A483" i="3"/>
  <c r="B483" i="3"/>
  <c r="C483" i="3"/>
  <c r="E483" i="3"/>
  <c r="G483" i="3"/>
  <c r="J483" i="3"/>
  <c r="K483" i="3"/>
  <c r="M483" i="3"/>
  <c r="A484" i="3"/>
  <c r="B484" i="3"/>
  <c r="C484" i="3"/>
  <c r="E484" i="3"/>
  <c r="G484" i="3"/>
  <c r="J484" i="3"/>
  <c r="K484" i="3"/>
  <c r="M484" i="3"/>
  <c r="A485" i="3"/>
  <c r="B485" i="3"/>
  <c r="C485" i="3"/>
  <c r="E485" i="3"/>
  <c r="G485" i="3"/>
  <c r="J485" i="3"/>
  <c r="K485" i="3"/>
  <c r="M485" i="3"/>
  <c r="A486" i="3"/>
  <c r="B486" i="3"/>
  <c r="C486" i="3"/>
  <c r="E486" i="3"/>
  <c r="G486" i="3"/>
  <c r="J486" i="3"/>
  <c r="K486" i="3"/>
  <c r="M486" i="3"/>
  <c r="A487" i="3"/>
  <c r="B487" i="3"/>
  <c r="C487" i="3"/>
  <c r="E487" i="3"/>
  <c r="G487" i="3"/>
  <c r="J487" i="3"/>
  <c r="K487" i="3"/>
  <c r="M487" i="3"/>
  <c r="A488" i="3"/>
  <c r="B488" i="3"/>
  <c r="C488" i="3"/>
  <c r="E488" i="3"/>
  <c r="G488" i="3"/>
  <c r="J488" i="3"/>
  <c r="K488" i="3"/>
  <c r="M488" i="3"/>
  <c r="A489" i="3"/>
  <c r="B489" i="3"/>
  <c r="C489" i="3"/>
  <c r="E489" i="3"/>
  <c r="G489" i="3"/>
  <c r="J489" i="3"/>
  <c r="K489" i="3"/>
  <c r="M489" i="3"/>
  <c r="A490" i="3"/>
  <c r="B490" i="3"/>
  <c r="C490" i="3"/>
  <c r="E490" i="3"/>
  <c r="G490" i="3"/>
  <c r="J490" i="3"/>
  <c r="K490" i="3"/>
  <c r="M490" i="3"/>
  <c r="A491" i="3"/>
  <c r="B491" i="3"/>
  <c r="C491" i="3"/>
  <c r="D491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A492" i="3"/>
  <c r="B492" i="3"/>
  <c r="C492" i="3"/>
  <c r="E492" i="3"/>
  <c r="G492" i="3"/>
  <c r="J492" i="3"/>
  <c r="K492" i="3"/>
  <c r="M492" i="3"/>
  <c r="A493" i="3"/>
  <c r="B493" i="3"/>
  <c r="C493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A494" i="3"/>
  <c r="B494" i="3"/>
  <c r="C494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A495" i="3"/>
  <c r="B495" i="3"/>
  <c r="C495" i="3"/>
  <c r="E495" i="3"/>
  <c r="G495" i="3"/>
  <c r="J495" i="3"/>
  <c r="K495" i="3"/>
  <c r="M495" i="3"/>
  <c r="A496" i="3"/>
  <c r="B496" i="3"/>
  <c r="C496" i="3"/>
  <c r="E496" i="3"/>
  <c r="G496" i="3"/>
  <c r="J496" i="3"/>
  <c r="K496" i="3"/>
  <c r="M496" i="3"/>
  <c r="A497" i="3"/>
  <c r="B497" i="3"/>
  <c r="C497" i="3"/>
  <c r="E497" i="3"/>
  <c r="G497" i="3"/>
  <c r="J497" i="3"/>
  <c r="K497" i="3"/>
  <c r="M497" i="3"/>
  <c r="A498" i="3"/>
  <c r="B498" i="3"/>
  <c r="C498" i="3"/>
  <c r="E498" i="3"/>
  <c r="G498" i="3"/>
  <c r="J498" i="3"/>
  <c r="K498" i="3"/>
  <c r="M498" i="3"/>
  <c r="A499" i="3"/>
  <c r="B499" i="3"/>
  <c r="C499" i="3"/>
  <c r="E499" i="3"/>
  <c r="G499" i="3"/>
  <c r="J499" i="3"/>
  <c r="K499" i="3"/>
  <c r="M499" i="3"/>
  <c r="A500" i="3"/>
  <c r="B500" i="3"/>
  <c r="C500" i="3"/>
  <c r="E500" i="3"/>
  <c r="G500" i="3"/>
  <c r="J500" i="3"/>
  <c r="K500" i="3"/>
  <c r="M500" i="3"/>
  <c r="A501" i="3"/>
  <c r="B501" i="3"/>
  <c r="C501" i="3"/>
  <c r="E501" i="3"/>
  <c r="G501" i="3"/>
  <c r="J501" i="3"/>
  <c r="K501" i="3"/>
  <c r="M501" i="3"/>
  <c r="A502" i="3"/>
  <c r="B502" i="3"/>
  <c r="C502" i="3"/>
  <c r="E502" i="3"/>
  <c r="G502" i="3"/>
  <c r="J502" i="3"/>
  <c r="K502" i="3"/>
  <c r="M502" i="3"/>
  <c r="A503" i="3"/>
  <c r="B503" i="3"/>
  <c r="C503" i="3"/>
  <c r="E503" i="3"/>
  <c r="G503" i="3"/>
  <c r="J503" i="3"/>
  <c r="K503" i="3"/>
  <c r="M503" i="3"/>
  <c r="A504" i="3"/>
  <c r="B504" i="3"/>
  <c r="C504" i="3"/>
  <c r="E504" i="3"/>
  <c r="G504" i="3"/>
  <c r="J504" i="3"/>
  <c r="K504" i="3"/>
  <c r="M504" i="3"/>
  <c r="A505" i="3"/>
  <c r="B505" i="3"/>
  <c r="C505" i="3"/>
  <c r="E505" i="3"/>
  <c r="G505" i="3"/>
  <c r="J505" i="3"/>
  <c r="K505" i="3"/>
  <c r="M505" i="3"/>
  <c r="A506" i="3"/>
  <c r="B506" i="3"/>
  <c r="C506" i="3"/>
  <c r="E506" i="3"/>
  <c r="G506" i="3"/>
  <c r="J506" i="3"/>
  <c r="K506" i="3"/>
  <c r="M506" i="3"/>
  <c r="A507" i="3"/>
  <c r="B507" i="3"/>
  <c r="C507" i="3"/>
  <c r="E507" i="3"/>
  <c r="G507" i="3"/>
  <c r="J507" i="3"/>
  <c r="K507" i="3"/>
  <c r="M507" i="3"/>
  <c r="A508" i="3"/>
  <c r="B508" i="3"/>
  <c r="C508" i="3"/>
  <c r="E508" i="3"/>
  <c r="G508" i="3"/>
  <c r="J508" i="3"/>
  <c r="K508" i="3"/>
  <c r="M508" i="3"/>
  <c r="A509" i="3"/>
  <c r="B509" i="3"/>
  <c r="C509" i="3"/>
  <c r="E509" i="3"/>
  <c r="G509" i="3"/>
  <c r="J509" i="3"/>
  <c r="K509" i="3"/>
  <c r="M509" i="3"/>
  <c r="A510" i="3"/>
  <c r="B510" i="3"/>
  <c r="C510" i="3"/>
  <c r="E510" i="3"/>
  <c r="G510" i="3"/>
  <c r="J510" i="3"/>
  <c r="K510" i="3"/>
  <c r="M510" i="3"/>
  <c r="A511" i="3"/>
  <c r="B511" i="3"/>
  <c r="C511" i="3"/>
  <c r="E511" i="3"/>
  <c r="G511" i="3"/>
  <c r="J511" i="3"/>
  <c r="K511" i="3"/>
  <c r="M511" i="3"/>
  <c r="A512" i="3"/>
  <c r="B512" i="3"/>
  <c r="C512" i="3"/>
  <c r="E512" i="3"/>
  <c r="G512" i="3"/>
  <c r="J512" i="3"/>
  <c r="K512" i="3"/>
  <c r="M512" i="3"/>
  <c r="A513" i="3"/>
  <c r="B513" i="3"/>
  <c r="C513" i="3"/>
  <c r="E513" i="3"/>
  <c r="G513" i="3"/>
  <c r="J513" i="3"/>
  <c r="K513" i="3"/>
  <c r="M513" i="3"/>
  <c r="A514" i="3"/>
  <c r="B514" i="3"/>
  <c r="C514" i="3"/>
  <c r="E514" i="3"/>
  <c r="G514" i="3"/>
  <c r="J514" i="3"/>
  <c r="K514" i="3"/>
  <c r="M514" i="3"/>
  <c r="A515" i="3"/>
  <c r="B515" i="3"/>
  <c r="C515" i="3"/>
  <c r="E515" i="3"/>
  <c r="G515" i="3"/>
  <c r="J515" i="3"/>
  <c r="K515" i="3"/>
  <c r="M515" i="3"/>
  <c r="A516" i="3"/>
  <c r="B516" i="3"/>
  <c r="C516" i="3"/>
  <c r="D516" i="3"/>
  <c r="E516" i="3"/>
  <c r="F516" i="3"/>
  <c r="G516" i="3"/>
  <c r="H516" i="3"/>
  <c r="I516" i="3"/>
  <c r="J516" i="3"/>
  <c r="K516" i="3"/>
  <c r="L516" i="3"/>
  <c r="M516" i="3"/>
  <c r="N516" i="3"/>
  <c r="O516" i="3"/>
  <c r="P516" i="3"/>
  <c r="A517" i="3"/>
  <c r="B517" i="3"/>
  <c r="C517" i="3"/>
  <c r="E517" i="3"/>
  <c r="G517" i="3"/>
  <c r="J517" i="3"/>
  <c r="K517" i="3"/>
  <c r="M517" i="3"/>
  <c r="A518" i="3"/>
  <c r="B518" i="3"/>
  <c r="C518" i="3"/>
  <c r="D518" i="3"/>
  <c r="E518" i="3"/>
  <c r="F518" i="3"/>
  <c r="G518" i="3"/>
  <c r="H518" i="3"/>
  <c r="I518" i="3"/>
  <c r="J518" i="3"/>
  <c r="K518" i="3"/>
  <c r="L518" i="3"/>
  <c r="M518" i="3"/>
  <c r="N518" i="3"/>
  <c r="O518" i="3"/>
  <c r="P518" i="3"/>
  <c r="A519" i="3"/>
  <c r="B519" i="3"/>
  <c r="C519" i="3"/>
  <c r="D519" i="3"/>
  <c r="E519" i="3"/>
  <c r="F519" i="3"/>
  <c r="G519" i="3"/>
  <c r="H519" i="3"/>
  <c r="I519" i="3"/>
  <c r="J519" i="3"/>
  <c r="K519" i="3"/>
  <c r="L519" i="3"/>
  <c r="M519" i="3"/>
  <c r="N519" i="3"/>
  <c r="O519" i="3"/>
  <c r="P519" i="3"/>
  <c r="A520" i="3"/>
  <c r="B520" i="3"/>
  <c r="C520" i="3"/>
  <c r="D520" i="3"/>
  <c r="E520" i="3"/>
  <c r="F520" i="3"/>
  <c r="G520" i="3"/>
  <c r="H520" i="3"/>
  <c r="I520" i="3"/>
  <c r="J520" i="3"/>
  <c r="K520" i="3"/>
  <c r="L520" i="3"/>
  <c r="M520" i="3"/>
  <c r="N520" i="3"/>
  <c r="O520" i="3"/>
  <c r="P520" i="3"/>
  <c r="A521" i="3"/>
  <c r="B521" i="3"/>
  <c r="C521" i="3"/>
  <c r="D521" i="3"/>
  <c r="E521" i="3"/>
  <c r="F521" i="3"/>
  <c r="G521" i="3"/>
  <c r="H521" i="3"/>
  <c r="I521" i="3"/>
  <c r="J521" i="3"/>
  <c r="K521" i="3"/>
  <c r="L521" i="3"/>
  <c r="M521" i="3"/>
  <c r="N521" i="3"/>
  <c r="O521" i="3"/>
  <c r="P521" i="3"/>
  <c r="A522" i="3"/>
  <c r="B522" i="3"/>
  <c r="C522" i="3"/>
  <c r="D522" i="3"/>
  <c r="E522" i="3"/>
  <c r="F522" i="3"/>
  <c r="G522" i="3"/>
  <c r="H522" i="3"/>
  <c r="I522" i="3"/>
  <c r="J522" i="3"/>
  <c r="K522" i="3"/>
  <c r="L522" i="3"/>
  <c r="M522" i="3"/>
  <c r="N522" i="3"/>
  <c r="O522" i="3"/>
  <c r="P522" i="3"/>
  <c r="A523" i="3"/>
  <c r="B523" i="3"/>
  <c r="C523" i="3"/>
  <c r="E523" i="3"/>
  <c r="G523" i="3"/>
  <c r="J523" i="3"/>
  <c r="K523" i="3"/>
  <c r="M523" i="3"/>
  <c r="A524" i="3"/>
  <c r="B524" i="3"/>
  <c r="C524" i="3"/>
  <c r="E524" i="3"/>
  <c r="G524" i="3"/>
  <c r="J524" i="3"/>
  <c r="K524" i="3"/>
  <c r="M524" i="3"/>
  <c r="A525" i="3"/>
  <c r="B525" i="3"/>
  <c r="C525" i="3"/>
  <c r="E525" i="3"/>
  <c r="G525" i="3"/>
  <c r="J525" i="3"/>
  <c r="K525" i="3"/>
  <c r="M525" i="3"/>
  <c r="A526" i="3"/>
  <c r="B526" i="3"/>
  <c r="C526" i="3"/>
  <c r="E526" i="3"/>
  <c r="G526" i="3"/>
  <c r="J526" i="3"/>
  <c r="K526" i="3"/>
  <c r="M526" i="3"/>
  <c r="A527" i="3"/>
  <c r="B527" i="3"/>
  <c r="C527" i="3"/>
  <c r="E527" i="3"/>
  <c r="G527" i="3"/>
  <c r="J527" i="3"/>
  <c r="K527" i="3"/>
  <c r="M527" i="3"/>
  <c r="A528" i="3"/>
  <c r="B528" i="3"/>
  <c r="C528" i="3"/>
  <c r="E528" i="3"/>
  <c r="G528" i="3"/>
  <c r="J528" i="3"/>
  <c r="K528" i="3"/>
  <c r="M528" i="3"/>
  <c r="A529" i="3"/>
  <c r="B529" i="3"/>
  <c r="C529" i="3"/>
  <c r="D529" i="3"/>
  <c r="E529" i="3"/>
  <c r="F529" i="3"/>
  <c r="G529" i="3"/>
  <c r="H529" i="3"/>
  <c r="I529" i="3"/>
  <c r="J529" i="3"/>
  <c r="K529" i="3"/>
  <c r="L529" i="3"/>
  <c r="M529" i="3"/>
  <c r="N529" i="3"/>
  <c r="O529" i="3"/>
  <c r="P529" i="3"/>
  <c r="A530" i="3"/>
  <c r="B530" i="3"/>
  <c r="C530" i="3"/>
  <c r="D530" i="3"/>
  <c r="E530" i="3"/>
  <c r="F530" i="3"/>
  <c r="G530" i="3"/>
  <c r="H530" i="3"/>
  <c r="I530" i="3"/>
  <c r="J530" i="3"/>
  <c r="K530" i="3"/>
  <c r="L530" i="3"/>
  <c r="M530" i="3"/>
  <c r="N530" i="3"/>
  <c r="O530" i="3"/>
  <c r="P530" i="3"/>
  <c r="A531" i="3"/>
  <c r="B531" i="3"/>
  <c r="C531" i="3"/>
  <c r="E531" i="3"/>
  <c r="G531" i="3"/>
  <c r="J531" i="3"/>
  <c r="K531" i="3"/>
  <c r="M531" i="3"/>
  <c r="A532" i="3"/>
  <c r="B532" i="3"/>
  <c r="C532" i="3"/>
  <c r="E532" i="3"/>
  <c r="G532" i="3"/>
  <c r="J532" i="3"/>
  <c r="K532" i="3"/>
  <c r="M532" i="3"/>
  <c r="A533" i="3"/>
  <c r="B533" i="3"/>
  <c r="C533" i="3"/>
  <c r="E533" i="3"/>
  <c r="G533" i="3"/>
  <c r="J533" i="3"/>
  <c r="K533" i="3"/>
  <c r="M533" i="3"/>
  <c r="A534" i="3"/>
  <c r="B534" i="3"/>
  <c r="C534" i="3"/>
  <c r="E534" i="3"/>
  <c r="G534" i="3"/>
  <c r="J534" i="3"/>
  <c r="K534" i="3"/>
  <c r="M534" i="3"/>
  <c r="A535" i="3"/>
  <c r="B535" i="3"/>
  <c r="C535" i="3"/>
  <c r="E535" i="3"/>
  <c r="G535" i="3"/>
  <c r="J535" i="3"/>
  <c r="K535" i="3"/>
  <c r="M535" i="3"/>
  <c r="A536" i="3"/>
  <c r="B536" i="3"/>
  <c r="C536" i="3"/>
  <c r="D536" i="3"/>
  <c r="E536" i="3"/>
  <c r="F536" i="3"/>
  <c r="G536" i="3"/>
  <c r="H536" i="3"/>
  <c r="I536" i="3"/>
  <c r="J536" i="3"/>
  <c r="K536" i="3"/>
  <c r="L536" i="3"/>
  <c r="M536" i="3"/>
  <c r="N536" i="3"/>
  <c r="O536" i="3"/>
  <c r="P536" i="3"/>
  <c r="A537" i="3"/>
  <c r="B537" i="3"/>
  <c r="C537" i="3"/>
  <c r="D537" i="3"/>
  <c r="E537" i="3"/>
  <c r="F537" i="3"/>
  <c r="G537" i="3"/>
  <c r="H537" i="3"/>
  <c r="I537" i="3"/>
  <c r="J537" i="3"/>
  <c r="K537" i="3"/>
  <c r="L537" i="3"/>
  <c r="M537" i="3"/>
  <c r="N537" i="3"/>
  <c r="O537" i="3"/>
  <c r="P537" i="3"/>
  <c r="A538" i="3"/>
  <c r="B538" i="3"/>
  <c r="C538" i="3"/>
  <c r="E538" i="3"/>
  <c r="G538" i="3"/>
  <c r="J538" i="3"/>
  <c r="K538" i="3"/>
  <c r="M538" i="3"/>
  <c r="A539" i="3"/>
  <c r="B539" i="3"/>
  <c r="C539" i="3"/>
  <c r="E539" i="3"/>
  <c r="G539" i="3"/>
  <c r="J539" i="3"/>
  <c r="K539" i="3"/>
  <c r="M539" i="3"/>
  <c r="A540" i="3"/>
  <c r="B540" i="3"/>
  <c r="C540" i="3"/>
  <c r="E540" i="3"/>
  <c r="G540" i="3"/>
  <c r="J540" i="3"/>
  <c r="K540" i="3"/>
  <c r="M540" i="3"/>
  <c r="A541" i="3"/>
  <c r="B541" i="3"/>
  <c r="C541" i="3"/>
  <c r="E541" i="3"/>
  <c r="G541" i="3"/>
  <c r="J541" i="3"/>
  <c r="K541" i="3"/>
  <c r="M541" i="3"/>
  <c r="A542" i="3"/>
  <c r="B542" i="3"/>
  <c r="C542" i="3"/>
  <c r="E542" i="3"/>
  <c r="G542" i="3"/>
  <c r="J542" i="3"/>
  <c r="K542" i="3"/>
  <c r="M542" i="3"/>
  <c r="A543" i="3"/>
  <c r="B543" i="3"/>
  <c r="C543" i="3"/>
  <c r="D543" i="3"/>
  <c r="E543" i="3"/>
  <c r="F543" i="3"/>
  <c r="G543" i="3"/>
  <c r="H543" i="3"/>
  <c r="I543" i="3"/>
  <c r="J543" i="3"/>
  <c r="K543" i="3"/>
  <c r="L543" i="3"/>
  <c r="M543" i="3"/>
  <c r="N543" i="3"/>
  <c r="O543" i="3"/>
  <c r="P543" i="3"/>
  <c r="A544" i="3"/>
  <c r="B544" i="3"/>
  <c r="C544" i="3"/>
  <c r="D544" i="3"/>
  <c r="E544" i="3"/>
  <c r="F544" i="3"/>
  <c r="G544" i="3"/>
  <c r="H544" i="3"/>
  <c r="I544" i="3"/>
  <c r="J544" i="3"/>
  <c r="K544" i="3"/>
  <c r="L544" i="3"/>
  <c r="M544" i="3"/>
  <c r="N544" i="3"/>
  <c r="O544" i="3"/>
  <c r="P544" i="3"/>
  <c r="A545" i="3"/>
  <c r="B545" i="3"/>
  <c r="C545" i="3"/>
  <c r="D545" i="3"/>
  <c r="E545" i="3"/>
  <c r="F545" i="3"/>
  <c r="G545" i="3"/>
  <c r="H545" i="3"/>
  <c r="I545" i="3"/>
  <c r="J545" i="3"/>
  <c r="K545" i="3"/>
  <c r="L545" i="3"/>
  <c r="M545" i="3"/>
  <c r="N545" i="3"/>
  <c r="O545" i="3"/>
  <c r="P545" i="3"/>
  <c r="A546" i="3"/>
  <c r="B546" i="3"/>
  <c r="C546" i="3"/>
  <c r="D546" i="3"/>
  <c r="E546" i="3"/>
  <c r="F546" i="3"/>
  <c r="G546" i="3"/>
  <c r="H546" i="3"/>
  <c r="I546" i="3"/>
  <c r="J546" i="3"/>
  <c r="K546" i="3"/>
  <c r="L546" i="3"/>
  <c r="M546" i="3"/>
  <c r="N546" i="3"/>
  <c r="O546" i="3"/>
  <c r="P546" i="3"/>
  <c r="A547" i="3"/>
  <c r="B547" i="3"/>
  <c r="C547" i="3"/>
  <c r="E547" i="3"/>
  <c r="G547" i="3"/>
  <c r="J547" i="3"/>
  <c r="K547" i="3"/>
  <c r="M547" i="3"/>
  <c r="A548" i="3"/>
  <c r="B548" i="3"/>
  <c r="C548" i="3"/>
  <c r="E548" i="3"/>
  <c r="G548" i="3"/>
  <c r="J548" i="3"/>
  <c r="K548" i="3"/>
  <c r="M548" i="3"/>
  <c r="A549" i="3"/>
  <c r="B549" i="3"/>
  <c r="C549" i="3"/>
  <c r="D549" i="3"/>
  <c r="E549" i="3"/>
  <c r="F549" i="3"/>
  <c r="G549" i="3"/>
  <c r="H549" i="3"/>
  <c r="I549" i="3"/>
  <c r="J549" i="3"/>
  <c r="K549" i="3"/>
  <c r="L549" i="3"/>
  <c r="M549" i="3"/>
  <c r="N549" i="3"/>
  <c r="O549" i="3"/>
  <c r="P549" i="3"/>
  <c r="A550" i="3"/>
  <c r="B550" i="3"/>
  <c r="C550" i="3"/>
  <c r="D550" i="3"/>
  <c r="E550" i="3"/>
  <c r="F550" i="3"/>
  <c r="G550" i="3"/>
  <c r="H550" i="3"/>
  <c r="I550" i="3"/>
  <c r="J550" i="3"/>
  <c r="K550" i="3"/>
  <c r="L550" i="3"/>
  <c r="M550" i="3"/>
  <c r="N550" i="3"/>
  <c r="O550" i="3"/>
  <c r="P550" i="3"/>
  <c r="A551" i="3"/>
  <c r="B551" i="3"/>
  <c r="C551" i="3"/>
  <c r="E551" i="3"/>
  <c r="G551" i="3"/>
  <c r="J551" i="3"/>
  <c r="K551" i="3"/>
  <c r="M551" i="3"/>
  <c r="A552" i="3"/>
  <c r="B552" i="3"/>
  <c r="C552" i="3"/>
  <c r="E552" i="3"/>
  <c r="G552" i="3"/>
  <c r="J552" i="3"/>
  <c r="K552" i="3"/>
  <c r="M552" i="3"/>
  <c r="A553" i="3"/>
  <c r="B553" i="3"/>
  <c r="C553" i="3"/>
  <c r="E553" i="3"/>
  <c r="G553" i="3"/>
  <c r="J553" i="3"/>
  <c r="K553" i="3"/>
  <c r="M553" i="3"/>
  <c r="A554" i="3"/>
  <c r="B554" i="3"/>
  <c r="C554" i="3"/>
  <c r="E554" i="3"/>
  <c r="G554" i="3"/>
  <c r="J554" i="3"/>
  <c r="K554" i="3"/>
  <c r="M554" i="3"/>
  <c r="A555" i="3"/>
  <c r="B555" i="3"/>
  <c r="C555" i="3"/>
  <c r="E555" i="3"/>
  <c r="G555" i="3"/>
  <c r="J555" i="3"/>
  <c r="K555" i="3"/>
  <c r="M555" i="3"/>
  <c r="A556" i="3"/>
  <c r="B556" i="3"/>
  <c r="C556" i="3"/>
  <c r="E556" i="3"/>
  <c r="G556" i="3"/>
  <c r="J556" i="3"/>
  <c r="K556" i="3"/>
  <c r="M556" i="3"/>
  <c r="A557" i="3"/>
  <c r="B557" i="3"/>
  <c r="C557" i="3"/>
  <c r="E557" i="3"/>
  <c r="G557" i="3"/>
  <c r="J557" i="3"/>
  <c r="K557" i="3"/>
  <c r="M557" i="3"/>
  <c r="A558" i="3"/>
  <c r="B558" i="3"/>
  <c r="C558" i="3"/>
  <c r="E558" i="3"/>
  <c r="G558" i="3"/>
  <c r="J558" i="3"/>
  <c r="K558" i="3"/>
  <c r="M558" i="3"/>
  <c r="A559" i="3"/>
  <c r="B559" i="3"/>
  <c r="C559" i="3"/>
  <c r="E559" i="3"/>
  <c r="G559" i="3"/>
  <c r="J559" i="3"/>
  <c r="K559" i="3"/>
  <c r="M559" i="3"/>
  <c r="A560" i="3"/>
  <c r="B560" i="3"/>
  <c r="C560" i="3"/>
  <c r="E560" i="3"/>
  <c r="G560" i="3"/>
  <c r="J560" i="3"/>
  <c r="K560" i="3"/>
  <c r="M560" i="3"/>
  <c r="A561" i="3"/>
  <c r="B561" i="3"/>
  <c r="C561" i="3"/>
  <c r="E561" i="3"/>
  <c r="G561" i="3"/>
  <c r="J561" i="3"/>
  <c r="K561" i="3"/>
  <c r="M561" i="3"/>
  <c r="A562" i="3"/>
  <c r="B562" i="3"/>
  <c r="C562" i="3"/>
  <c r="D562" i="3"/>
  <c r="E562" i="3"/>
  <c r="F562" i="3"/>
  <c r="G562" i="3"/>
  <c r="H562" i="3"/>
  <c r="I562" i="3"/>
  <c r="J562" i="3"/>
  <c r="K562" i="3"/>
  <c r="L562" i="3"/>
  <c r="M562" i="3"/>
  <c r="N562" i="3"/>
  <c r="O562" i="3"/>
  <c r="P562" i="3"/>
  <c r="A563" i="3"/>
  <c r="B563" i="3"/>
  <c r="C563" i="3"/>
  <c r="D563" i="3"/>
  <c r="E563" i="3"/>
  <c r="F563" i="3"/>
  <c r="G563" i="3"/>
  <c r="H563" i="3"/>
  <c r="I563" i="3"/>
  <c r="J563" i="3"/>
  <c r="K563" i="3"/>
  <c r="L563" i="3"/>
  <c r="M563" i="3"/>
  <c r="N563" i="3"/>
  <c r="O563" i="3"/>
  <c r="P563" i="3"/>
  <c r="A564" i="3"/>
  <c r="B564" i="3"/>
  <c r="C564" i="3"/>
  <c r="E564" i="3"/>
  <c r="G564" i="3"/>
  <c r="J564" i="3"/>
  <c r="K564" i="3"/>
  <c r="M564" i="3"/>
  <c r="A565" i="3"/>
  <c r="B565" i="3"/>
  <c r="C565" i="3"/>
  <c r="E565" i="3"/>
  <c r="G565" i="3"/>
  <c r="J565" i="3"/>
  <c r="K565" i="3"/>
  <c r="M565" i="3"/>
  <c r="A566" i="3"/>
  <c r="B566" i="3"/>
  <c r="C566" i="3"/>
  <c r="E566" i="3"/>
  <c r="G566" i="3"/>
  <c r="J566" i="3"/>
  <c r="K566" i="3"/>
  <c r="M566" i="3"/>
  <c r="A567" i="3"/>
  <c r="B567" i="3"/>
  <c r="C567" i="3"/>
  <c r="E567" i="3"/>
  <c r="G567" i="3"/>
  <c r="J567" i="3"/>
  <c r="K567" i="3"/>
  <c r="M567" i="3"/>
  <c r="A568" i="3"/>
  <c r="B568" i="3"/>
  <c r="C568" i="3"/>
  <c r="E568" i="3"/>
  <c r="G568" i="3"/>
  <c r="J568" i="3"/>
  <c r="K568" i="3"/>
  <c r="M568" i="3"/>
  <c r="A569" i="3"/>
  <c r="B569" i="3"/>
  <c r="C569" i="3"/>
  <c r="D569" i="3"/>
  <c r="E569" i="3"/>
  <c r="F569" i="3"/>
  <c r="G569" i="3"/>
  <c r="H569" i="3"/>
  <c r="I569" i="3"/>
  <c r="J569" i="3"/>
  <c r="K569" i="3"/>
  <c r="L569" i="3"/>
  <c r="M569" i="3"/>
  <c r="N569" i="3"/>
  <c r="O569" i="3"/>
  <c r="P569" i="3"/>
  <c r="A570" i="3"/>
  <c r="B570" i="3"/>
  <c r="C570" i="3"/>
  <c r="E570" i="3"/>
  <c r="G570" i="3"/>
  <c r="J570" i="3"/>
  <c r="K570" i="3"/>
  <c r="M570" i="3"/>
  <c r="A571" i="3"/>
  <c r="B571" i="3"/>
  <c r="C571" i="3"/>
  <c r="D571" i="3"/>
  <c r="E571" i="3"/>
  <c r="F571" i="3"/>
  <c r="G571" i="3"/>
  <c r="H571" i="3"/>
  <c r="I571" i="3"/>
  <c r="J571" i="3"/>
  <c r="K571" i="3"/>
  <c r="L571" i="3"/>
  <c r="M571" i="3"/>
  <c r="N571" i="3"/>
  <c r="O571" i="3"/>
  <c r="P571" i="3"/>
  <c r="A572" i="3"/>
  <c r="B572" i="3"/>
  <c r="C572" i="3"/>
  <c r="E572" i="3"/>
  <c r="G572" i="3"/>
  <c r="J572" i="3"/>
  <c r="K572" i="3"/>
  <c r="M572" i="3"/>
  <c r="A573" i="3"/>
  <c r="B573" i="3"/>
  <c r="C573" i="3"/>
  <c r="D573" i="3"/>
  <c r="E573" i="3"/>
  <c r="F573" i="3"/>
  <c r="G573" i="3"/>
  <c r="H573" i="3"/>
  <c r="I573" i="3"/>
  <c r="J573" i="3"/>
  <c r="K573" i="3"/>
  <c r="L573" i="3"/>
  <c r="M573" i="3"/>
  <c r="N573" i="3"/>
  <c r="O573" i="3"/>
  <c r="P573" i="3"/>
  <c r="A574" i="3"/>
  <c r="B574" i="3"/>
  <c r="C574" i="3"/>
  <c r="E574" i="3"/>
  <c r="G574" i="3"/>
  <c r="J574" i="3"/>
  <c r="K574" i="3"/>
  <c r="M574" i="3"/>
  <c r="A575" i="3"/>
  <c r="B575" i="3"/>
  <c r="C575" i="3"/>
  <c r="D575" i="3"/>
  <c r="E575" i="3"/>
  <c r="F575" i="3"/>
  <c r="G575" i="3"/>
  <c r="H575" i="3"/>
  <c r="I575" i="3"/>
  <c r="J575" i="3"/>
  <c r="K575" i="3"/>
  <c r="L575" i="3"/>
  <c r="M575" i="3"/>
  <c r="N575" i="3"/>
  <c r="O575" i="3"/>
  <c r="P575" i="3"/>
  <c r="A576" i="3"/>
  <c r="B576" i="3"/>
  <c r="C576" i="3"/>
  <c r="E576" i="3"/>
  <c r="G576" i="3"/>
  <c r="J576" i="3"/>
  <c r="K576" i="3"/>
  <c r="M576" i="3"/>
  <c r="A580" i="3"/>
  <c r="B580" i="3"/>
  <c r="C580" i="3"/>
  <c r="D580" i="3"/>
  <c r="E580" i="3"/>
  <c r="F580" i="3"/>
  <c r="G580" i="3"/>
  <c r="H580" i="3"/>
  <c r="I580" i="3"/>
  <c r="J580" i="3"/>
  <c r="K580" i="3"/>
  <c r="L580" i="3"/>
  <c r="M580" i="3"/>
  <c r="N580" i="3"/>
  <c r="O580" i="3"/>
  <c r="P580" i="3"/>
  <c r="A581" i="3"/>
  <c r="B581" i="3"/>
  <c r="C581" i="3"/>
  <c r="D581" i="3"/>
  <c r="E581" i="3"/>
  <c r="F581" i="3"/>
  <c r="G581" i="3"/>
  <c r="H581" i="3"/>
  <c r="I581" i="3"/>
  <c r="J581" i="3"/>
  <c r="K581" i="3"/>
  <c r="L581" i="3"/>
  <c r="M581" i="3"/>
  <c r="N581" i="3"/>
  <c r="O581" i="3"/>
  <c r="P581" i="3"/>
  <c r="A582" i="3"/>
  <c r="B582" i="3"/>
  <c r="C582" i="3"/>
  <c r="D582" i="3"/>
  <c r="E582" i="3"/>
  <c r="F582" i="3"/>
  <c r="G582" i="3"/>
  <c r="H582" i="3"/>
  <c r="I582" i="3"/>
  <c r="J582" i="3"/>
  <c r="K582" i="3"/>
  <c r="L582" i="3"/>
  <c r="M582" i="3"/>
  <c r="N582" i="3"/>
  <c r="O582" i="3"/>
  <c r="P582" i="3"/>
  <c r="A583" i="3"/>
  <c r="B583" i="3"/>
  <c r="C583" i="3"/>
  <c r="D583" i="3"/>
  <c r="E583" i="3"/>
  <c r="F583" i="3"/>
  <c r="G583" i="3"/>
  <c r="H583" i="3"/>
  <c r="I583" i="3"/>
  <c r="J583" i="3"/>
  <c r="K583" i="3"/>
  <c r="L583" i="3"/>
  <c r="M583" i="3"/>
  <c r="N583" i="3"/>
  <c r="O583" i="3"/>
  <c r="P583" i="3"/>
  <c r="A584" i="3"/>
  <c r="B584" i="3"/>
  <c r="C584" i="3"/>
  <c r="D584" i="3"/>
  <c r="E584" i="3"/>
  <c r="F584" i="3"/>
  <c r="G584" i="3"/>
  <c r="H584" i="3"/>
  <c r="I584" i="3"/>
  <c r="J584" i="3"/>
  <c r="K584" i="3"/>
  <c r="L584" i="3"/>
  <c r="M584" i="3"/>
  <c r="N584" i="3"/>
  <c r="O584" i="3"/>
  <c r="P584" i="3"/>
  <c r="A585" i="3"/>
  <c r="B585" i="3"/>
  <c r="C585" i="3"/>
  <c r="D585" i="3"/>
  <c r="E585" i="3"/>
  <c r="F585" i="3"/>
  <c r="G585" i="3"/>
  <c r="H585" i="3"/>
  <c r="I585" i="3"/>
  <c r="J585" i="3"/>
  <c r="K585" i="3"/>
  <c r="L585" i="3"/>
  <c r="M585" i="3"/>
  <c r="N585" i="3"/>
  <c r="O585" i="3"/>
  <c r="P585" i="3"/>
  <c r="A586" i="3"/>
  <c r="B586" i="3"/>
  <c r="C586" i="3"/>
  <c r="E586" i="3"/>
  <c r="G586" i="3"/>
  <c r="J586" i="3"/>
  <c r="K586" i="3"/>
  <c r="M586" i="3"/>
  <c r="A587" i="3"/>
  <c r="B587" i="3"/>
  <c r="C587" i="3"/>
  <c r="E587" i="3"/>
  <c r="G587" i="3"/>
  <c r="J587" i="3"/>
  <c r="K587" i="3"/>
  <c r="M587" i="3"/>
  <c r="A588" i="3"/>
  <c r="B588" i="3"/>
  <c r="C588" i="3"/>
  <c r="E588" i="3"/>
  <c r="G588" i="3"/>
  <c r="J588" i="3"/>
  <c r="K588" i="3"/>
  <c r="M588" i="3"/>
  <c r="A589" i="3"/>
  <c r="B589" i="3"/>
  <c r="C589" i="3"/>
  <c r="E589" i="3"/>
  <c r="G589" i="3"/>
  <c r="J589" i="3"/>
  <c r="K589" i="3"/>
  <c r="M589" i="3"/>
  <c r="A590" i="3"/>
  <c r="B590" i="3"/>
  <c r="C590" i="3"/>
  <c r="D590" i="3"/>
  <c r="E590" i="3"/>
  <c r="F590" i="3"/>
  <c r="G590" i="3"/>
  <c r="H590" i="3"/>
  <c r="I590" i="3"/>
  <c r="J590" i="3"/>
  <c r="K590" i="3"/>
  <c r="L590" i="3"/>
  <c r="M590" i="3"/>
  <c r="N590" i="3"/>
  <c r="O590" i="3"/>
  <c r="P590" i="3"/>
  <c r="A591" i="3"/>
  <c r="B591" i="3"/>
  <c r="C591" i="3"/>
  <c r="D591" i="3"/>
  <c r="E591" i="3"/>
  <c r="F591" i="3"/>
  <c r="G591" i="3"/>
  <c r="H591" i="3"/>
  <c r="I591" i="3"/>
  <c r="J591" i="3"/>
  <c r="K591" i="3"/>
  <c r="L591" i="3"/>
  <c r="M591" i="3"/>
  <c r="N591" i="3"/>
  <c r="O591" i="3"/>
  <c r="P591" i="3"/>
  <c r="A592" i="3"/>
  <c r="B592" i="3"/>
  <c r="C592" i="3"/>
  <c r="E592" i="3"/>
  <c r="G592" i="3"/>
  <c r="J592" i="3"/>
  <c r="K592" i="3"/>
  <c r="M592" i="3"/>
  <c r="A593" i="3"/>
  <c r="B593" i="3"/>
  <c r="C593" i="3"/>
  <c r="E593" i="3"/>
  <c r="G593" i="3"/>
  <c r="J593" i="3"/>
  <c r="K593" i="3"/>
  <c r="M593" i="3"/>
  <c r="A594" i="3"/>
  <c r="B594" i="3"/>
  <c r="C594" i="3"/>
  <c r="E594" i="3"/>
  <c r="G594" i="3"/>
  <c r="J594" i="3"/>
  <c r="K594" i="3"/>
  <c r="M594" i="3"/>
  <c r="A595" i="3"/>
  <c r="B595" i="3"/>
  <c r="C595" i="3"/>
  <c r="E595" i="3"/>
  <c r="G595" i="3"/>
  <c r="J595" i="3"/>
  <c r="K595" i="3"/>
  <c r="M595" i="3"/>
  <c r="A596" i="3"/>
  <c r="B596" i="3"/>
  <c r="C596" i="3"/>
  <c r="D596" i="3"/>
  <c r="E596" i="3"/>
  <c r="F596" i="3"/>
  <c r="G596" i="3"/>
  <c r="H596" i="3"/>
  <c r="I596" i="3"/>
  <c r="J596" i="3"/>
  <c r="K596" i="3"/>
  <c r="L596" i="3"/>
  <c r="M596" i="3"/>
  <c r="N596" i="3"/>
  <c r="O596" i="3"/>
  <c r="P596" i="3"/>
  <c r="A597" i="3"/>
  <c r="B597" i="3"/>
  <c r="C597" i="3"/>
  <c r="D597" i="3"/>
  <c r="E597" i="3"/>
  <c r="F597" i="3"/>
  <c r="G597" i="3"/>
  <c r="H597" i="3"/>
  <c r="I597" i="3"/>
  <c r="J597" i="3"/>
  <c r="K597" i="3"/>
  <c r="L597" i="3"/>
  <c r="M597" i="3"/>
  <c r="N597" i="3"/>
  <c r="O597" i="3"/>
  <c r="P597" i="3"/>
  <c r="A598" i="3"/>
  <c r="B598" i="3"/>
  <c r="C598" i="3"/>
  <c r="E598" i="3"/>
  <c r="G598" i="3"/>
  <c r="J598" i="3"/>
  <c r="K598" i="3"/>
  <c r="M598" i="3"/>
  <c r="A599" i="3"/>
  <c r="B599" i="3"/>
  <c r="C599" i="3"/>
  <c r="E599" i="3"/>
  <c r="G599" i="3"/>
  <c r="J599" i="3"/>
  <c r="K599" i="3"/>
  <c r="M599" i="3"/>
  <c r="A600" i="3"/>
  <c r="B600" i="3"/>
  <c r="C600" i="3"/>
  <c r="E600" i="3"/>
  <c r="G600" i="3"/>
  <c r="J600" i="3"/>
  <c r="K600" i="3"/>
  <c r="M600" i="3"/>
  <c r="A601" i="3"/>
  <c r="B601" i="3"/>
  <c r="C601" i="3"/>
  <c r="E601" i="3"/>
  <c r="G601" i="3"/>
  <c r="J601" i="3"/>
  <c r="K601" i="3"/>
  <c r="M601" i="3"/>
  <c r="A602" i="3"/>
  <c r="B602" i="3"/>
  <c r="C602" i="3"/>
  <c r="D602" i="3"/>
  <c r="E602" i="3"/>
  <c r="F602" i="3"/>
  <c r="G602" i="3"/>
  <c r="H602" i="3"/>
  <c r="I602" i="3"/>
  <c r="J602" i="3"/>
  <c r="K602" i="3"/>
  <c r="L602" i="3"/>
  <c r="M602" i="3"/>
  <c r="N602" i="3"/>
  <c r="O602" i="3"/>
  <c r="P602" i="3"/>
  <c r="A603" i="3"/>
  <c r="B603" i="3"/>
  <c r="C603" i="3"/>
  <c r="E603" i="3"/>
  <c r="G603" i="3"/>
  <c r="J603" i="3"/>
  <c r="K603" i="3"/>
  <c r="M603" i="3"/>
  <c r="A604" i="3"/>
  <c r="B604" i="3"/>
  <c r="C604" i="3"/>
  <c r="D604" i="3"/>
  <c r="E604" i="3"/>
  <c r="F604" i="3"/>
  <c r="G604" i="3"/>
  <c r="H604" i="3"/>
  <c r="I604" i="3"/>
  <c r="J604" i="3"/>
  <c r="K604" i="3"/>
  <c r="L604" i="3"/>
  <c r="M604" i="3"/>
  <c r="N604" i="3"/>
  <c r="O604" i="3"/>
  <c r="P604" i="3"/>
  <c r="A605" i="3"/>
  <c r="B605" i="3"/>
  <c r="C605" i="3"/>
  <c r="D605" i="3"/>
  <c r="E605" i="3"/>
  <c r="F605" i="3"/>
  <c r="G605" i="3"/>
  <c r="H605" i="3"/>
  <c r="I605" i="3"/>
  <c r="J605" i="3"/>
  <c r="K605" i="3"/>
  <c r="L605" i="3"/>
  <c r="M605" i="3"/>
  <c r="N605" i="3"/>
  <c r="O605" i="3"/>
  <c r="P605" i="3"/>
  <c r="A606" i="3"/>
  <c r="B606" i="3"/>
  <c r="C606" i="3"/>
  <c r="E606" i="3"/>
  <c r="G606" i="3"/>
  <c r="J606" i="3"/>
  <c r="K606" i="3"/>
  <c r="M606" i="3"/>
  <c r="A607" i="3"/>
  <c r="B607" i="3"/>
  <c r="C607" i="3"/>
  <c r="E607" i="3"/>
  <c r="G607" i="3"/>
  <c r="J607" i="3"/>
  <c r="K607" i="3"/>
  <c r="M607" i="3"/>
  <c r="A608" i="3"/>
  <c r="B608" i="3"/>
  <c r="C608" i="3"/>
  <c r="E608" i="3"/>
  <c r="G608" i="3"/>
  <c r="J608" i="3"/>
  <c r="K608" i="3"/>
  <c r="M608" i="3"/>
  <c r="A609" i="3"/>
  <c r="B609" i="3"/>
  <c r="C609" i="3"/>
  <c r="E609" i="3"/>
  <c r="G609" i="3"/>
  <c r="J609" i="3"/>
  <c r="K609" i="3"/>
  <c r="M609" i="3"/>
  <c r="A610" i="3"/>
  <c r="B610" i="3"/>
  <c r="C610" i="3"/>
  <c r="E610" i="3"/>
  <c r="G610" i="3"/>
  <c r="J610" i="3"/>
  <c r="K610" i="3"/>
  <c r="M610" i="3"/>
  <c r="A611" i="3"/>
  <c r="B611" i="3"/>
  <c r="C611" i="3"/>
  <c r="D611" i="3"/>
  <c r="E611" i="3"/>
  <c r="F611" i="3"/>
  <c r="G611" i="3"/>
  <c r="H611" i="3"/>
  <c r="I611" i="3"/>
  <c r="J611" i="3"/>
  <c r="K611" i="3"/>
  <c r="L611" i="3"/>
  <c r="M611" i="3"/>
  <c r="N611" i="3"/>
  <c r="O611" i="3"/>
  <c r="P611" i="3"/>
  <c r="A612" i="3"/>
  <c r="B612" i="3"/>
  <c r="C612" i="3"/>
  <c r="D612" i="3"/>
  <c r="E612" i="3"/>
  <c r="F612" i="3"/>
  <c r="G612" i="3"/>
  <c r="H612" i="3"/>
  <c r="I612" i="3"/>
  <c r="J612" i="3"/>
  <c r="K612" i="3"/>
  <c r="L612" i="3"/>
  <c r="M612" i="3"/>
  <c r="N612" i="3"/>
  <c r="O612" i="3"/>
  <c r="P612" i="3"/>
  <c r="A613" i="3"/>
  <c r="B613" i="3"/>
  <c r="C613" i="3"/>
  <c r="E613" i="3"/>
  <c r="G613" i="3"/>
  <c r="J613" i="3"/>
  <c r="K613" i="3"/>
  <c r="M613" i="3"/>
  <c r="A614" i="3"/>
  <c r="B614" i="3"/>
  <c r="C614" i="3"/>
  <c r="E614" i="3"/>
  <c r="G614" i="3"/>
  <c r="J614" i="3"/>
  <c r="K614" i="3"/>
  <c r="M614" i="3"/>
  <c r="A615" i="3"/>
  <c r="B615" i="3"/>
  <c r="C615" i="3"/>
  <c r="E615" i="3"/>
  <c r="G615" i="3"/>
  <c r="J615" i="3"/>
  <c r="K615" i="3"/>
  <c r="M615" i="3"/>
  <c r="A616" i="3"/>
  <c r="B616" i="3"/>
  <c r="C616" i="3"/>
  <c r="E616" i="3"/>
  <c r="G616" i="3"/>
  <c r="J616" i="3"/>
  <c r="K616" i="3"/>
  <c r="M616" i="3"/>
  <c r="A617" i="3"/>
  <c r="B617" i="3"/>
  <c r="C617" i="3"/>
  <c r="D617" i="3"/>
  <c r="E617" i="3"/>
  <c r="F617" i="3"/>
  <c r="G617" i="3"/>
  <c r="H617" i="3"/>
  <c r="I617" i="3"/>
  <c r="J617" i="3"/>
  <c r="K617" i="3"/>
  <c r="L617" i="3"/>
  <c r="M617" i="3"/>
  <c r="N617" i="3"/>
  <c r="O617" i="3"/>
  <c r="P617" i="3"/>
  <c r="A618" i="3"/>
  <c r="B618" i="3"/>
  <c r="C618" i="3"/>
  <c r="E618" i="3"/>
  <c r="G618" i="3"/>
  <c r="J618" i="3"/>
  <c r="K618" i="3"/>
  <c r="M618" i="3"/>
  <c r="A619" i="3"/>
  <c r="B619" i="3"/>
  <c r="C619" i="3"/>
  <c r="D619" i="3"/>
  <c r="E619" i="3"/>
  <c r="F619" i="3"/>
  <c r="G619" i="3"/>
  <c r="H619" i="3"/>
  <c r="I619" i="3"/>
  <c r="J619" i="3"/>
  <c r="K619" i="3"/>
  <c r="L619" i="3"/>
  <c r="M619" i="3"/>
  <c r="N619" i="3"/>
  <c r="O619" i="3"/>
  <c r="P619" i="3"/>
  <c r="A620" i="3"/>
  <c r="B620" i="3"/>
  <c r="C620" i="3"/>
  <c r="E620" i="3"/>
  <c r="G620" i="3"/>
  <c r="J620" i="3"/>
  <c r="K620" i="3"/>
  <c r="M620" i="3"/>
  <c r="A621" i="3"/>
  <c r="B621" i="3"/>
  <c r="C621" i="3"/>
  <c r="D621" i="3"/>
  <c r="E621" i="3"/>
  <c r="F621" i="3"/>
  <c r="G621" i="3"/>
  <c r="H621" i="3"/>
  <c r="I621" i="3"/>
  <c r="J621" i="3"/>
  <c r="K621" i="3"/>
  <c r="L621" i="3"/>
  <c r="M621" i="3"/>
  <c r="N621" i="3"/>
  <c r="O621" i="3"/>
  <c r="P621" i="3"/>
  <c r="A622" i="3"/>
  <c r="B622" i="3"/>
  <c r="C622" i="3"/>
  <c r="E622" i="3"/>
  <c r="G622" i="3"/>
  <c r="J622" i="3"/>
  <c r="K622" i="3"/>
  <c r="M622" i="3"/>
  <c r="A623" i="3"/>
  <c r="B623" i="3"/>
  <c r="C623" i="3"/>
  <c r="D623" i="3"/>
  <c r="E623" i="3"/>
  <c r="F623" i="3"/>
  <c r="G623" i="3"/>
  <c r="H623" i="3"/>
  <c r="I623" i="3"/>
  <c r="J623" i="3"/>
  <c r="K623" i="3"/>
  <c r="L623" i="3"/>
  <c r="M623" i="3"/>
  <c r="N623" i="3"/>
  <c r="O623" i="3"/>
  <c r="P623" i="3"/>
  <c r="A624" i="3"/>
  <c r="B624" i="3"/>
  <c r="C624" i="3"/>
  <c r="E624" i="3"/>
  <c r="G624" i="3"/>
  <c r="J624" i="3"/>
  <c r="K624" i="3"/>
  <c r="M624" i="3"/>
  <c r="A625" i="3"/>
  <c r="B625" i="3"/>
  <c r="C625" i="3"/>
  <c r="D625" i="3"/>
  <c r="E625" i="3"/>
  <c r="G625" i="3"/>
  <c r="H625" i="3"/>
  <c r="I625" i="3"/>
  <c r="J625" i="3"/>
  <c r="K625" i="3"/>
  <c r="L625" i="3"/>
  <c r="M625" i="3"/>
  <c r="N625" i="3"/>
  <c r="O625" i="3"/>
  <c r="P625" i="3"/>
  <c r="A626" i="3"/>
  <c r="B626" i="3"/>
  <c r="C626" i="3"/>
  <c r="D626" i="3"/>
  <c r="E626" i="3"/>
  <c r="G626" i="3"/>
  <c r="H626" i="3"/>
  <c r="I626" i="3"/>
  <c r="J626" i="3"/>
  <c r="K626" i="3"/>
  <c r="L626" i="3"/>
  <c r="M626" i="3"/>
  <c r="N626" i="3"/>
  <c r="O626" i="3"/>
  <c r="P626" i="3"/>
  <c r="A627" i="3"/>
  <c r="B627" i="3"/>
  <c r="C627" i="3"/>
  <c r="D627" i="3"/>
  <c r="E627" i="3"/>
  <c r="F627" i="3"/>
  <c r="G627" i="3"/>
  <c r="H627" i="3"/>
  <c r="I627" i="3"/>
  <c r="J627" i="3"/>
  <c r="K627" i="3"/>
  <c r="L627" i="3"/>
  <c r="M627" i="3"/>
  <c r="N627" i="3"/>
  <c r="O627" i="3"/>
  <c r="P627" i="3"/>
  <c r="A628" i="3"/>
  <c r="B628" i="3"/>
  <c r="C628" i="3"/>
  <c r="D628" i="3"/>
  <c r="E628" i="3"/>
  <c r="F628" i="3"/>
  <c r="G628" i="3"/>
  <c r="H628" i="3"/>
  <c r="I628" i="3"/>
  <c r="J628" i="3"/>
  <c r="K628" i="3"/>
  <c r="L628" i="3"/>
  <c r="M628" i="3"/>
  <c r="N628" i="3"/>
  <c r="O628" i="3"/>
  <c r="P628" i="3"/>
  <c r="A629" i="3"/>
  <c r="B629" i="3"/>
  <c r="C629" i="3"/>
  <c r="D629" i="3"/>
  <c r="E629" i="3"/>
  <c r="F629" i="3"/>
  <c r="G629" i="3"/>
  <c r="H629" i="3"/>
  <c r="I629" i="3"/>
  <c r="J629" i="3"/>
  <c r="K629" i="3"/>
  <c r="L629" i="3"/>
  <c r="M629" i="3"/>
  <c r="N629" i="3"/>
  <c r="O629" i="3"/>
  <c r="P629" i="3"/>
  <c r="A630" i="3"/>
  <c r="B630" i="3"/>
  <c r="C630" i="3"/>
  <c r="D630" i="3"/>
  <c r="E630" i="3"/>
  <c r="F630" i="3"/>
  <c r="G630" i="3"/>
  <c r="H630" i="3"/>
  <c r="I630" i="3"/>
  <c r="J630" i="3"/>
  <c r="K630" i="3"/>
  <c r="L630" i="3"/>
  <c r="M630" i="3"/>
  <c r="N630" i="3"/>
  <c r="O630" i="3"/>
  <c r="P630" i="3"/>
  <c r="A631" i="3"/>
  <c r="B631" i="3"/>
  <c r="C631" i="3"/>
  <c r="D631" i="3"/>
  <c r="E631" i="3"/>
  <c r="F631" i="3"/>
  <c r="G631" i="3"/>
  <c r="H631" i="3"/>
  <c r="I631" i="3"/>
  <c r="J631" i="3"/>
  <c r="K631" i="3"/>
  <c r="L631" i="3"/>
  <c r="M631" i="3"/>
  <c r="N631" i="3"/>
  <c r="O631" i="3"/>
  <c r="P631" i="3"/>
  <c r="A632" i="3"/>
  <c r="B632" i="3"/>
  <c r="C632" i="3"/>
  <c r="E632" i="3"/>
  <c r="G632" i="3"/>
  <c r="J632" i="3"/>
  <c r="K632" i="3"/>
  <c r="M632" i="3"/>
  <c r="A633" i="3"/>
  <c r="B633" i="3"/>
  <c r="C633" i="3"/>
  <c r="E633" i="3"/>
  <c r="G633" i="3"/>
  <c r="J633" i="3"/>
  <c r="K633" i="3"/>
  <c r="M633" i="3"/>
  <c r="A634" i="3"/>
  <c r="B634" i="3"/>
  <c r="C634" i="3"/>
  <c r="E634" i="3"/>
  <c r="G634" i="3"/>
  <c r="J634" i="3"/>
  <c r="K634" i="3"/>
  <c r="M634" i="3"/>
  <c r="A635" i="3"/>
  <c r="B635" i="3"/>
  <c r="C635" i="3"/>
  <c r="D635" i="3"/>
  <c r="E635" i="3"/>
  <c r="F635" i="3"/>
  <c r="G635" i="3"/>
  <c r="H635" i="3"/>
  <c r="I635" i="3"/>
  <c r="J635" i="3"/>
  <c r="K635" i="3"/>
  <c r="L635" i="3"/>
  <c r="M635" i="3"/>
  <c r="N635" i="3"/>
  <c r="O635" i="3"/>
  <c r="P635" i="3"/>
  <c r="A636" i="3"/>
  <c r="B636" i="3"/>
  <c r="C636" i="3"/>
  <c r="E636" i="3"/>
  <c r="G636" i="3"/>
  <c r="J636" i="3"/>
  <c r="K636" i="3"/>
  <c r="M636" i="3"/>
  <c r="A637" i="3"/>
  <c r="B637" i="3"/>
  <c r="C637" i="3"/>
  <c r="D637" i="3"/>
  <c r="E637" i="3"/>
  <c r="F637" i="3"/>
  <c r="G637" i="3"/>
  <c r="H637" i="3"/>
  <c r="I637" i="3"/>
  <c r="J637" i="3"/>
  <c r="K637" i="3"/>
  <c r="L637" i="3"/>
  <c r="M637" i="3"/>
  <c r="N637" i="3"/>
  <c r="O637" i="3"/>
  <c r="P637" i="3"/>
  <c r="A638" i="3"/>
  <c r="B638" i="3"/>
  <c r="C638" i="3"/>
  <c r="D638" i="3"/>
  <c r="E638" i="3"/>
  <c r="F638" i="3"/>
  <c r="G638" i="3"/>
  <c r="H638" i="3"/>
  <c r="I638" i="3"/>
  <c r="J638" i="3"/>
  <c r="K638" i="3"/>
  <c r="L638" i="3"/>
  <c r="M638" i="3"/>
  <c r="N638" i="3"/>
  <c r="O638" i="3"/>
  <c r="P638" i="3"/>
  <c r="A639" i="3"/>
  <c r="B639" i="3"/>
  <c r="C639" i="3"/>
  <c r="E639" i="3"/>
  <c r="G639" i="3"/>
  <c r="J639" i="3"/>
  <c r="K639" i="3"/>
  <c r="M639" i="3"/>
  <c r="A640" i="3"/>
  <c r="B640" i="3"/>
  <c r="C640" i="3"/>
  <c r="E640" i="3"/>
  <c r="G640" i="3"/>
  <c r="J640" i="3"/>
  <c r="K640" i="3"/>
  <c r="M640" i="3"/>
  <c r="A641" i="3"/>
  <c r="B641" i="3"/>
  <c r="C641" i="3"/>
  <c r="D641" i="3"/>
  <c r="E641" i="3"/>
  <c r="F641" i="3"/>
  <c r="G641" i="3"/>
  <c r="H641" i="3"/>
  <c r="I641" i="3"/>
  <c r="J641" i="3"/>
  <c r="K641" i="3"/>
  <c r="L641" i="3"/>
  <c r="M641" i="3"/>
  <c r="N641" i="3"/>
  <c r="O641" i="3"/>
  <c r="P641" i="3"/>
  <c r="A642" i="3"/>
  <c r="B642" i="3"/>
  <c r="C642" i="3"/>
  <c r="E642" i="3"/>
  <c r="G642" i="3"/>
  <c r="J642" i="3"/>
  <c r="K642" i="3"/>
  <c r="M642" i="3"/>
  <c r="A643" i="3"/>
  <c r="B643" i="3"/>
  <c r="C643" i="3"/>
  <c r="D643" i="3"/>
  <c r="E643" i="3"/>
  <c r="F643" i="3"/>
  <c r="G643" i="3"/>
  <c r="H643" i="3"/>
  <c r="I643" i="3"/>
  <c r="J643" i="3"/>
  <c r="K643" i="3"/>
  <c r="L643" i="3"/>
  <c r="M643" i="3"/>
  <c r="N643" i="3"/>
  <c r="O643" i="3"/>
  <c r="P643" i="3"/>
  <c r="A644" i="3"/>
  <c r="B644" i="3"/>
  <c r="C644" i="3"/>
  <c r="D644" i="3"/>
  <c r="E644" i="3"/>
  <c r="F644" i="3"/>
  <c r="G644" i="3"/>
  <c r="H644" i="3"/>
  <c r="I644" i="3"/>
  <c r="J644" i="3"/>
  <c r="K644" i="3"/>
  <c r="L644" i="3"/>
  <c r="M644" i="3"/>
  <c r="N644" i="3"/>
  <c r="O644" i="3"/>
  <c r="P644" i="3"/>
  <c r="A645" i="3"/>
  <c r="B645" i="3"/>
  <c r="C645" i="3"/>
  <c r="E645" i="3"/>
  <c r="G645" i="3"/>
  <c r="J645" i="3"/>
  <c r="K645" i="3"/>
  <c r="M645" i="3"/>
  <c r="A646" i="3"/>
  <c r="B646" i="3"/>
  <c r="C646" i="3"/>
  <c r="E646" i="3"/>
  <c r="G646" i="3"/>
  <c r="J646" i="3"/>
  <c r="K646" i="3"/>
  <c r="M646" i="3"/>
  <c r="A647" i="3"/>
  <c r="B647" i="3"/>
  <c r="C647" i="3"/>
  <c r="D647" i="3"/>
  <c r="E647" i="3"/>
  <c r="F647" i="3"/>
  <c r="G647" i="3"/>
  <c r="H647" i="3"/>
  <c r="I647" i="3"/>
  <c r="J647" i="3"/>
  <c r="K647" i="3"/>
  <c r="L647" i="3"/>
  <c r="M647" i="3"/>
  <c r="N647" i="3"/>
  <c r="O647" i="3"/>
  <c r="P647" i="3"/>
  <c r="A648" i="3"/>
  <c r="B648" i="3"/>
  <c r="C648" i="3"/>
  <c r="E648" i="3"/>
  <c r="G648" i="3"/>
  <c r="J648" i="3"/>
  <c r="K648" i="3"/>
  <c r="M648" i="3"/>
  <c r="A649" i="3"/>
  <c r="B649" i="3"/>
  <c r="C649" i="3"/>
  <c r="D649" i="3"/>
  <c r="E649" i="3"/>
  <c r="F649" i="3"/>
  <c r="G649" i="3"/>
  <c r="H649" i="3"/>
  <c r="I649" i="3"/>
  <c r="J649" i="3"/>
  <c r="K649" i="3"/>
  <c r="L649" i="3"/>
  <c r="M649" i="3"/>
  <c r="N649" i="3"/>
  <c r="O649" i="3"/>
  <c r="P649" i="3"/>
  <c r="A650" i="3"/>
  <c r="B650" i="3"/>
  <c r="C650" i="3"/>
  <c r="E650" i="3"/>
  <c r="G650" i="3"/>
  <c r="J650" i="3"/>
  <c r="K650" i="3"/>
  <c r="M650" i="3"/>
  <c r="A651" i="3"/>
  <c r="B651" i="3"/>
  <c r="C651" i="3"/>
  <c r="D651" i="3"/>
  <c r="E651" i="3"/>
  <c r="F651" i="3"/>
  <c r="G651" i="3"/>
  <c r="H651" i="3"/>
  <c r="I651" i="3"/>
  <c r="J651" i="3"/>
  <c r="K651" i="3"/>
  <c r="L651" i="3"/>
  <c r="M651" i="3"/>
  <c r="N651" i="3"/>
  <c r="O651" i="3"/>
  <c r="P651" i="3"/>
  <c r="A652" i="3"/>
  <c r="B652" i="3"/>
  <c r="C652" i="3"/>
  <c r="D652" i="3"/>
  <c r="E652" i="3"/>
  <c r="F652" i="3"/>
  <c r="G652" i="3"/>
  <c r="H652" i="3"/>
  <c r="I652" i="3"/>
  <c r="J652" i="3"/>
  <c r="K652" i="3"/>
  <c r="L652" i="3"/>
  <c r="M652" i="3"/>
  <c r="N652" i="3"/>
  <c r="O652" i="3"/>
  <c r="P652" i="3"/>
  <c r="A653" i="3"/>
  <c r="B653" i="3"/>
  <c r="C653" i="3"/>
  <c r="D653" i="3"/>
  <c r="E653" i="3"/>
  <c r="F653" i="3"/>
  <c r="G653" i="3"/>
  <c r="H653" i="3"/>
  <c r="I653" i="3"/>
  <c r="J653" i="3"/>
  <c r="K653" i="3"/>
  <c r="L653" i="3"/>
  <c r="M653" i="3"/>
  <c r="N653" i="3"/>
  <c r="O653" i="3"/>
  <c r="P653" i="3"/>
  <c r="A654" i="3"/>
  <c r="B654" i="3"/>
  <c r="C654" i="3"/>
  <c r="D654" i="3"/>
  <c r="E654" i="3"/>
  <c r="F654" i="3"/>
  <c r="G654" i="3"/>
  <c r="H654" i="3"/>
  <c r="I654" i="3"/>
  <c r="J654" i="3"/>
  <c r="K654" i="3"/>
  <c r="L654" i="3"/>
  <c r="M654" i="3"/>
  <c r="N654" i="3"/>
  <c r="O654" i="3"/>
  <c r="P654" i="3"/>
  <c r="A655" i="3"/>
  <c r="B655" i="3"/>
  <c r="C655" i="3"/>
  <c r="E655" i="3"/>
  <c r="G655" i="3"/>
  <c r="J655" i="3"/>
  <c r="K655" i="3"/>
  <c r="M655" i="3"/>
  <c r="A656" i="3"/>
  <c r="B656" i="3"/>
  <c r="C656" i="3"/>
  <c r="E656" i="3"/>
  <c r="G656" i="3"/>
  <c r="J656" i="3"/>
  <c r="K656" i="3"/>
  <c r="M656" i="3"/>
  <c r="A657" i="3"/>
  <c r="B657" i="3"/>
  <c r="C657" i="3"/>
  <c r="E657" i="3"/>
  <c r="G657" i="3"/>
  <c r="J657" i="3"/>
  <c r="K657" i="3"/>
  <c r="M657" i="3"/>
  <c r="A658" i="3"/>
  <c r="B658" i="3"/>
  <c r="C658" i="3"/>
  <c r="D658" i="3"/>
  <c r="E658" i="3"/>
  <c r="F658" i="3"/>
  <c r="G658" i="3"/>
  <c r="H658" i="3"/>
  <c r="I658" i="3"/>
  <c r="J658" i="3"/>
  <c r="K658" i="3"/>
  <c r="L658" i="3"/>
  <c r="M658" i="3"/>
  <c r="N658" i="3"/>
  <c r="O658" i="3"/>
  <c r="P658" i="3"/>
  <c r="A659" i="3"/>
  <c r="B659" i="3"/>
  <c r="C659" i="3"/>
  <c r="E659" i="3"/>
  <c r="G659" i="3"/>
  <c r="J659" i="3"/>
  <c r="K659" i="3"/>
  <c r="M659" i="3"/>
  <c r="A660" i="3"/>
  <c r="B660" i="3"/>
  <c r="C660" i="3"/>
  <c r="D660" i="3"/>
  <c r="E660" i="3"/>
  <c r="F660" i="3"/>
  <c r="G660" i="3"/>
  <c r="H660" i="3"/>
  <c r="I660" i="3"/>
  <c r="J660" i="3"/>
  <c r="K660" i="3"/>
  <c r="L660" i="3"/>
  <c r="M660" i="3"/>
  <c r="N660" i="3"/>
  <c r="O660" i="3"/>
  <c r="P660" i="3"/>
  <c r="A661" i="3"/>
  <c r="B661" i="3"/>
  <c r="C661" i="3"/>
  <c r="D661" i="3"/>
  <c r="E661" i="3"/>
  <c r="F661" i="3"/>
  <c r="G661" i="3"/>
  <c r="H661" i="3"/>
  <c r="I661" i="3"/>
  <c r="J661" i="3"/>
  <c r="K661" i="3"/>
  <c r="L661" i="3"/>
  <c r="M661" i="3"/>
  <c r="N661" i="3"/>
  <c r="O661" i="3"/>
  <c r="P661" i="3"/>
  <c r="A662" i="3"/>
  <c r="B662" i="3"/>
  <c r="C662" i="3"/>
  <c r="E662" i="3"/>
  <c r="G662" i="3"/>
  <c r="J662" i="3"/>
  <c r="K662" i="3"/>
  <c r="M662" i="3"/>
  <c r="A663" i="3"/>
  <c r="B663" i="3"/>
  <c r="C663" i="3"/>
  <c r="E663" i="3"/>
  <c r="G663" i="3"/>
  <c r="J663" i="3"/>
  <c r="K663" i="3"/>
  <c r="M663" i="3"/>
  <c r="A664" i="3"/>
  <c r="B664" i="3"/>
  <c r="C664" i="3"/>
  <c r="D664" i="3"/>
  <c r="E664" i="3"/>
  <c r="F664" i="3"/>
  <c r="G664" i="3"/>
  <c r="H664" i="3"/>
  <c r="I664" i="3"/>
  <c r="J664" i="3"/>
  <c r="K664" i="3"/>
  <c r="L664" i="3"/>
  <c r="M664" i="3"/>
  <c r="N664" i="3"/>
  <c r="O664" i="3"/>
  <c r="P664" i="3"/>
  <c r="A665" i="3"/>
  <c r="B665" i="3"/>
  <c r="C665" i="3"/>
  <c r="E665" i="3"/>
  <c r="G665" i="3"/>
  <c r="J665" i="3"/>
  <c r="K665" i="3"/>
  <c r="M665" i="3"/>
  <c r="A666" i="3"/>
  <c r="B666" i="3"/>
  <c r="C666" i="3"/>
  <c r="D666" i="3"/>
  <c r="E666" i="3"/>
  <c r="F666" i="3"/>
  <c r="G666" i="3"/>
  <c r="H666" i="3"/>
  <c r="I666" i="3"/>
  <c r="J666" i="3"/>
  <c r="K666" i="3"/>
  <c r="L666" i="3"/>
  <c r="M666" i="3"/>
  <c r="N666" i="3"/>
  <c r="O666" i="3"/>
  <c r="P666" i="3"/>
  <c r="A667" i="3"/>
  <c r="B667" i="3"/>
  <c r="C667" i="3"/>
  <c r="D667" i="3"/>
  <c r="E667" i="3"/>
  <c r="F667" i="3"/>
  <c r="G667" i="3"/>
  <c r="H667" i="3"/>
  <c r="I667" i="3"/>
  <c r="J667" i="3"/>
  <c r="K667" i="3"/>
  <c r="L667" i="3"/>
  <c r="M667" i="3"/>
  <c r="N667" i="3"/>
  <c r="O667" i="3"/>
  <c r="P667" i="3"/>
  <c r="A668" i="3"/>
  <c r="B668" i="3"/>
  <c r="C668" i="3"/>
  <c r="E668" i="3"/>
  <c r="G668" i="3"/>
  <c r="J668" i="3"/>
  <c r="K668" i="3"/>
  <c r="M668" i="3"/>
  <c r="A669" i="3"/>
  <c r="B669" i="3"/>
  <c r="C669" i="3"/>
  <c r="E669" i="3"/>
  <c r="G669" i="3"/>
  <c r="J669" i="3"/>
  <c r="K669" i="3"/>
  <c r="M669" i="3"/>
  <c r="A670" i="3"/>
  <c r="B670" i="3"/>
  <c r="C670" i="3"/>
  <c r="D670" i="3"/>
  <c r="E670" i="3"/>
  <c r="F670" i="3"/>
  <c r="G670" i="3"/>
  <c r="H670" i="3"/>
  <c r="I670" i="3"/>
  <c r="J670" i="3"/>
  <c r="K670" i="3"/>
  <c r="L670" i="3"/>
  <c r="M670" i="3"/>
  <c r="N670" i="3"/>
  <c r="O670" i="3"/>
  <c r="P670" i="3"/>
  <c r="A671" i="3"/>
  <c r="B671" i="3"/>
  <c r="C671" i="3"/>
  <c r="E671" i="3"/>
  <c r="G671" i="3"/>
  <c r="J671" i="3"/>
  <c r="K671" i="3"/>
  <c r="M671" i="3"/>
  <c r="A672" i="3"/>
  <c r="B672" i="3"/>
  <c r="C672" i="3"/>
  <c r="D672" i="3"/>
  <c r="E672" i="3"/>
  <c r="F672" i="3"/>
  <c r="G672" i="3"/>
  <c r="H672" i="3"/>
  <c r="I672" i="3"/>
  <c r="J672" i="3"/>
  <c r="K672" i="3"/>
  <c r="L672" i="3"/>
  <c r="M672" i="3"/>
  <c r="N672" i="3"/>
  <c r="O672" i="3"/>
  <c r="P672" i="3"/>
  <c r="A673" i="3"/>
  <c r="B673" i="3"/>
  <c r="C673" i="3"/>
  <c r="E673" i="3"/>
  <c r="G673" i="3"/>
  <c r="J673" i="3"/>
  <c r="K673" i="3"/>
  <c r="M673" i="3"/>
  <c r="A674" i="3"/>
  <c r="B674" i="3"/>
  <c r="C674" i="3"/>
  <c r="D674" i="3"/>
  <c r="E674" i="3"/>
  <c r="F674" i="3"/>
  <c r="G674" i="3"/>
  <c r="H674" i="3"/>
  <c r="I674" i="3"/>
  <c r="J674" i="3"/>
  <c r="K674" i="3"/>
  <c r="L674" i="3"/>
  <c r="M674" i="3"/>
  <c r="N674" i="3"/>
  <c r="O674" i="3"/>
  <c r="P674" i="3"/>
  <c r="A675" i="3"/>
  <c r="B675" i="3"/>
  <c r="C675" i="3"/>
  <c r="D675" i="3"/>
  <c r="E675" i="3"/>
  <c r="F675" i="3"/>
  <c r="G675" i="3"/>
  <c r="H675" i="3"/>
  <c r="I675" i="3"/>
  <c r="J675" i="3"/>
  <c r="K675" i="3"/>
  <c r="L675" i="3"/>
  <c r="M675" i="3"/>
  <c r="N675" i="3"/>
  <c r="O675" i="3"/>
  <c r="P675" i="3"/>
  <c r="A676" i="3"/>
  <c r="B676" i="3"/>
  <c r="C676" i="3"/>
  <c r="D676" i="3"/>
  <c r="E676" i="3"/>
  <c r="F676" i="3"/>
  <c r="G676" i="3"/>
  <c r="H676" i="3"/>
  <c r="I676" i="3"/>
  <c r="J676" i="3"/>
  <c r="K676" i="3"/>
  <c r="L676" i="3"/>
  <c r="M676" i="3"/>
  <c r="N676" i="3"/>
  <c r="O676" i="3"/>
  <c r="P676" i="3"/>
  <c r="A677" i="3"/>
  <c r="B677" i="3"/>
  <c r="C677" i="3"/>
  <c r="D677" i="3"/>
  <c r="E677" i="3"/>
  <c r="F677" i="3"/>
  <c r="G677" i="3"/>
  <c r="H677" i="3"/>
  <c r="I677" i="3"/>
  <c r="J677" i="3"/>
  <c r="K677" i="3"/>
  <c r="L677" i="3"/>
  <c r="M677" i="3"/>
  <c r="N677" i="3"/>
  <c r="O677" i="3"/>
  <c r="P677" i="3"/>
  <c r="A678" i="3"/>
  <c r="B678" i="3"/>
  <c r="C678" i="3"/>
  <c r="E678" i="3"/>
  <c r="G678" i="3"/>
  <c r="J678" i="3"/>
  <c r="K678" i="3"/>
  <c r="M678" i="3"/>
  <c r="A679" i="3"/>
  <c r="B679" i="3"/>
  <c r="C679" i="3"/>
  <c r="E679" i="3"/>
  <c r="G679" i="3"/>
  <c r="J679" i="3"/>
  <c r="K679" i="3"/>
  <c r="M679" i="3"/>
  <c r="A680" i="3"/>
  <c r="B680" i="3"/>
  <c r="C680" i="3"/>
  <c r="E680" i="3"/>
  <c r="G680" i="3"/>
  <c r="J680" i="3"/>
  <c r="K680" i="3"/>
  <c r="M680" i="3"/>
  <c r="A681" i="3"/>
  <c r="B681" i="3"/>
  <c r="C681" i="3"/>
  <c r="E681" i="3"/>
  <c r="G681" i="3"/>
  <c r="J681" i="3"/>
  <c r="K681" i="3"/>
  <c r="M681" i="3"/>
  <c r="A682" i="3"/>
  <c r="B682" i="3"/>
  <c r="C682" i="3"/>
  <c r="E682" i="3"/>
  <c r="G682" i="3"/>
  <c r="J682" i="3"/>
  <c r="K682" i="3"/>
  <c r="M682" i="3"/>
  <c r="A683" i="3"/>
  <c r="B683" i="3"/>
  <c r="C683" i="3"/>
  <c r="E683" i="3"/>
  <c r="G683" i="3"/>
  <c r="J683" i="3"/>
  <c r="K683" i="3"/>
  <c r="M683" i="3"/>
  <c r="A684" i="3"/>
  <c r="B684" i="3"/>
  <c r="C684" i="3"/>
  <c r="E684" i="3"/>
  <c r="G684" i="3"/>
  <c r="J684" i="3"/>
  <c r="K684" i="3"/>
  <c r="M684" i="3"/>
  <c r="A685" i="3"/>
  <c r="B685" i="3"/>
  <c r="C685" i="3"/>
  <c r="D685" i="3"/>
  <c r="E685" i="3"/>
  <c r="F685" i="3"/>
  <c r="G685" i="3"/>
  <c r="H685" i="3"/>
  <c r="I685" i="3"/>
  <c r="J685" i="3"/>
  <c r="K685" i="3"/>
  <c r="L685" i="3"/>
  <c r="M685" i="3"/>
  <c r="N685" i="3"/>
  <c r="O685" i="3"/>
  <c r="P685" i="3"/>
  <c r="A686" i="3"/>
  <c r="B686" i="3"/>
  <c r="C686" i="3"/>
  <c r="E686" i="3"/>
  <c r="G686" i="3"/>
  <c r="J686" i="3"/>
  <c r="K686" i="3"/>
  <c r="M686" i="3"/>
  <c r="A689" i="3"/>
  <c r="B689" i="3"/>
  <c r="C689" i="3"/>
  <c r="D689" i="3"/>
  <c r="E689" i="3"/>
  <c r="F689" i="3"/>
  <c r="G689" i="3"/>
  <c r="H689" i="3"/>
  <c r="I689" i="3"/>
  <c r="J689" i="3"/>
  <c r="K689" i="3"/>
  <c r="L689" i="3"/>
  <c r="M689" i="3"/>
  <c r="N689" i="3"/>
  <c r="O689" i="3"/>
  <c r="P689" i="3"/>
  <c r="A690" i="3"/>
  <c r="B690" i="3"/>
  <c r="C690" i="3"/>
  <c r="D690" i="3"/>
  <c r="E690" i="3"/>
  <c r="F690" i="3"/>
  <c r="G690" i="3"/>
  <c r="H690" i="3"/>
  <c r="I690" i="3"/>
  <c r="J690" i="3"/>
  <c r="K690" i="3"/>
  <c r="L690" i="3"/>
  <c r="M690" i="3"/>
  <c r="N690" i="3"/>
  <c r="O690" i="3"/>
  <c r="P690" i="3"/>
  <c r="A691" i="3"/>
  <c r="B691" i="3"/>
  <c r="C691" i="3"/>
  <c r="E691" i="3"/>
  <c r="G691" i="3"/>
  <c r="J691" i="3"/>
  <c r="K691" i="3"/>
  <c r="M691" i="3"/>
  <c r="A692" i="3"/>
  <c r="B692" i="3"/>
  <c r="C692" i="3"/>
  <c r="D692" i="3"/>
  <c r="E692" i="3"/>
  <c r="F692" i="3"/>
  <c r="G692" i="3"/>
  <c r="H692" i="3"/>
  <c r="I692" i="3"/>
  <c r="J692" i="3"/>
  <c r="K692" i="3"/>
  <c r="L692" i="3"/>
  <c r="M692" i="3"/>
  <c r="N692" i="3"/>
  <c r="O692" i="3"/>
  <c r="P692" i="3"/>
  <c r="A693" i="3"/>
  <c r="B693" i="3"/>
  <c r="C693" i="3"/>
  <c r="D693" i="3"/>
  <c r="E693" i="3"/>
  <c r="F693" i="3"/>
  <c r="G693" i="3"/>
  <c r="H693" i="3"/>
  <c r="I693" i="3"/>
  <c r="J693" i="3"/>
  <c r="K693" i="3"/>
  <c r="L693" i="3"/>
  <c r="M693" i="3"/>
  <c r="N693" i="3"/>
  <c r="O693" i="3"/>
  <c r="P693" i="3"/>
  <c r="A694" i="3"/>
  <c r="B694" i="3"/>
  <c r="C694" i="3"/>
  <c r="E694" i="3"/>
  <c r="G694" i="3"/>
  <c r="J694" i="3"/>
  <c r="K694" i="3"/>
  <c r="M694" i="3"/>
  <c r="A695" i="3"/>
  <c r="B695" i="3"/>
  <c r="C695" i="3"/>
  <c r="E695" i="3"/>
  <c r="G695" i="3"/>
  <c r="J695" i="3"/>
  <c r="K695" i="3"/>
  <c r="M695" i="3"/>
  <c r="A696" i="3"/>
  <c r="B696" i="3"/>
  <c r="C696" i="3"/>
  <c r="E696" i="3"/>
  <c r="G696" i="3"/>
  <c r="J696" i="3"/>
  <c r="K696" i="3"/>
  <c r="M696" i="3"/>
  <c r="A697" i="3"/>
  <c r="B697" i="3"/>
  <c r="C697" i="3"/>
  <c r="D697" i="3"/>
  <c r="E697" i="3"/>
  <c r="F697" i="3"/>
  <c r="G697" i="3"/>
  <c r="H697" i="3"/>
  <c r="I697" i="3"/>
  <c r="J697" i="3"/>
  <c r="K697" i="3"/>
  <c r="L697" i="3"/>
  <c r="M697" i="3"/>
  <c r="N697" i="3"/>
  <c r="O697" i="3"/>
  <c r="P697" i="3"/>
  <c r="A698" i="3"/>
  <c r="B698" i="3"/>
  <c r="C698" i="3"/>
  <c r="E698" i="3"/>
  <c r="G698" i="3"/>
  <c r="J698" i="3"/>
  <c r="K698" i="3"/>
  <c r="M698" i="3"/>
  <c r="A699" i="3"/>
  <c r="B699" i="3"/>
  <c r="C699" i="3"/>
  <c r="E699" i="3"/>
  <c r="G699" i="3"/>
  <c r="J699" i="3"/>
  <c r="K699" i="3"/>
  <c r="M699" i="3"/>
  <c r="A700" i="3"/>
  <c r="B700" i="3"/>
  <c r="C700" i="3"/>
  <c r="E700" i="3"/>
  <c r="G700" i="3"/>
  <c r="J700" i="3"/>
  <c r="K700" i="3"/>
  <c r="M700" i="3"/>
  <c r="A701" i="3"/>
  <c r="B701" i="3"/>
  <c r="C701" i="3"/>
  <c r="E701" i="3"/>
  <c r="G701" i="3"/>
  <c r="J701" i="3"/>
  <c r="K701" i="3"/>
  <c r="M701" i="3"/>
  <c r="A702" i="3"/>
  <c r="B702" i="3"/>
  <c r="C702" i="3"/>
  <c r="D702" i="3"/>
  <c r="E702" i="3"/>
  <c r="F702" i="3"/>
  <c r="G702" i="3"/>
  <c r="H702" i="3"/>
  <c r="I702" i="3"/>
  <c r="J702" i="3"/>
  <c r="K702" i="3"/>
  <c r="L702" i="3"/>
  <c r="M702" i="3"/>
  <c r="N702" i="3"/>
  <c r="O702" i="3"/>
  <c r="P702" i="3"/>
  <c r="A703" i="3"/>
  <c r="B703" i="3"/>
  <c r="C703" i="3"/>
  <c r="D703" i="3"/>
  <c r="E703" i="3"/>
  <c r="F703" i="3"/>
  <c r="G703" i="3"/>
  <c r="H703" i="3"/>
  <c r="I703" i="3"/>
  <c r="J703" i="3"/>
  <c r="K703" i="3"/>
  <c r="L703" i="3"/>
  <c r="M703" i="3"/>
  <c r="N703" i="3"/>
  <c r="O703" i="3"/>
  <c r="P703" i="3"/>
  <c r="A704" i="3"/>
  <c r="B704" i="3"/>
  <c r="C704" i="3"/>
  <c r="E704" i="3"/>
  <c r="G704" i="3"/>
  <c r="J704" i="3"/>
  <c r="K704" i="3"/>
  <c r="M704" i="3"/>
  <c r="A705" i="3"/>
  <c r="B705" i="3"/>
  <c r="C705" i="3"/>
  <c r="E705" i="3"/>
  <c r="G705" i="3"/>
  <c r="J705" i="3"/>
  <c r="K705" i="3"/>
  <c r="M705" i="3"/>
  <c r="A706" i="3"/>
  <c r="B706" i="3"/>
  <c r="C706" i="3"/>
  <c r="E706" i="3"/>
  <c r="G706" i="3"/>
  <c r="J706" i="3"/>
  <c r="K706" i="3"/>
  <c r="M706" i="3"/>
  <c r="A707" i="3"/>
  <c r="B707" i="3"/>
  <c r="C707" i="3"/>
  <c r="E707" i="3"/>
  <c r="G707" i="3"/>
  <c r="J707" i="3"/>
  <c r="K707" i="3"/>
  <c r="M707" i="3"/>
  <c r="A708" i="3"/>
  <c r="B708" i="3"/>
  <c r="C708" i="3"/>
  <c r="E708" i="3"/>
  <c r="G708" i="3"/>
  <c r="J708" i="3"/>
  <c r="K708" i="3"/>
  <c r="M708" i="3"/>
  <c r="A709" i="3"/>
  <c r="B709" i="3"/>
  <c r="C709" i="3"/>
  <c r="E709" i="3"/>
  <c r="G709" i="3"/>
  <c r="J709" i="3"/>
  <c r="K709" i="3"/>
  <c r="M709" i="3"/>
  <c r="A710" i="3"/>
  <c r="B710" i="3"/>
  <c r="C710" i="3"/>
  <c r="E710" i="3"/>
  <c r="G710" i="3"/>
  <c r="J710" i="3"/>
  <c r="K710" i="3"/>
  <c r="M710" i="3"/>
  <c r="A711" i="3"/>
  <c r="B711" i="3"/>
  <c r="C711" i="3"/>
  <c r="D711" i="3"/>
  <c r="E711" i="3"/>
  <c r="F711" i="3"/>
  <c r="G711" i="3"/>
  <c r="H711" i="3"/>
  <c r="I711" i="3"/>
  <c r="J711" i="3"/>
  <c r="K711" i="3"/>
  <c r="L711" i="3"/>
  <c r="M711" i="3"/>
  <c r="N711" i="3"/>
  <c r="O711" i="3"/>
  <c r="P711" i="3"/>
  <c r="A712" i="3"/>
  <c r="B712" i="3"/>
  <c r="C712" i="3"/>
  <c r="E712" i="3"/>
  <c r="G712" i="3"/>
  <c r="J712" i="3"/>
  <c r="K712" i="3"/>
  <c r="M712" i="3"/>
  <c r="A713" i="3"/>
  <c r="B713" i="3"/>
  <c r="C713" i="3"/>
  <c r="D713" i="3"/>
  <c r="E713" i="3"/>
  <c r="F713" i="3"/>
  <c r="G713" i="3"/>
  <c r="H713" i="3"/>
  <c r="I713" i="3"/>
  <c r="J713" i="3"/>
  <c r="K713" i="3"/>
  <c r="L713" i="3"/>
  <c r="M713" i="3"/>
  <c r="N713" i="3"/>
  <c r="O713" i="3"/>
  <c r="P713" i="3"/>
  <c r="A714" i="3"/>
  <c r="B714" i="3"/>
  <c r="C714" i="3"/>
  <c r="D714" i="3"/>
  <c r="E714" i="3"/>
  <c r="F714" i="3"/>
  <c r="G714" i="3"/>
  <c r="H714" i="3"/>
  <c r="I714" i="3"/>
  <c r="J714" i="3"/>
  <c r="K714" i="3"/>
  <c r="L714" i="3"/>
  <c r="M714" i="3"/>
  <c r="N714" i="3"/>
  <c r="O714" i="3"/>
  <c r="P714" i="3"/>
  <c r="A715" i="3"/>
  <c r="B715" i="3"/>
  <c r="C715" i="3"/>
  <c r="D715" i="3"/>
  <c r="E715" i="3"/>
  <c r="F715" i="3"/>
  <c r="G715" i="3"/>
  <c r="H715" i="3"/>
  <c r="I715" i="3"/>
  <c r="J715" i="3"/>
  <c r="K715" i="3"/>
  <c r="L715" i="3"/>
  <c r="M715" i="3"/>
  <c r="N715" i="3"/>
  <c r="O715" i="3"/>
  <c r="P715" i="3"/>
  <c r="A716" i="3"/>
  <c r="B716" i="3"/>
  <c r="C716" i="3"/>
  <c r="D716" i="3"/>
  <c r="E716" i="3"/>
  <c r="F716" i="3"/>
  <c r="G716" i="3"/>
  <c r="H716" i="3"/>
  <c r="I716" i="3"/>
  <c r="J716" i="3"/>
  <c r="K716" i="3"/>
  <c r="L716" i="3"/>
  <c r="M716" i="3"/>
  <c r="N716" i="3"/>
  <c r="O716" i="3"/>
  <c r="P716" i="3"/>
  <c r="A717" i="3"/>
  <c r="B717" i="3"/>
  <c r="C717" i="3"/>
  <c r="D717" i="3"/>
  <c r="E717" i="3"/>
  <c r="F717" i="3"/>
  <c r="G717" i="3"/>
  <c r="H717" i="3"/>
  <c r="I717" i="3"/>
  <c r="J717" i="3"/>
  <c r="K717" i="3"/>
  <c r="L717" i="3"/>
  <c r="M717" i="3"/>
  <c r="N717" i="3"/>
  <c r="O717" i="3"/>
  <c r="P717" i="3"/>
  <c r="A718" i="3"/>
  <c r="B718" i="3"/>
  <c r="C718" i="3"/>
  <c r="D718" i="3"/>
  <c r="E718" i="3"/>
  <c r="F718" i="3"/>
  <c r="G718" i="3"/>
  <c r="H718" i="3"/>
  <c r="I718" i="3"/>
  <c r="J718" i="3"/>
  <c r="K718" i="3"/>
  <c r="L718" i="3"/>
  <c r="M718" i="3"/>
  <c r="N718" i="3"/>
  <c r="O718" i="3"/>
  <c r="P718" i="3"/>
  <c r="A719" i="3"/>
  <c r="B719" i="3"/>
  <c r="C719" i="3"/>
  <c r="D719" i="3"/>
  <c r="E719" i="3"/>
  <c r="F719" i="3"/>
  <c r="G719" i="3"/>
  <c r="H719" i="3"/>
  <c r="I719" i="3"/>
  <c r="J719" i="3"/>
  <c r="K719" i="3"/>
  <c r="L719" i="3"/>
  <c r="M719" i="3"/>
  <c r="N719" i="3"/>
  <c r="O719" i="3"/>
  <c r="P719" i="3"/>
  <c r="A720" i="3"/>
  <c r="B720" i="3"/>
  <c r="C720" i="3"/>
  <c r="D720" i="3"/>
  <c r="E720" i="3"/>
  <c r="F720" i="3"/>
  <c r="G720" i="3"/>
  <c r="H720" i="3"/>
  <c r="I720" i="3"/>
  <c r="J720" i="3"/>
  <c r="K720" i="3"/>
  <c r="L720" i="3"/>
  <c r="M720" i="3"/>
  <c r="N720" i="3"/>
  <c r="O720" i="3"/>
  <c r="P720" i="3"/>
  <c r="A721" i="3"/>
  <c r="B721" i="3"/>
  <c r="C721" i="3"/>
  <c r="D721" i="3"/>
  <c r="E721" i="3"/>
  <c r="F721" i="3"/>
  <c r="G721" i="3"/>
  <c r="H721" i="3"/>
  <c r="I721" i="3"/>
  <c r="J721" i="3"/>
  <c r="K721" i="3"/>
  <c r="L721" i="3"/>
  <c r="M721" i="3"/>
  <c r="N721" i="3"/>
  <c r="O721" i="3"/>
  <c r="P721" i="3"/>
  <c r="A722" i="3"/>
  <c r="B722" i="3"/>
  <c r="C722" i="3"/>
  <c r="D722" i="3"/>
  <c r="E722" i="3"/>
  <c r="F722" i="3"/>
  <c r="G722" i="3"/>
  <c r="H722" i="3"/>
  <c r="I722" i="3"/>
  <c r="J722" i="3"/>
  <c r="K722" i="3"/>
  <c r="L722" i="3"/>
  <c r="M722" i="3"/>
  <c r="N722" i="3"/>
  <c r="O722" i="3"/>
  <c r="P722" i="3"/>
  <c r="A723" i="3"/>
  <c r="B723" i="3"/>
  <c r="C723" i="3"/>
  <c r="E723" i="3"/>
  <c r="G723" i="3"/>
  <c r="J723" i="3"/>
  <c r="K723" i="3"/>
  <c r="M723" i="3"/>
  <c r="A724" i="3"/>
  <c r="B724" i="3"/>
  <c r="C724" i="3"/>
  <c r="D724" i="3"/>
  <c r="E724" i="3"/>
  <c r="F724" i="3"/>
  <c r="G724" i="3"/>
  <c r="H724" i="3"/>
  <c r="I724" i="3"/>
  <c r="J724" i="3"/>
  <c r="K724" i="3"/>
  <c r="L724" i="3"/>
  <c r="M724" i="3"/>
  <c r="N724" i="3"/>
  <c r="O724" i="3"/>
  <c r="P724" i="3"/>
  <c r="A725" i="3"/>
  <c r="B725" i="3"/>
  <c r="C725" i="3"/>
  <c r="D725" i="3"/>
  <c r="E725" i="3"/>
  <c r="F725" i="3"/>
  <c r="G725" i="3"/>
  <c r="H725" i="3"/>
  <c r="I725" i="3"/>
  <c r="J725" i="3"/>
  <c r="K725" i="3"/>
  <c r="L725" i="3"/>
  <c r="M725" i="3"/>
  <c r="N725" i="3"/>
  <c r="O725" i="3"/>
  <c r="P725" i="3"/>
  <c r="A726" i="3"/>
  <c r="B726" i="3"/>
  <c r="C726" i="3"/>
  <c r="D726" i="3"/>
  <c r="E726" i="3"/>
  <c r="F726" i="3"/>
  <c r="G726" i="3"/>
  <c r="H726" i="3"/>
  <c r="I726" i="3"/>
  <c r="J726" i="3"/>
  <c r="K726" i="3"/>
  <c r="L726" i="3"/>
  <c r="M726" i="3"/>
  <c r="N726" i="3"/>
  <c r="O726" i="3"/>
  <c r="P726" i="3"/>
  <c r="A727" i="3"/>
  <c r="B727" i="3"/>
  <c r="C727" i="3"/>
  <c r="D727" i="3"/>
  <c r="E727" i="3"/>
  <c r="F727" i="3"/>
  <c r="G727" i="3"/>
  <c r="H727" i="3"/>
  <c r="I727" i="3"/>
  <c r="J727" i="3"/>
  <c r="K727" i="3"/>
  <c r="L727" i="3"/>
  <c r="M727" i="3"/>
  <c r="N727" i="3"/>
  <c r="O727" i="3"/>
  <c r="P727" i="3"/>
  <c r="A728" i="3"/>
  <c r="B728" i="3"/>
  <c r="C728" i="3"/>
  <c r="D728" i="3"/>
  <c r="E728" i="3"/>
  <c r="F728" i="3"/>
  <c r="G728" i="3"/>
  <c r="H728" i="3"/>
  <c r="I728" i="3"/>
  <c r="J728" i="3"/>
  <c r="K728" i="3"/>
  <c r="L728" i="3"/>
  <c r="M728" i="3"/>
  <c r="N728" i="3"/>
  <c r="O728" i="3"/>
  <c r="P728" i="3"/>
  <c r="A729" i="3"/>
  <c r="B729" i="3"/>
  <c r="C729" i="3"/>
  <c r="E729" i="3"/>
  <c r="G729" i="3"/>
  <c r="J729" i="3"/>
  <c r="K729" i="3"/>
  <c r="M729" i="3"/>
  <c r="A730" i="3"/>
  <c r="B730" i="3"/>
  <c r="C730" i="3"/>
  <c r="D730" i="3"/>
  <c r="E730" i="3"/>
  <c r="F730" i="3"/>
  <c r="G730" i="3"/>
  <c r="H730" i="3"/>
  <c r="I730" i="3"/>
  <c r="J730" i="3"/>
  <c r="K730" i="3"/>
  <c r="L730" i="3"/>
  <c r="M730" i="3"/>
  <c r="N730" i="3"/>
  <c r="O730" i="3"/>
  <c r="P730" i="3"/>
  <c r="A731" i="3"/>
  <c r="B731" i="3"/>
  <c r="C731" i="3"/>
  <c r="D731" i="3"/>
  <c r="E731" i="3"/>
  <c r="F731" i="3"/>
  <c r="G731" i="3"/>
  <c r="H731" i="3"/>
  <c r="I731" i="3"/>
  <c r="J731" i="3"/>
  <c r="K731" i="3"/>
  <c r="L731" i="3"/>
  <c r="M731" i="3"/>
  <c r="N731" i="3"/>
  <c r="O731" i="3"/>
  <c r="P731" i="3"/>
  <c r="A732" i="3"/>
  <c r="B732" i="3"/>
  <c r="C732" i="3"/>
  <c r="D732" i="3"/>
  <c r="E732" i="3"/>
  <c r="F732" i="3"/>
  <c r="G732" i="3"/>
  <c r="H732" i="3"/>
  <c r="I732" i="3"/>
  <c r="J732" i="3"/>
  <c r="K732" i="3"/>
  <c r="L732" i="3"/>
  <c r="M732" i="3"/>
  <c r="N732" i="3"/>
  <c r="O732" i="3"/>
  <c r="P732" i="3"/>
  <c r="A733" i="3"/>
  <c r="B733" i="3"/>
  <c r="C733" i="3"/>
  <c r="E733" i="3"/>
  <c r="G733" i="3"/>
  <c r="J733" i="3"/>
  <c r="K733" i="3"/>
  <c r="M733" i="3"/>
  <c r="A734" i="3"/>
  <c r="B734" i="3"/>
  <c r="C734" i="3"/>
  <c r="E734" i="3"/>
  <c r="G734" i="3"/>
  <c r="J734" i="3"/>
  <c r="K734" i="3"/>
  <c r="M734" i="3"/>
  <c r="A736" i="3"/>
  <c r="B736" i="3"/>
  <c r="C736" i="3"/>
  <c r="E736" i="3"/>
  <c r="G736" i="3"/>
  <c r="J736" i="3"/>
  <c r="K736" i="3"/>
  <c r="M736" i="3"/>
  <c r="A737" i="3"/>
  <c r="B737" i="3"/>
  <c r="C737" i="3"/>
  <c r="E737" i="3"/>
  <c r="F737" i="3"/>
  <c r="G737" i="3"/>
  <c r="H737" i="3"/>
  <c r="I737" i="3"/>
  <c r="J737" i="3"/>
  <c r="K737" i="3"/>
  <c r="L737" i="3"/>
  <c r="M737" i="3"/>
  <c r="N737" i="3"/>
  <c r="O737" i="3"/>
  <c r="P737" i="3"/>
  <c r="A738" i="3"/>
  <c r="B738" i="3"/>
  <c r="C738" i="3"/>
  <c r="D738" i="3"/>
  <c r="E738" i="3"/>
  <c r="F738" i="3"/>
  <c r="G738" i="3"/>
  <c r="H738" i="3"/>
  <c r="I738" i="3"/>
  <c r="J738" i="3"/>
  <c r="K738" i="3"/>
  <c r="L738" i="3"/>
  <c r="M738" i="3"/>
  <c r="N738" i="3"/>
  <c r="O738" i="3"/>
  <c r="P738" i="3"/>
  <c r="A743" i="3"/>
  <c r="B743" i="3"/>
  <c r="C743" i="3"/>
  <c r="E743" i="3"/>
  <c r="G743" i="3"/>
  <c r="J743" i="3"/>
  <c r="K743" i="3"/>
  <c r="M743" i="3"/>
  <c r="A744" i="3"/>
  <c r="B744" i="3"/>
  <c r="C744" i="3"/>
  <c r="D744" i="3"/>
  <c r="E744" i="3"/>
  <c r="F744" i="3"/>
  <c r="G744" i="3"/>
  <c r="H744" i="3"/>
  <c r="I744" i="3"/>
  <c r="J744" i="3"/>
  <c r="K744" i="3"/>
  <c r="L744" i="3"/>
  <c r="M744" i="3"/>
  <c r="N744" i="3"/>
  <c r="O744" i="3"/>
  <c r="P744" i="3"/>
  <c r="A746" i="3"/>
  <c r="B746" i="3"/>
  <c r="C746" i="3"/>
  <c r="E746" i="3"/>
  <c r="G746" i="3"/>
  <c r="J746" i="3"/>
  <c r="K746" i="3"/>
  <c r="M746" i="3"/>
  <c r="A747" i="3"/>
  <c r="B747" i="3"/>
  <c r="C747" i="3"/>
  <c r="D747" i="3"/>
  <c r="E747" i="3"/>
  <c r="F747" i="3"/>
  <c r="G747" i="3"/>
  <c r="H747" i="3"/>
  <c r="I747" i="3"/>
  <c r="J747" i="3"/>
  <c r="K747" i="3"/>
  <c r="L747" i="3"/>
  <c r="M747" i="3"/>
  <c r="N747" i="3"/>
  <c r="O747" i="3"/>
  <c r="P747" i="3"/>
  <c r="A748" i="3"/>
  <c r="B748" i="3"/>
  <c r="C748" i="3"/>
  <c r="E748" i="3"/>
  <c r="G748" i="3"/>
  <c r="J748" i="3"/>
  <c r="K748" i="3"/>
  <c r="M748" i="3"/>
  <c r="A749" i="3"/>
  <c r="B749" i="3"/>
  <c r="C749" i="3"/>
  <c r="E749" i="3"/>
  <c r="G749" i="3"/>
  <c r="J749" i="3"/>
  <c r="K749" i="3"/>
  <c r="M749" i="3"/>
  <c r="A752" i="3"/>
  <c r="B752" i="3"/>
  <c r="C752" i="3"/>
  <c r="E752" i="3"/>
  <c r="G752" i="3"/>
  <c r="J752" i="3"/>
  <c r="K752" i="3"/>
  <c r="M752" i="3"/>
  <c r="A754" i="3"/>
  <c r="B754" i="3"/>
  <c r="C754" i="3"/>
  <c r="E754" i="3"/>
  <c r="G754" i="3"/>
  <c r="J754" i="3"/>
  <c r="K754" i="3"/>
  <c r="M754" i="3"/>
  <c r="A755" i="3"/>
  <c r="B755" i="3"/>
  <c r="C755" i="3"/>
  <c r="E755" i="3"/>
  <c r="G755" i="3"/>
  <c r="J755" i="3"/>
  <c r="K755" i="3"/>
  <c r="M755" i="3"/>
  <c r="A756" i="3"/>
  <c r="B756" i="3"/>
  <c r="C756" i="3"/>
  <c r="D756" i="3"/>
  <c r="E756" i="3"/>
  <c r="F756" i="3"/>
  <c r="G756" i="3"/>
  <c r="H756" i="3"/>
  <c r="I756" i="3"/>
  <c r="J756" i="3"/>
  <c r="K756" i="3"/>
  <c r="L756" i="3"/>
  <c r="M756" i="3"/>
  <c r="N756" i="3"/>
  <c r="O756" i="3"/>
  <c r="P756" i="3"/>
  <c r="A757" i="3"/>
  <c r="B757" i="3"/>
  <c r="C757" i="3"/>
  <c r="E757" i="3"/>
  <c r="G757" i="3"/>
  <c r="J757" i="3"/>
  <c r="K757" i="3"/>
  <c r="M757" i="3"/>
  <c r="A758" i="3"/>
  <c r="B758" i="3"/>
  <c r="C758" i="3"/>
  <c r="E758" i="3"/>
  <c r="G758" i="3"/>
  <c r="J758" i="3"/>
  <c r="K758" i="3"/>
  <c r="M758" i="3"/>
  <c r="A759" i="3"/>
  <c r="B759" i="3"/>
  <c r="C759" i="3"/>
  <c r="E759" i="3"/>
  <c r="G759" i="3"/>
  <c r="J759" i="3"/>
  <c r="K759" i="3"/>
  <c r="M759" i="3"/>
  <c r="A760" i="3"/>
  <c r="B760" i="3"/>
  <c r="C760" i="3"/>
  <c r="E760" i="3"/>
  <c r="G760" i="3"/>
  <c r="J760" i="3"/>
  <c r="K760" i="3"/>
  <c r="M760" i="3"/>
  <c r="A761" i="3"/>
  <c r="B761" i="3"/>
  <c r="C761" i="3"/>
  <c r="E761" i="3"/>
  <c r="G761" i="3"/>
  <c r="J761" i="3"/>
  <c r="K761" i="3"/>
  <c r="M761" i="3"/>
  <c r="A762" i="3"/>
  <c r="B762" i="3"/>
  <c r="C762" i="3"/>
  <c r="E762" i="3"/>
  <c r="G762" i="3"/>
  <c r="J762" i="3"/>
  <c r="K762" i="3"/>
  <c r="M762" i="3"/>
  <c r="A763" i="3"/>
  <c r="B763" i="3"/>
  <c r="C763" i="3"/>
  <c r="D763" i="3"/>
  <c r="E763" i="3"/>
  <c r="G763" i="3"/>
  <c r="I763" i="3"/>
  <c r="J763" i="3"/>
  <c r="K763" i="3"/>
  <c r="L763" i="3"/>
  <c r="M763" i="3"/>
  <c r="N763" i="3"/>
  <c r="O763" i="3"/>
  <c r="P763" i="3"/>
  <c r="A764" i="3"/>
  <c r="B764" i="3"/>
  <c r="C764" i="3"/>
  <c r="E764" i="3"/>
  <c r="G764" i="3"/>
  <c r="J764" i="3"/>
  <c r="K764" i="3"/>
  <c r="M764" i="3"/>
  <c r="A765" i="3"/>
  <c r="B765" i="3"/>
  <c r="C765" i="3"/>
  <c r="E765" i="3"/>
  <c r="G765" i="3"/>
  <c r="J765" i="3"/>
  <c r="K765" i="3"/>
  <c r="M765" i="3"/>
  <c r="A766" i="3"/>
  <c r="B766" i="3"/>
  <c r="C766" i="3"/>
  <c r="D766" i="3"/>
  <c r="E766" i="3"/>
  <c r="F766" i="3"/>
  <c r="G766" i="3"/>
  <c r="H766" i="3"/>
  <c r="I766" i="3"/>
  <c r="J766" i="3"/>
  <c r="K766" i="3"/>
  <c r="L766" i="3"/>
  <c r="M766" i="3"/>
  <c r="N766" i="3"/>
  <c r="O766" i="3"/>
  <c r="P766" i="3"/>
  <c r="A767" i="3"/>
  <c r="B767" i="3"/>
  <c r="C767" i="3"/>
  <c r="D767" i="3"/>
  <c r="E767" i="3"/>
  <c r="F767" i="3"/>
  <c r="G767" i="3"/>
  <c r="H767" i="3"/>
  <c r="I767" i="3"/>
  <c r="J767" i="3"/>
  <c r="K767" i="3"/>
  <c r="L767" i="3"/>
  <c r="M767" i="3"/>
  <c r="N767" i="3"/>
  <c r="O767" i="3"/>
  <c r="P767" i="3"/>
  <c r="A768" i="3"/>
  <c r="B768" i="3"/>
  <c r="C768" i="3"/>
  <c r="E768" i="3"/>
  <c r="F768" i="3"/>
  <c r="G768" i="3"/>
  <c r="H768" i="3"/>
  <c r="I768" i="3"/>
  <c r="J768" i="3"/>
  <c r="K768" i="3"/>
  <c r="L768" i="3"/>
  <c r="M768" i="3"/>
  <c r="N768" i="3"/>
  <c r="O768" i="3"/>
  <c r="P768" i="3"/>
  <c r="A769" i="3"/>
  <c r="B769" i="3"/>
  <c r="C769" i="3"/>
  <c r="D769" i="3"/>
  <c r="E769" i="3"/>
  <c r="F1298" i="1"/>
  <c r="F769" i="3" s="1"/>
  <c r="G769" i="3"/>
  <c r="H1298" i="1"/>
  <c r="H769" i="3" s="1"/>
  <c r="I1298" i="1"/>
  <c r="I769" i="3" s="1"/>
  <c r="J769" i="3"/>
  <c r="K769" i="3"/>
  <c r="L1298" i="1"/>
  <c r="L769" i="3" s="1"/>
  <c r="M769" i="3"/>
  <c r="O1298" i="1"/>
  <c r="O769" i="3" s="1"/>
  <c r="P1298" i="1"/>
  <c r="P769" i="3" s="1"/>
  <c r="Q1298" i="1"/>
  <c r="A770" i="3"/>
  <c r="B770" i="3"/>
  <c r="C770" i="3"/>
  <c r="E770" i="3"/>
  <c r="G770" i="3"/>
  <c r="J770" i="3"/>
  <c r="K770" i="3"/>
  <c r="M770" i="3"/>
  <c r="A771" i="3"/>
  <c r="B771" i="3"/>
  <c r="C771" i="3"/>
  <c r="E771" i="3"/>
  <c r="G771" i="3"/>
  <c r="J771" i="3"/>
  <c r="K771" i="3"/>
  <c r="M771" i="3"/>
  <c r="A772" i="3"/>
  <c r="B772" i="3"/>
  <c r="C772" i="3"/>
  <c r="E772" i="3"/>
  <c r="G772" i="3"/>
  <c r="J772" i="3"/>
  <c r="K772" i="3"/>
  <c r="M772" i="3"/>
  <c r="A773" i="3"/>
  <c r="B773" i="3"/>
  <c r="C773" i="3"/>
  <c r="D773" i="3"/>
  <c r="E773" i="3"/>
  <c r="F773" i="3"/>
  <c r="G773" i="3"/>
  <c r="H773" i="3"/>
  <c r="I773" i="3"/>
  <c r="J773" i="3"/>
  <c r="K773" i="3"/>
  <c r="L773" i="3"/>
  <c r="M773" i="3"/>
  <c r="N773" i="3"/>
  <c r="O773" i="3"/>
  <c r="P773" i="3"/>
  <c r="N262" i="1"/>
  <c r="A774" i="3"/>
  <c r="B774" i="3"/>
  <c r="C774" i="3"/>
  <c r="D774" i="3"/>
  <c r="E774" i="3"/>
  <c r="F774" i="3"/>
  <c r="G774" i="3"/>
  <c r="H774" i="3"/>
  <c r="I774" i="3"/>
  <c r="J774" i="3"/>
  <c r="K774" i="3"/>
  <c r="L774" i="3"/>
  <c r="M774" i="3"/>
  <c r="N774" i="3"/>
  <c r="O774" i="3"/>
  <c r="P774" i="3"/>
  <c r="A775" i="3"/>
  <c r="B775" i="3"/>
  <c r="C775" i="3"/>
  <c r="D775" i="3"/>
  <c r="E775" i="3"/>
  <c r="F775" i="3"/>
  <c r="G775" i="3"/>
  <c r="H775" i="3"/>
  <c r="I775" i="3"/>
  <c r="J775" i="3"/>
  <c r="K775" i="3"/>
  <c r="L775" i="3"/>
  <c r="M775" i="3"/>
  <c r="N775" i="3"/>
  <c r="O775" i="3"/>
  <c r="P775" i="3"/>
  <c r="A776" i="3"/>
  <c r="B776" i="3"/>
  <c r="C776" i="3"/>
  <c r="D776" i="3"/>
  <c r="E776" i="3"/>
  <c r="F776" i="3"/>
  <c r="G776" i="3"/>
  <c r="H776" i="3"/>
  <c r="I776" i="3"/>
  <c r="J776" i="3"/>
  <c r="K776" i="3"/>
  <c r="L776" i="3"/>
  <c r="M776" i="3"/>
  <c r="N776" i="3"/>
  <c r="O776" i="3"/>
  <c r="P776" i="3"/>
  <c r="A777" i="3"/>
  <c r="B777" i="3"/>
  <c r="C777" i="3"/>
  <c r="D777" i="3"/>
  <c r="E777" i="3"/>
  <c r="F777" i="3"/>
  <c r="G777" i="3"/>
  <c r="H777" i="3"/>
  <c r="I777" i="3"/>
  <c r="J777" i="3"/>
  <c r="K777" i="3"/>
  <c r="L777" i="3"/>
  <c r="M777" i="3"/>
  <c r="N777" i="3"/>
  <c r="O777" i="3"/>
  <c r="P777" i="3"/>
  <c r="A778" i="3"/>
  <c r="B778" i="3"/>
  <c r="C778" i="3"/>
  <c r="D778" i="3"/>
  <c r="E778" i="3"/>
  <c r="F778" i="3"/>
  <c r="G778" i="3"/>
  <c r="H778" i="3"/>
  <c r="I778" i="3"/>
  <c r="J778" i="3"/>
  <c r="K778" i="3"/>
  <c r="L778" i="3"/>
  <c r="M778" i="3"/>
  <c r="N778" i="3"/>
  <c r="O778" i="3"/>
  <c r="P778" i="3"/>
  <c r="A779" i="3"/>
  <c r="B779" i="3"/>
  <c r="C779" i="3"/>
  <c r="E779" i="3"/>
  <c r="G779" i="3"/>
  <c r="J779" i="3"/>
  <c r="K779" i="3"/>
  <c r="M779" i="3"/>
  <c r="A780" i="3"/>
  <c r="B780" i="3"/>
  <c r="C780" i="3"/>
  <c r="E780" i="3"/>
  <c r="G780" i="3"/>
  <c r="J780" i="3"/>
  <c r="K780" i="3"/>
  <c r="M780" i="3"/>
  <c r="A781" i="3"/>
  <c r="B781" i="3"/>
  <c r="C781" i="3"/>
  <c r="E781" i="3"/>
  <c r="G781" i="3"/>
  <c r="J781" i="3"/>
  <c r="K781" i="3"/>
  <c r="M781" i="3"/>
  <c r="A782" i="3"/>
  <c r="B782" i="3"/>
  <c r="C782" i="3"/>
  <c r="E782" i="3"/>
  <c r="G782" i="3"/>
  <c r="J782" i="3"/>
  <c r="K782" i="3"/>
  <c r="M782" i="3"/>
  <c r="A783" i="3"/>
  <c r="B783" i="3"/>
  <c r="C783" i="3"/>
  <c r="E783" i="3"/>
  <c r="G783" i="3"/>
  <c r="J783" i="3"/>
  <c r="K783" i="3"/>
  <c r="M783" i="3"/>
  <c r="A784" i="3"/>
  <c r="B784" i="3"/>
  <c r="C784" i="3"/>
  <c r="D784" i="3"/>
  <c r="E784" i="3"/>
  <c r="F784" i="3"/>
  <c r="G784" i="3"/>
  <c r="H784" i="3"/>
  <c r="I784" i="3"/>
  <c r="J784" i="3"/>
  <c r="K784" i="3"/>
  <c r="L784" i="3"/>
  <c r="M784" i="3"/>
  <c r="N784" i="3"/>
  <c r="O784" i="3"/>
  <c r="P784" i="3"/>
  <c r="A785" i="3"/>
  <c r="B785" i="3"/>
  <c r="C785" i="3"/>
  <c r="E785" i="3"/>
  <c r="G785" i="3"/>
  <c r="J785" i="3"/>
  <c r="K785" i="3"/>
  <c r="M785" i="3"/>
  <c r="A786" i="3"/>
  <c r="B786" i="3"/>
  <c r="C786" i="3"/>
  <c r="D786" i="3"/>
  <c r="E786" i="3"/>
  <c r="F786" i="3"/>
  <c r="G786" i="3"/>
  <c r="H786" i="3"/>
  <c r="I786" i="3"/>
  <c r="J786" i="3"/>
  <c r="K786" i="3"/>
  <c r="L786" i="3"/>
  <c r="M786" i="3"/>
  <c r="N786" i="3"/>
  <c r="O786" i="3"/>
  <c r="P786" i="3"/>
  <c r="A787" i="3"/>
  <c r="B787" i="3"/>
  <c r="C787" i="3"/>
  <c r="D787" i="3"/>
  <c r="E787" i="3"/>
  <c r="F787" i="3"/>
  <c r="G787" i="3"/>
  <c r="H787" i="3"/>
  <c r="I787" i="3"/>
  <c r="J787" i="3"/>
  <c r="K787" i="3"/>
  <c r="L787" i="3"/>
  <c r="M787" i="3"/>
  <c r="N787" i="3"/>
  <c r="O787" i="3"/>
  <c r="P787" i="3"/>
  <c r="A788" i="3"/>
  <c r="B788" i="3"/>
  <c r="C788" i="3"/>
  <c r="E788" i="3"/>
  <c r="G788" i="3"/>
  <c r="J788" i="3"/>
  <c r="K788" i="3"/>
  <c r="M788" i="3"/>
  <c r="A789" i="3"/>
  <c r="B789" i="3"/>
  <c r="C789" i="3"/>
  <c r="E789" i="3"/>
  <c r="G789" i="3"/>
  <c r="J789" i="3"/>
  <c r="K789" i="3"/>
  <c r="M789" i="3"/>
  <c r="A790" i="3"/>
  <c r="B790" i="3"/>
  <c r="C790" i="3"/>
  <c r="E790" i="3"/>
  <c r="G790" i="3"/>
  <c r="J790" i="3"/>
  <c r="K790" i="3"/>
  <c r="M790" i="3"/>
  <c r="A791" i="3"/>
  <c r="B791" i="3"/>
  <c r="C791" i="3"/>
  <c r="E791" i="3"/>
  <c r="G791" i="3"/>
  <c r="J791" i="3"/>
  <c r="K791" i="3"/>
  <c r="M791" i="3"/>
  <c r="A792" i="3"/>
  <c r="B792" i="3"/>
  <c r="C792" i="3"/>
  <c r="E792" i="3"/>
  <c r="G792" i="3"/>
  <c r="J792" i="3"/>
  <c r="K792" i="3"/>
  <c r="M792" i="3"/>
  <c r="A793" i="3"/>
  <c r="B793" i="3"/>
  <c r="C793" i="3"/>
  <c r="E793" i="3"/>
  <c r="G793" i="3"/>
  <c r="J793" i="3"/>
  <c r="K793" i="3"/>
  <c r="M793" i="3"/>
  <c r="A794" i="3"/>
  <c r="B794" i="3"/>
  <c r="C794" i="3"/>
  <c r="E794" i="3"/>
  <c r="G794" i="3"/>
  <c r="J794" i="3"/>
  <c r="K794" i="3"/>
  <c r="M794" i="3"/>
  <c r="A795" i="3"/>
  <c r="B795" i="3"/>
  <c r="C795" i="3"/>
  <c r="E795" i="3"/>
  <c r="G795" i="3"/>
  <c r="J795" i="3"/>
  <c r="K795" i="3"/>
  <c r="M795" i="3"/>
  <c r="A796" i="3"/>
  <c r="B796" i="3"/>
  <c r="C796" i="3"/>
  <c r="E796" i="3"/>
  <c r="G796" i="3"/>
  <c r="J796" i="3"/>
  <c r="K796" i="3"/>
  <c r="M796" i="3"/>
  <c r="A797" i="3"/>
  <c r="B797" i="3"/>
  <c r="C797" i="3"/>
  <c r="E797" i="3"/>
  <c r="G797" i="3"/>
  <c r="J797" i="3"/>
  <c r="K797" i="3"/>
  <c r="M797" i="3"/>
  <c r="A798" i="3"/>
  <c r="B798" i="3"/>
  <c r="C798" i="3"/>
  <c r="E798" i="3"/>
  <c r="G798" i="3"/>
  <c r="J798" i="3"/>
  <c r="K798" i="3"/>
  <c r="M798" i="3"/>
  <c r="A799" i="3"/>
  <c r="B799" i="3"/>
  <c r="C799" i="3"/>
  <c r="E799" i="3"/>
  <c r="G799" i="3"/>
  <c r="J799" i="3"/>
  <c r="K799" i="3"/>
  <c r="M799" i="3"/>
  <c r="A800" i="3"/>
  <c r="B800" i="3"/>
  <c r="C800" i="3"/>
  <c r="E800" i="3"/>
  <c r="G800" i="3"/>
  <c r="J800" i="3"/>
  <c r="K800" i="3"/>
  <c r="M800" i="3"/>
  <c r="A801" i="3"/>
  <c r="B801" i="3"/>
  <c r="C801" i="3"/>
  <c r="E801" i="3"/>
  <c r="G801" i="3"/>
  <c r="J801" i="3"/>
  <c r="K801" i="3"/>
  <c r="M801" i="3"/>
  <c r="A802" i="3"/>
  <c r="B802" i="3"/>
  <c r="C802" i="3"/>
  <c r="E802" i="3"/>
  <c r="G802" i="3"/>
  <c r="J802" i="3"/>
  <c r="K802" i="3"/>
  <c r="M802" i="3"/>
  <c r="A803" i="3"/>
  <c r="B803" i="3"/>
  <c r="C803" i="3"/>
  <c r="E803" i="3"/>
  <c r="G803" i="3"/>
  <c r="J803" i="3"/>
  <c r="K803" i="3"/>
  <c r="M803" i="3"/>
  <c r="A804" i="3"/>
  <c r="B804" i="3"/>
  <c r="C804" i="3"/>
  <c r="E804" i="3"/>
  <c r="G804" i="3"/>
  <c r="J804" i="3"/>
  <c r="K804" i="3"/>
  <c r="M804" i="3"/>
  <c r="A805" i="3"/>
  <c r="B805" i="3"/>
  <c r="C805" i="3"/>
  <c r="E805" i="3"/>
  <c r="G805" i="3"/>
  <c r="J805" i="3"/>
  <c r="K805" i="3"/>
  <c r="M805" i="3"/>
  <c r="A806" i="3"/>
  <c r="B806" i="3"/>
  <c r="C806" i="3"/>
  <c r="E806" i="3"/>
  <c r="G806" i="3"/>
  <c r="J806" i="3"/>
  <c r="K806" i="3"/>
  <c r="M806" i="3"/>
  <c r="A807" i="3"/>
  <c r="B807" i="3"/>
  <c r="C807" i="3"/>
  <c r="E807" i="3"/>
  <c r="G807" i="3"/>
  <c r="J807" i="3"/>
  <c r="K807" i="3"/>
  <c r="M807" i="3"/>
  <c r="A808" i="3"/>
  <c r="B808" i="3"/>
  <c r="C808" i="3"/>
  <c r="E808" i="3"/>
  <c r="G808" i="3"/>
  <c r="J808" i="3"/>
  <c r="K808" i="3"/>
  <c r="M808" i="3"/>
  <c r="A809" i="3"/>
  <c r="B809" i="3"/>
  <c r="C809" i="3"/>
  <c r="E809" i="3"/>
  <c r="G809" i="3"/>
  <c r="J809" i="3"/>
  <c r="K809" i="3"/>
  <c r="M809" i="3"/>
  <c r="A810" i="3"/>
  <c r="B810" i="3"/>
  <c r="C810" i="3"/>
  <c r="E810" i="3"/>
  <c r="G810" i="3"/>
  <c r="J810" i="3"/>
  <c r="K810" i="3"/>
  <c r="M810" i="3"/>
  <c r="A811" i="3"/>
  <c r="B811" i="3"/>
  <c r="C811" i="3"/>
  <c r="E811" i="3"/>
  <c r="G811" i="3"/>
  <c r="J811" i="3"/>
  <c r="K811" i="3"/>
  <c r="M811" i="3"/>
  <c r="A812" i="3"/>
  <c r="B812" i="3"/>
  <c r="C812" i="3"/>
  <c r="E812" i="3"/>
  <c r="G812" i="3"/>
  <c r="J812" i="3"/>
  <c r="K812" i="3"/>
  <c r="M812" i="3"/>
  <c r="A813" i="3"/>
  <c r="B813" i="3"/>
  <c r="C813" i="3"/>
  <c r="D813" i="3"/>
  <c r="E813" i="3"/>
  <c r="F813" i="3"/>
  <c r="G813" i="3"/>
  <c r="H813" i="3"/>
  <c r="I813" i="3"/>
  <c r="J813" i="3"/>
  <c r="K813" i="3"/>
  <c r="L813" i="3"/>
  <c r="M813" i="3"/>
  <c r="N813" i="3"/>
  <c r="O813" i="3"/>
  <c r="P813" i="3"/>
  <c r="A814" i="3"/>
  <c r="B814" i="3"/>
  <c r="C814" i="3"/>
  <c r="E814" i="3"/>
  <c r="G814" i="3"/>
  <c r="M814" i="3"/>
  <c r="A815" i="3"/>
  <c r="B815" i="3"/>
  <c r="C815" i="3"/>
  <c r="D815" i="3"/>
  <c r="E815" i="3"/>
  <c r="F815" i="3"/>
  <c r="G815" i="3"/>
  <c r="H815" i="3"/>
  <c r="I815" i="3"/>
  <c r="J815" i="3"/>
  <c r="K815" i="3"/>
  <c r="L815" i="3"/>
  <c r="M815" i="3"/>
  <c r="N815" i="3"/>
  <c r="O815" i="3"/>
  <c r="P815" i="3"/>
  <c r="A816" i="3"/>
  <c r="B816" i="3"/>
  <c r="C816" i="3"/>
  <c r="E816" i="3"/>
  <c r="G816" i="3"/>
  <c r="M816" i="3"/>
  <c r="A817" i="3"/>
  <c r="B817" i="3"/>
  <c r="C817" i="3"/>
  <c r="D817" i="3"/>
  <c r="E817" i="3"/>
  <c r="F817" i="3"/>
  <c r="G817" i="3"/>
  <c r="H817" i="3"/>
  <c r="I817" i="3"/>
  <c r="J817" i="3"/>
  <c r="K817" i="3"/>
  <c r="L817" i="3"/>
  <c r="M817" i="3"/>
  <c r="N817" i="3"/>
  <c r="O817" i="3"/>
  <c r="P817" i="3"/>
  <c r="A818" i="3"/>
  <c r="B818" i="3"/>
  <c r="C818" i="3"/>
  <c r="D818" i="3"/>
  <c r="E818" i="3"/>
  <c r="F818" i="3"/>
  <c r="G818" i="3"/>
  <c r="H818" i="3"/>
  <c r="I818" i="3"/>
  <c r="J818" i="3"/>
  <c r="K818" i="3"/>
  <c r="L818" i="3"/>
  <c r="M818" i="3"/>
  <c r="N818" i="3"/>
  <c r="O818" i="3"/>
  <c r="P818" i="3"/>
  <c r="A819" i="3"/>
  <c r="B819" i="3"/>
  <c r="C819" i="3"/>
  <c r="D819" i="3"/>
  <c r="E819" i="3"/>
  <c r="F819" i="3"/>
  <c r="G819" i="3"/>
  <c r="H819" i="3"/>
  <c r="I819" i="3"/>
  <c r="J819" i="3"/>
  <c r="K819" i="3"/>
  <c r="L819" i="3"/>
  <c r="M819" i="3"/>
  <c r="N819" i="3"/>
  <c r="O819" i="3"/>
  <c r="P819" i="3"/>
  <c r="A820" i="3"/>
  <c r="B820" i="3"/>
  <c r="C820" i="3"/>
  <c r="D820" i="3"/>
  <c r="E820" i="3"/>
  <c r="F820" i="3"/>
  <c r="G820" i="3"/>
  <c r="H820" i="3"/>
  <c r="I820" i="3"/>
  <c r="J820" i="3"/>
  <c r="K820" i="3"/>
  <c r="L820" i="3"/>
  <c r="M820" i="3"/>
  <c r="N820" i="3"/>
  <c r="O820" i="3"/>
  <c r="P820" i="3"/>
  <c r="A821" i="3"/>
  <c r="B821" i="3"/>
  <c r="C821" i="3"/>
  <c r="D821" i="3"/>
  <c r="E821" i="3"/>
  <c r="F821" i="3"/>
  <c r="G821" i="3"/>
  <c r="H821" i="3"/>
  <c r="I821" i="3"/>
  <c r="J821" i="3"/>
  <c r="K821" i="3"/>
  <c r="L821" i="3"/>
  <c r="M821" i="3"/>
  <c r="N821" i="3"/>
  <c r="O821" i="3"/>
  <c r="P821" i="3"/>
  <c r="A822" i="3"/>
  <c r="B822" i="3"/>
  <c r="C822" i="3"/>
  <c r="E822" i="3"/>
  <c r="G822" i="3"/>
  <c r="J822" i="3"/>
  <c r="K822" i="3"/>
  <c r="M822" i="3"/>
  <c r="A823" i="3"/>
  <c r="B823" i="3"/>
  <c r="C823" i="3"/>
  <c r="E823" i="3"/>
  <c r="G823" i="3"/>
  <c r="J823" i="3"/>
  <c r="K823" i="3"/>
  <c r="M823" i="3"/>
  <c r="A824" i="3"/>
  <c r="B824" i="3"/>
  <c r="C824" i="3"/>
  <c r="E824" i="3"/>
  <c r="G824" i="3"/>
  <c r="J824" i="3"/>
  <c r="K824" i="3"/>
  <c r="M824" i="3"/>
  <c r="A825" i="3"/>
  <c r="B825" i="3"/>
  <c r="C825" i="3"/>
  <c r="E825" i="3"/>
  <c r="G825" i="3"/>
  <c r="J825" i="3"/>
  <c r="K825" i="3"/>
  <c r="M825" i="3"/>
  <c r="A826" i="3"/>
  <c r="B826" i="3"/>
  <c r="C826" i="3"/>
  <c r="E826" i="3"/>
  <c r="G826" i="3"/>
  <c r="J826" i="3"/>
  <c r="K826" i="3"/>
  <c r="M826" i="3"/>
  <c r="A827" i="3"/>
  <c r="B827" i="3"/>
  <c r="C827" i="3"/>
  <c r="E827" i="3"/>
  <c r="G827" i="3"/>
  <c r="J827" i="3"/>
  <c r="K827" i="3"/>
  <c r="M827" i="3"/>
  <c r="A828" i="3"/>
  <c r="B828" i="3"/>
  <c r="C828" i="3"/>
  <c r="E828" i="3"/>
  <c r="G828" i="3"/>
  <c r="J828" i="3"/>
  <c r="K828" i="3"/>
  <c r="M828" i="3"/>
  <c r="A829" i="3"/>
  <c r="B829" i="3"/>
  <c r="C829" i="3"/>
  <c r="E829" i="3"/>
  <c r="G829" i="3"/>
  <c r="J829" i="3"/>
  <c r="K829" i="3"/>
  <c r="M829" i="3"/>
  <c r="A830" i="3"/>
  <c r="B830" i="3"/>
  <c r="C830" i="3"/>
  <c r="E830" i="3"/>
  <c r="G830" i="3"/>
  <c r="J830" i="3"/>
  <c r="K830" i="3"/>
  <c r="M830" i="3"/>
  <c r="A831" i="3"/>
  <c r="B831" i="3"/>
  <c r="C831" i="3"/>
  <c r="E831" i="3"/>
  <c r="G831" i="3"/>
  <c r="J831" i="3"/>
  <c r="K831" i="3"/>
  <c r="M831" i="3"/>
  <c r="A832" i="3"/>
  <c r="B832" i="3"/>
  <c r="C832" i="3"/>
  <c r="E832" i="3"/>
  <c r="G832" i="3"/>
  <c r="J832" i="3"/>
  <c r="K832" i="3"/>
  <c r="M832" i="3"/>
  <c r="A833" i="3"/>
  <c r="B833" i="3"/>
  <c r="C833" i="3"/>
  <c r="E833" i="3"/>
  <c r="G833" i="3"/>
  <c r="J833" i="3"/>
  <c r="K833" i="3"/>
  <c r="M833" i="3"/>
  <c r="A834" i="3"/>
  <c r="B834" i="3"/>
  <c r="C834" i="3"/>
  <c r="D834" i="3"/>
  <c r="E834" i="3"/>
  <c r="F834" i="3"/>
  <c r="G834" i="3"/>
  <c r="H834" i="3"/>
  <c r="I834" i="3"/>
  <c r="J834" i="3"/>
  <c r="K834" i="3"/>
  <c r="L834" i="3"/>
  <c r="M834" i="3"/>
  <c r="N834" i="3"/>
  <c r="O834" i="3"/>
  <c r="P834" i="3"/>
  <c r="A835" i="3"/>
  <c r="B835" i="3"/>
  <c r="C835" i="3"/>
  <c r="E835" i="3"/>
  <c r="G835" i="3"/>
  <c r="M835" i="3"/>
  <c r="A836" i="3"/>
  <c r="B836" i="3"/>
  <c r="C836" i="3"/>
  <c r="D836" i="3"/>
  <c r="E836" i="3"/>
  <c r="F836" i="3"/>
  <c r="G836" i="3"/>
  <c r="H836" i="3"/>
  <c r="I836" i="3"/>
  <c r="J836" i="3"/>
  <c r="K836" i="3"/>
  <c r="L836" i="3"/>
  <c r="M836" i="3"/>
  <c r="N836" i="3"/>
  <c r="O836" i="3"/>
  <c r="P836" i="3"/>
  <c r="A837" i="3"/>
  <c r="B837" i="3"/>
  <c r="C837" i="3"/>
  <c r="D837" i="3"/>
  <c r="E837" i="3"/>
  <c r="F837" i="3"/>
  <c r="G837" i="3"/>
  <c r="H837" i="3"/>
  <c r="I837" i="3"/>
  <c r="J837" i="3"/>
  <c r="K837" i="3"/>
  <c r="L837" i="3"/>
  <c r="M837" i="3"/>
  <c r="N837" i="3"/>
  <c r="O837" i="3"/>
  <c r="P837" i="3"/>
  <c r="A838" i="3"/>
  <c r="B838" i="3"/>
  <c r="C838" i="3"/>
  <c r="E838" i="3"/>
  <c r="G838" i="3"/>
  <c r="J838" i="3"/>
  <c r="K838" i="3"/>
  <c r="M838" i="3"/>
  <c r="A839" i="3"/>
  <c r="B839" i="3"/>
  <c r="C839" i="3"/>
  <c r="E839" i="3"/>
  <c r="G839" i="3"/>
  <c r="J839" i="3"/>
  <c r="K839" i="3"/>
  <c r="M839" i="3"/>
  <c r="A840" i="3"/>
  <c r="B840" i="3"/>
  <c r="C840" i="3"/>
  <c r="E840" i="3"/>
  <c r="G840" i="3"/>
  <c r="J840" i="3"/>
  <c r="K840" i="3"/>
  <c r="M840" i="3"/>
  <c r="A841" i="3"/>
  <c r="B841" i="3"/>
  <c r="C841" i="3"/>
  <c r="E841" i="3"/>
  <c r="G841" i="3"/>
  <c r="J841" i="3"/>
  <c r="K841" i="3"/>
  <c r="M841" i="3"/>
  <c r="A842" i="3"/>
  <c r="B842" i="3"/>
  <c r="C842" i="3"/>
  <c r="E842" i="3"/>
  <c r="G842" i="3"/>
  <c r="J842" i="3"/>
  <c r="K842" i="3"/>
  <c r="M842" i="3"/>
  <c r="A843" i="3"/>
  <c r="B843" i="3"/>
  <c r="C843" i="3"/>
  <c r="E843" i="3"/>
  <c r="G843" i="3"/>
  <c r="J843" i="3"/>
  <c r="K843" i="3"/>
  <c r="M843" i="3"/>
  <c r="A844" i="3"/>
  <c r="B844" i="3"/>
  <c r="C844" i="3"/>
  <c r="E844" i="3"/>
  <c r="G844" i="3"/>
  <c r="J844" i="3"/>
  <c r="K844" i="3"/>
  <c r="M844" i="3"/>
  <c r="A845" i="3"/>
  <c r="B845" i="3"/>
  <c r="C845" i="3"/>
  <c r="E845" i="3"/>
  <c r="G845" i="3"/>
  <c r="J845" i="3"/>
  <c r="K845" i="3"/>
  <c r="M845" i="3"/>
  <c r="A846" i="3"/>
  <c r="B846" i="3"/>
  <c r="C846" i="3"/>
  <c r="E846" i="3"/>
  <c r="G846" i="3"/>
  <c r="J846" i="3"/>
  <c r="K846" i="3"/>
  <c r="M846" i="3"/>
  <c r="A847" i="3"/>
  <c r="B847" i="3"/>
  <c r="C847" i="3"/>
  <c r="E847" i="3"/>
  <c r="G847" i="3"/>
  <c r="J847" i="3"/>
  <c r="K847" i="3"/>
  <c r="M847" i="3"/>
  <c r="A848" i="3"/>
  <c r="B848" i="3"/>
  <c r="C848" i="3"/>
  <c r="E848" i="3"/>
  <c r="G848" i="3"/>
  <c r="J848" i="3"/>
  <c r="K848" i="3"/>
  <c r="M848" i="3"/>
  <c r="A849" i="3"/>
  <c r="B849" i="3"/>
  <c r="C849" i="3"/>
  <c r="E849" i="3"/>
  <c r="G849" i="3"/>
  <c r="J849" i="3"/>
  <c r="K849" i="3"/>
  <c r="M849" i="3"/>
  <c r="A850" i="3"/>
  <c r="B850" i="3"/>
  <c r="C850" i="3"/>
  <c r="E850" i="3"/>
  <c r="G850" i="3"/>
  <c r="J850" i="3"/>
  <c r="K850" i="3"/>
  <c r="M850" i="3"/>
  <c r="A851" i="3"/>
  <c r="B851" i="3"/>
  <c r="C851" i="3"/>
  <c r="E851" i="3"/>
  <c r="G851" i="3"/>
  <c r="J851" i="3"/>
  <c r="K851" i="3"/>
  <c r="M851" i="3"/>
  <c r="A852" i="3"/>
  <c r="B852" i="3"/>
  <c r="C852" i="3"/>
  <c r="E852" i="3"/>
  <c r="G852" i="3"/>
  <c r="J852" i="3"/>
  <c r="K852" i="3"/>
  <c r="M852" i="3"/>
  <c r="A853" i="3"/>
  <c r="B853" i="3"/>
  <c r="C853" i="3"/>
  <c r="E853" i="3"/>
  <c r="G853" i="3"/>
  <c r="J853" i="3"/>
  <c r="K853" i="3"/>
  <c r="M853" i="3"/>
  <c r="A854" i="3"/>
  <c r="B854" i="3"/>
  <c r="C854" i="3"/>
  <c r="E854" i="3"/>
  <c r="G854" i="3"/>
  <c r="J854" i="3"/>
  <c r="K854" i="3"/>
  <c r="M854" i="3"/>
  <c r="A855" i="3"/>
  <c r="B855" i="3"/>
  <c r="C855" i="3"/>
  <c r="E855" i="3"/>
  <c r="G855" i="3"/>
  <c r="J855" i="3"/>
  <c r="K855" i="3"/>
  <c r="M855" i="3"/>
  <c r="A856" i="3"/>
  <c r="B856" i="3"/>
  <c r="C856" i="3"/>
  <c r="D856" i="3"/>
  <c r="E856" i="3"/>
  <c r="F856" i="3"/>
  <c r="G856" i="3"/>
  <c r="H856" i="3"/>
  <c r="I856" i="3"/>
  <c r="J856" i="3"/>
  <c r="K856" i="3"/>
  <c r="L856" i="3"/>
  <c r="M856" i="3"/>
  <c r="N856" i="3"/>
  <c r="O856" i="3"/>
  <c r="P856" i="3"/>
  <c r="A857" i="3"/>
  <c r="B857" i="3"/>
  <c r="C857" i="3"/>
  <c r="E857" i="3"/>
  <c r="G857" i="3"/>
  <c r="J857" i="3"/>
  <c r="K857" i="3"/>
  <c r="M857" i="3"/>
  <c r="A858" i="3"/>
  <c r="B858" i="3"/>
  <c r="C858" i="3"/>
  <c r="D858" i="3"/>
  <c r="E858" i="3"/>
  <c r="F858" i="3"/>
  <c r="G858" i="3"/>
  <c r="H858" i="3"/>
  <c r="I858" i="3"/>
  <c r="J858" i="3"/>
  <c r="K858" i="3"/>
  <c r="L858" i="3"/>
  <c r="M858" i="3"/>
  <c r="N858" i="3"/>
  <c r="O858" i="3"/>
  <c r="P858" i="3"/>
  <c r="A859" i="3"/>
  <c r="B859" i="3"/>
  <c r="C859" i="3"/>
  <c r="E859" i="3"/>
  <c r="G859" i="3"/>
  <c r="J859" i="3"/>
  <c r="K859" i="3"/>
  <c r="M859" i="3"/>
  <c r="A860" i="3"/>
  <c r="B860" i="3"/>
  <c r="C860" i="3"/>
  <c r="D860" i="3"/>
  <c r="E860" i="3"/>
  <c r="F860" i="3"/>
  <c r="G860" i="3"/>
  <c r="H860" i="3"/>
  <c r="I860" i="3"/>
  <c r="J860" i="3"/>
  <c r="K860" i="3"/>
  <c r="L860" i="3"/>
  <c r="M860" i="3"/>
  <c r="N860" i="3"/>
  <c r="O860" i="3"/>
  <c r="P860" i="3"/>
  <c r="A861" i="3"/>
  <c r="B861" i="3"/>
  <c r="C861" i="3"/>
  <c r="D861" i="3"/>
  <c r="E861" i="3"/>
  <c r="F861" i="3"/>
  <c r="G861" i="3"/>
  <c r="H861" i="3"/>
  <c r="I861" i="3"/>
  <c r="J861" i="3"/>
  <c r="K861" i="3"/>
  <c r="L861" i="3"/>
  <c r="M861" i="3"/>
  <c r="N861" i="3"/>
  <c r="O861" i="3"/>
  <c r="P861" i="3"/>
  <c r="A862" i="3"/>
  <c r="B862" i="3"/>
  <c r="C862" i="3"/>
  <c r="D862" i="3"/>
  <c r="E862" i="3"/>
  <c r="F862" i="3"/>
  <c r="G862" i="3"/>
  <c r="H862" i="3"/>
  <c r="I862" i="3"/>
  <c r="J862" i="3"/>
  <c r="K862" i="3"/>
  <c r="L862" i="3"/>
  <c r="M862" i="3"/>
  <c r="N862" i="3"/>
  <c r="O862" i="3"/>
  <c r="P862" i="3"/>
  <c r="A863" i="3"/>
  <c r="B863" i="3"/>
  <c r="C863" i="3"/>
  <c r="D863" i="3"/>
  <c r="E863" i="3"/>
  <c r="F863" i="3"/>
  <c r="G863" i="3"/>
  <c r="H863" i="3"/>
  <c r="I863" i="3"/>
  <c r="J863" i="3"/>
  <c r="K863" i="3"/>
  <c r="L863" i="3"/>
  <c r="M863" i="3"/>
  <c r="N863" i="3"/>
  <c r="O863" i="3"/>
  <c r="P863" i="3"/>
  <c r="A864" i="3"/>
  <c r="B864" i="3"/>
  <c r="C864" i="3"/>
  <c r="D864" i="3"/>
  <c r="E864" i="3"/>
  <c r="F864" i="3"/>
  <c r="G864" i="3"/>
  <c r="H864" i="3"/>
  <c r="I864" i="3"/>
  <c r="J864" i="3"/>
  <c r="K864" i="3"/>
  <c r="L864" i="3"/>
  <c r="M864" i="3"/>
  <c r="N864" i="3"/>
  <c r="O864" i="3"/>
  <c r="P864" i="3"/>
  <c r="A865" i="3"/>
  <c r="B865" i="3"/>
  <c r="C865" i="3"/>
  <c r="E865" i="3"/>
  <c r="G865" i="3"/>
  <c r="J865" i="3"/>
  <c r="K865" i="3"/>
  <c r="M865" i="3"/>
  <c r="A866" i="3"/>
  <c r="B866" i="3"/>
  <c r="C866" i="3"/>
  <c r="E866" i="3"/>
  <c r="G866" i="3"/>
  <c r="J866" i="3"/>
  <c r="K866" i="3"/>
  <c r="M866" i="3"/>
  <c r="A867" i="3"/>
  <c r="B867" i="3"/>
  <c r="C867" i="3"/>
  <c r="E867" i="3"/>
  <c r="G867" i="3"/>
  <c r="J867" i="3"/>
  <c r="K867" i="3"/>
  <c r="M867" i="3"/>
  <c r="A868" i="3"/>
  <c r="B868" i="3"/>
  <c r="C868" i="3"/>
  <c r="E868" i="3"/>
  <c r="G868" i="3"/>
  <c r="J868" i="3"/>
  <c r="K868" i="3"/>
  <c r="M868" i="3"/>
  <c r="A869" i="3"/>
  <c r="B869" i="3"/>
  <c r="C869" i="3"/>
  <c r="E869" i="3"/>
  <c r="G869" i="3"/>
  <c r="J869" i="3"/>
  <c r="K869" i="3"/>
  <c r="M869" i="3"/>
  <c r="A870" i="3"/>
  <c r="B870" i="3"/>
  <c r="C870" i="3"/>
  <c r="D870" i="3"/>
  <c r="E870" i="3"/>
  <c r="F870" i="3"/>
  <c r="G870" i="3"/>
  <c r="H870" i="3"/>
  <c r="I870" i="3"/>
  <c r="J870" i="3"/>
  <c r="K870" i="3"/>
  <c r="L870" i="3"/>
  <c r="M870" i="3"/>
  <c r="N870" i="3"/>
  <c r="O870" i="3"/>
  <c r="P870" i="3"/>
  <c r="A871" i="3"/>
  <c r="B871" i="3"/>
  <c r="C871" i="3"/>
  <c r="E871" i="3"/>
  <c r="G871" i="3"/>
  <c r="J871" i="3"/>
  <c r="K871" i="3"/>
  <c r="M871" i="3"/>
  <c r="A872" i="3"/>
  <c r="B872" i="3"/>
  <c r="C872" i="3"/>
  <c r="D872" i="3"/>
  <c r="E872" i="3"/>
  <c r="F872" i="3"/>
  <c r="G872" i="3"/>
  <c r="H872" i="3"/>
  <c r="I872" i="3"/>
  <c r="J872" i="3"/>
  <c r="K872" i="3"/>
  <c r="L872" i="3"/>
  <c r="M872" i="3"/>
  <c r="N872" i="3"/>
  <c r="O872" i="3"/>
  <c r="P872" i="3"/>
  <c r="A873" i="3"/>
  <c r="B873" i="3"/>
  <c r="C873" i="3"/>
  <c r="D873" i="3"/>
  <c r="E873" i="3"/>
  <c r="F873" i="3"/>
  <c r="G873" i="3"/>
  <c r="H873" i="3"/>
  <c r="I873" i="3"/>
  <c r="J873" i="3"/>
  <c r="K873" i="3"/>
  <c r="L873" i="3"/>
  <c r="M873" i="3"/>
  <c r="N873" i="3"/>
  <c r="O873" i="3"/>
  <c r="P873" i="3"/>
  <c r="A874" i="3"/>
  <c r="B874" i="3"/>
  <c r="C874" i="3"/>
  <c r="E874" i="3"/>
  <c r="G874" i="3"/>
  <c r="J874" i="3"/>
  <c r="K874" i="3"/>
  <c r="M874" i="3"/>
  <c r="A875" i="3"/>
  <c r="B875" i="3"/>
  <c r="C875" i="3"/>
  <c r="E875" i="3"/>
  <c r="G875" i="3"/>
  <c r="J875" i="3"/>
  <c r="K875" i="3"/>
  <c r="M875" i="3"/>
  <c r="A876" i="3"/>
  <c r="B876" i="3"/>
  <c r="C876" i="3"/>
  <c r="E876" i="3"/>
  <c r="G876" i="3"/>
  <c r="J876" i="3"/>
  <c r="K876" i="3"/>
  <c r="M876" i="3"/>
  <c r="A877" i="3"/>
  <c r="B877" i="3"/>
  <c r="C877" i="3"/>
  <c r="E877" i="3"/>
  <c r="G877" i="3"/>
  <c r="J877" i="3"/>
  <c r="K877" i="3"/>
  <c r="M877" i="3"/>
  <c r="A878" i="3"/>
  <c r="B878" i="3"/>
  <c r="C878" i="3"/>
  <c r="E878" i="3"/>
  <c r="G878" i="3"/>
  <c r="J878" i="3"/>
  <c r="K878" i="3"/>
  <c r="M878" i="3"/>
  <c r="A879" i="3"/>
  <c r="B879" i="3"/>
  <c r="C879" i="3"/>
  <c r="E879" i="3"/>
  <c r="G879" i="3"/>
  <c r="J879" i="3"/>
  <c r="K879" i="3"/>
  <c r="M879" i="3"/>
  <c r="A880" i="3"/>
  <c r="B880" i="3"/>
  <c r="C880" i="3"/>
  <c r="E880" i="3"/>
  <c r="G880" i="3"/>
  <c r="J880" i="3"/>
  <c r="K880" i="3"/>
  <c r="M880" i="3"/>
  <c r="A881" i="3"/>
  <c r="B881" i="3"/>
  <c r="C881" i="3"/>
  <c r="D881" i="3"/>
  <c r="E881" i="3"/>
  <c r="F881" i="3"/>
  <c r="G881" i="3"/>
  <c r="H881" i="3"/>
  <c r="I881" i="3"/>
  <c r="J881" i="3"/>
  <c r="K881" i="3"/>
  <c r="L881" i="3"/>
  <c r="M881" i="3"/>
  <c r="N881" i="3"/>
  <c r="O881" i="3"/>
  <c r="P881" i="3"/>
  <c r="A882" i="3"/>
  <c r="B882" i="3"/>
  <c r="C882" i="3"/>
  <c r="E882" i="3"/>
  <c r="G882" i="3"/>
  <c r="J882" i="3"/>
  <c r="K882" i="3"/>
  <c r="M882" i="3"/>
  <c r="A883" i="3"/>
  <c r="B883" i="3"/>
  <c r="C883" i="3"/>
  <c r="D883" i="3"/>
  <c r="E883" i="3"/>
  <c r="F883" i="3"/>
  <c r="G883" i="3"/>
  <c r="H883" i="3"/>
  <c r="I883" i="3"/>
  <c r="J883" i="3"/>
  <c r="K883" i="3"/>
  <c r="L883" i="3"/>
  <c r="M883" i="3"/>
  <c r="N883" i="3"/>
  <c r="O883" i="3"/>
  <c r="P883" i="3"/>
  <c r="A884" i="3"/>
  <c r="B884" i="3"/>
  <c r="C884" i="3"/>
  <c r="E884" i="3"/>
  <c r="G884" i="3"/>
  <c r="J884" i="3"/>
  <c r="K884" i="3"/>
  <c r="M884" i="3"/>
  <c r="A885" i="3"/>
  <c r="B885" i="3"/>
  <c r="C885" i="3"/>
  <c r="D885" i="3"/>
  <c r="E885" i="3"/>
  <c r="F885" i="3"/>
  <c r="G885" i="3"/>
  <c r="H885" i="3"/>
  <c r="I885" i="3"/>
  <c r="J885" i="3"/>
  <c r="K885" i="3"/>
  <c r="L885" i="3"/>
  <c r="M885" i="3"/>
  <c r="N885" i="3"/>
  <c r="O885" i="3"/>
  <c r="P885" i="3"/>
  <c r="A886" i="3"/>
  <c r="B886" i="3"/>
  <c r="C886" i="3"/>
  <c r="D886" i="3"/>
  <c r="E886" i="3"/>
  <c r="F886" i="3"/>
  <c r="G886" i="3"/>
  <c r="H886" i="3"/>
  <c r="I886" i="3"/>
  <c r="J886" i="3"/>
  <c r="K886" i="3"/>
  <c r="L886" i="3"/>
  <c r="M886" i="3"/>
  <c r="N886" i="3"/>
  <c r="O886" i="3"/>
  <c r="P886" i="3"/>
  <c r="A887" i="3"/>
  <c r="B887" i="3"/>
  <c r="C887" i="3"/>
  <c r="E887" i="3"/>
  <c r="G887" i="3"/>
  <c r="J887" i="3"/>
  <c r="K887" i="3"/>
  <c r="M887" i="3"/>
  <c r="A888" i="3"/>
  <c r="B888" i="3"/>
  <c r="C888" i="3"/>
  <c r="E888" i="3"/>
  <c r="G888" i="3"/>
  <c r="J888" i="3"/>
  <c r="K888" i="3"/>
  <c r="M888" i="3"/>
  <c r="A889" i="3"/>
  <c r="B889" i="3"/>
  <c r="C889" i="3"/>
  <c r="E889" i="3"/>
  <c r="G889" i="3"/>
  <c r="J889" i="3"/>
  <c r="K889" i="3"/>
  <c r="M889" i="3"/>
  <c r="A890" i="3"/>
  <c r="B890" i="3"/>
  <c r="C890" i="3"/>
  <c r="E890" i="3"/>
  <c r="G890" i="3"/>
  <c r="J890" i="3"/>
  <c r="K890" i="3"/>
  <c r="M890" i="3"/>
  <c r="A891" i="3"/>
  <c r="B891" i="3"/>
  <c r="C891" i="3"/>
  <c r="E891" i="3"/>
  <c r="G891" i="3"/>
  <c r="J891" i="3"/>
  <c r="K891" i="3"/>
  <c r="M891" i="3"/>
  <c r="A892" i="3"/>
  <c r="B892" i="3"/>
  <c r="C892" i="3"/>
  <c r="E892" i="3"/>
  <c r="G892" i="3"/>
  <c r="J892" i="3"/>
  <c r="K892" i="3"/>
  <c r="M892" i="3"/>
  <c r="A893" i="3"/>
  <c r="B893" i="3"/>
  <c r="C893" i="3"/>
  <c r="E893" i="3"/>
  <c r="G893" i="3"/>
  <c r="J893" i="3"/>
  <c r="K893" i="3"/>
  <c r="M893" i="3"/>
  <c r="A894" i="3"/>
  <c r="B894" i="3"/>
  <c r="C894" i="3"/>
  <c r="E894" i="3"/>
  <c r="G894" i="3"/>
  <c r="J894" i="3"/>
  <c r="K894" i="3"/>
  <c r="M894" i="3"/>
  <c r="A895" i="3"/>
  <c r="B895" i="3"/>
  <c r="C895" i="3"/>
  <c r="E895" i="3"/>
  <c r="G895" i="3"/>
  <c r="J895" i="3"/>
  <c r="K895" i="3"/>
  <c r="M895" i="3"/>
  <c r="A896" i="3"/>
  <c r="B896" i="3"/>
  <c r="C896" i="3"/>
  <c r="E896" i="3"/>
  <c r="G896" i="3"/>
  <c r="J896" i="3"/>
  <c r="K896" i="3"/>
  <c r="M896" i="3"/>
  <c r="A897" i="3"/>
  <c r="B897" i="3"/>
  <c r="C897" i="3"/>
  <c r="E897" i="3"/>
  <c r="G897" i="3"/>
  <c r="J897" i="3"/>
  <c r="K897" i="3"/>
  <c r="M897" i="3"/>
  <c r="A898" i="3"/>
  <c r="B898" i="3"/>
  <c r="C898" i="3"/>
  <c r="E898" i="3"/>
  <c r="G898" i="3"/>
  <c r="J898" i="3"/>
  <c r="K898" i="3"/>
  <c r="M898" i="3"/>
  <c r="A899" i="3"/>
  <c r="B899" i="3"/>
  <c r="C899" i="3"/>
  <c r="D899" i="3"/>
  <c r="E899" i="3"/>
  <c r="F899" i="3"/>
  <c r="G899" i="3"/>
  <c r="H899" i="3"/>
  <c r="I899" i="3"/>
  <c r="J899" i="3"/>
  <c r="K899" i="3"/>
  <c r="L899" i="3"/>
  <c r="M899" i="3"/>
  <c r="N899" i="3"/>
  <c r="O899" i="3"/>
  <c r="P899" i="3"/>
  <c r="A900" i="3"/>
  <c r="B900" i="3"/>
  <c r="C900" i="3"/>
  <c r="E900" i="3"/>
  <c r="G900" i="3"/>
  <c r="J900" i="3"/>
  <c r="K900" i="3"/>
  <c r="M900" i="3"/>
  <c r="A901" i="3"/>
  <c r="B901" i="3"/>
  <c r="C901" i="3"/>
  <c r="D901" i="3"/>
  <c r="E901" i="3"/>
  <c r="F901" i="3"/>
  <c r="G901" i="3"/>
  <c r="H901" i="3"/>
  <c r="I901" i="3"/>
  <c r="J901" i="3"/>
  <c r="K901" i="3"/>
  <c r="L901" i="3"/>
  <c r="M901" i="3"/>
  <c r="N901" i="3"/>
  <c r="O901" i="3"/>
  <c r="P901" i="3"/>
  <c r="A902" i="3"/>
  <c r="B902" i="3"/>
  <c r="C902" i="3"/>
  <c r="E902" i="3"/>
  <c r="G902" i="3"/>
  <c r="J902" i="3"/>
  <c r="K902" i="3"/>
  <c r="M902" i="3"/>
  <c r="A903" i="3"/>
  <c r="B903" i="3"/>
  <c r="C903" i="3"/>
  <c r="D903" i="3"/>
  <c r="E903" i="3"/>
  <c r="F903" i="3"/>
  <c r="G903" i="3"/>
  <c r="H903" i="3"/>
  <c r="I903" i="3"/>
  <c r="J903" i="3"/>
  <c r="K903" i="3"/>
  <c r="L903" i="3"/>
  <c r="M903" i="3"/>
  <c r="N903" i="3"/>
  <c r="O903" i="3"/>
  <c r="P903" i="3"/>
  <c r="A904" i="3"/>
  <c r="B904" i="3"/>
  <c r="C904" i="3"/>
  <c r="D904" i="3"/>
  <c r="E904" i="3"/>
  <c r="F904" i="3"/>
  <c r="G904" i="3"/>
  <c r="H904" i="3"/>
  <c r="I904" i="3"/>
  <c r="J904" i="3"/>
  <c r="K904" i="3"/>
  <c r="L904" i="3"/>
  <c r="M904" i="3"/>
  <c r="N904" i="3"/>
  <c r="O904" i="3"/>
  <c r="P904" i="3"/>
  <c r="A905" i="3"/>
  <c r="B905" i="3"/>
  <c r="C905" i="3"/>
  <c r="D905" i="3"/>
  <c r="E905" i="3"/>
  <c r="F905" i="3"/>
  <c r="G905" i="3"/>
  <c r="H905" i="3"/>
  <c r="I905" i="3"/>
  <c r="J905" i="3"/>
  <c r="K905" i="3"/>
  <c r="L905" i="3"/>
  <c r="M905" i="3"/>
  <c r="N905" i="3"/>
  <c r="O905" i="3"/>
  <c r="P905" i="3"/>
  <c r="A906" i="3"/>
  <c r="B906" i="3"/>
  <c r="C906" i="3"/>
  <c r="D906" i="3"/>
  <c r="E906" i="3"/>
  <c r="F906" i="3"/>
  <c r="G906" i="3"/>
  <c r="H906" i="3"/>
  <c r="I906" i="3"/>
  <c r="J906" i="3"/>
  <c r="K906" i="3"/>
  <c r="L906" i="3"/>
  <c r="M906" i="3"/>
  <c r="N906" i="3"/>
  <c r="O906" i="3"/>
  <c r="P906" i="3"/>
  <c r="A907" i="3"/>
  <c r="B907" i="3"/>
  <c r="C907" i="3"/>
  <c r="D907" i="3"/>
  <c r="E907" i="3"/>
  <c r="F907" i="3"/>
  <c r="G907" i="3"/>
  <c r="H907" i="3"/>
  <c r="I907" i="3"/>
  <c r="J907" i="3"/>
  <c r="K907" i="3"/>
  <c r="L907" i="3"/>
  <c r="M907" i="3"/>
  <c r="N907" i="3"/>
  <c r="O907" i="3"/>
  <c r="P907" i="3"/>
  <c r="A908" i="3"/>
  <c r="B908" i="3"/>
  <c r="C908" i="3"/>
  <c r="D908" i="3"/>
  <c r="E908" i="3"/>
  <c r="F908" i="3"/>
  <c r="G908" i="3"/>
  <c r="H908" i="3"/>
  <c r="I908" i="3"/>
  <c r="J908" i="3"/>
  <c r="K908" i="3"/>
  <c r="L908" i="3"/>
  <c r="M908" i="3"/>
  <c r="O908" i="3"/>
  <c r="P908" i="3"/>
  <c r="A909" i="3"/>
  <c r="B909" i="3"/>
  <c r="C909" i="3"/>
  <c r="E909" i="3"/>
  <c r="F909" i="3"/>
  <c r="G909" i="3"/>
  <c r="H909" i="3"/>
  <c r="J909" i="3"/>
  <c r="K909" i="3"/>
  <c r="L909" i="3"/>
  <c r="M909" i="3"/>
  <c r="O909" i="3"/>
  <c r="P909" i="3"/>
  <c r="A910" i="3"/>
  <c r="B910" i="3"/>
  <c r="C910" i="3"/>
  <c r="E910" i="3"/>
  <c r="F910" i="3"/>
  <c r="G910" i="3"/>
  <c r="J910" i="3"/>
  <c r="K910" i="3"/>
  <c r="L910" i="3"/>
  <c r="M910" i="3"/>
  <c r="A911" i="3"/>
  <c r="B911" i="3"/>
  <c r="C911" i="3"/>
  <c r="E911" i="3"/>
  <c r="F911" i="3"/>
  <c r="G911" i="3"/>
  <c r="J911" i="3"/>
  <c r="K911" i="3"/>
  <c r="L911" i="3"/>
  <c r="M911" i="3"/>
  <c r="O911" i="3"/>
  <c r="P911" i="3"/>
  <c r="A912" i="3"/>
  <c r="B912" i="3"/>
  <c r="C912" i="3"/>
  <c r="E912" i="3"/>
  <c r="G912" i="3"/>
  <c r="H912" i="3"/>
  <c r="J912" i="3"/>
  <c r="K912" i="3"/>
  <c r="L912" i="3"/>
  <c r="M912" i="3"/>
  <c r="A913" i="3"/>
  <c r="B913" i="3"/>
  <c r="C913" i="3"/>
  <c r="E913" i="3"/>
  <c r="F913" i="3"/>
  <c r="G913" i="3"/>
  <c r="H913" i="3"/>
  <c r="J913" i="3"/>
  <c r="K913" i="3"/>
  <c r="L913" i="3"/>
  <c r="M913" i="3"/>
  <c r="A914" i="3"/>
  <c r="B914" i="3"/>
  <c r="C914" i="3"/>
  <c r="E914" i="3"/>
  <c r="G914" i="3"/>
  <c r="H914" i="3"/>
  <c r="J914" i="3"/>
  <c r="K914" i="3"/>
  <c r="M914" i="3"/>
  <c r="A915" i="3"/>
  <c r="B915" i="3"/>
  <c r="C915" i="3"/>
  <c r="D915" i="3"/>
  <c r="E915" i="3"/>
  <c r="F915" i="3"/>
  <c r="G915" i="3"/>
  <c r="H915" i="3"/>
  <c r="I915" i="3"/>
  <c r="J915" i="3"/>
  <c r="K915" i="3"/>
  <c r="L915" i="3"/>
  <c r="M915" i="3"/>
  <c r="N915" i="3"/>
  <c r="O915" i="3"/>
  <c r="P915" i="3"/>
  <c r="A916" i="3"/>
  <c r="B916" i="3"/>
  <c r="C916" i="3"/>
  <c r="E916" i="3"/>
  <c r="G916" i="3"/>
  <c r="J916" i="3"/>
  <c r="K916" i="3"/>
  <c r="M916" i="3"/>
  <c r="A917" i="3"/>
  <c r="B917" i="3"/>
  <c r="C917" i="3"/>
  <c r="E917" i="3"/>
  <c r="F917" i="3"/>
  <c r="G917" i="3"/>
  <c r="J917" i="3"/>
  <c r="K917" i="3"/>
  <c r="L917" i="3"/>
  <c r="M917" i="3"/>
  <c r="O917" i="3"/>
  <c r="P917" i="3"/>
  <c r="A918" i="3"/>
  <c r="B918" i="3"/>
  <c r="C918" i="3"/>
  <c r="E918" i="3"/>
  <c r="F918" i="3"/>
  <c r="G918" i="3"/>
  <c r="H918" i="3"/>
  <c r="J918" i="3"/>
  <c r="K918" i="3"/>
  <c r="M918" i="3"/>
  <c r="O918" i="3"/>
  <c r="A919" i="3"/>
  <c r="B919" i="3"/>
  <c r="C919" i="3"/>
  <c r="E919" i="3"/>
  <c r="F919" i="3"/>
  <c r="G919" i="3"/>
  <c r="J919" i="3"/>
  <c r="K919" i="3"/>
  <c r="L919" i="3"/>
  <c r="M919" i="3"/>
  <c r="A920" i="3"/>
  <c r="B920" i="3"/>
  <c r="C920" i="3"/>
  <c r="E920" i="3"/>
  <c r="F920" i="3"/>
  <c r="G920" i="3"/>
  <c r="H920" i="3"/>
  <c r="J920" i="3"/>
  <c r="K920" i="3"/>
  <c r="L920" i="3"/>
  <c r="M920" i="3"/>
  <c r="A921" i="3"/>
  <c r="B921" i="3"/>
  <c r="C921" i="3"/>
  <c r="D921" i="3"/>
  <c r="E921" i="3"/>
  <c r="F921" i="3"/>
  <c r="G921" i="3"/>
  <c r="H921" i="3"/>
  <c r="I921" i="3"/>
  <c r="J921" i="3"/>
  <c r="K921" i="3"/>
  <c r="L921" i="3"/>
  <c r="M921" i="3"/>
  <c r="N921" i="3"/>
  <c r="O921" i="3"/>
  <c r="P921" i="3"/>
  <c r="A922" i="3"/>
  <c r="B922" i="3"/>
  <c r="C922" i="3"/>
  <c r="D922" i="3"/>
  <c r="E922" i="3"/>
  <c r="F922" i="3"/>
  <c r="G922" i="3"/>
  <c r="H922" i="3"/>
  <c r="I922" i="3"/>
  <c r="J922" i="3"/>
  <c r="K922" i="3"/>
  <c r="L922" i="3"/>
  <c r="M922" i="3"/>
  <c r="N922" i="3"/>
  <c r="O922" i="3"/>
  <c r="P922" i="3"/>
  <c r="A923" i="3"/>
  <c r="B923" i="3"/>
  <c r="C923" i="3"/>
  <c r="E923" i="3"/>
  <c r="G923" i="3"/>
  <c r="H923" i="3"/>
  <c r="J923" i="3"/>
  <c r="K923" i="3"/>
  <c r="L923" i="3"/>
  <c r="M923" i="3"/>
  <c r="O923" i="3"/>
  <c r="P923" i="3"/>
  <c r="A928" i="3"/>
  <c r="B928" i="3"/>
  <c r="C928" i="3"/>
  <c r="E928" i="3"/>
  <c r="G928" i="3"/>
  <c r="H928" i="3"/>
  <c r="J928" i="3"/>
  <c r="K928" i="3"/>
  <c r="L928" i="3"/>
  <c r="M928" i="3"/>
  <c r="O928" i="3"/>
  <c r="P928" i="3"/>
  <c r="A930" i="3"/>
  <c r="B930" i="3"/>
  <c r="C930" i="3"/>
  <c r="E930" i="3"/>
  <c r="G930" i="3"/>
  <c r="H930" i="3"/>
  <c r="J930" i="3"/>
  <c r="K930" i="3"/>
  <c r="L930" i="3"/>
  <c r="M930" i="3"/>
  <c r="N930" i="3"/>
  <c r="O930" i="3"/>
  <c r="P930" i="3"/>
  <c r="A932" i="3"/>
  <c r="B932" i="3"/>
  <c r="C932" i="3"/>
  <c r="E932" i="3"/>
  <c r="F932" i="3"/>
  <c r="G932" i="3"/>
  <c r="J932" i="3"/>
  <c r="K932" i="3"/>
  <c r="L932" i="3"/>
  <c r="M932" i="3"/>
  <c r="N932" i="3"/>
  <c r="O932" i="3"/>
  <c r="P932" i="3"/>
  <c r="A935" i="3"/>
  <c r="B935" i="3"/>
  <c r="C935" i="3"/>
  <c r="N54" i="1"/>
  <c r="I54" i="1" s="1"/>
  <c r="E935" i="3"/>
  <c r="F935" i="3"/>
  <c r="G935" i="3"/>
  <c r="H935" i="3"/>
  <c r="J935" i="3"/>
  <c r="K935" i="3"/>
  <c r="L935" i="3"/>
  <c r="M935" i="3"/>
  <c r="O935" i="3"/>
  <c r="P935" i="3"/>
  <c r="A936" i="3"/>
  <c r="B936" i="3"/>
  <c r="C936" i="3"/>
  <c r="E936" i="3"/>
  <c r="F936" i="3"/>
  <c r="G936" i="3"/>
  <c r="J936" i="3"/>
  <c r="K936" i="3"/>
  <c r="L936" i="3"/>
  <c r="M936" i="3"/>
  <c r="O936" i="3"/>
  <c r="P936" i="3"/>
  <c r="A938" i="3"/>
  <c r="B938" i="3"/>
  <c r="C938" i="3"/>
  <c r="E938" i="3"/>
  <c r="F938" i="3"/>
  <c r="G938" i="3"/>
  <c r="J938" i="3"/>
  <c r="K938" i="3"/>
  <c r="L938" i="3"/>
  <c r="M938" i="3"/>
  <c r="O938" i="3"/>
  <c r="P938" i="3"/>
  <c r="A939" i="3"/>
  <c r="B939" i="3"/>
  <c r="C939" i="3"/>
  <c r="E939" i="3"/>
  <c r="F939" i="3"/>
  <c r="G939" i="3"/>
  <c r="J939" i="3"/>
  <c r="K939" i="3"/>
  <c r="L939" i="3"/>
  <c r="M939" i="3"/>
  <c r="O939" i="3"/>
  <c r="P939" i="3"/>
  <c r="A940" i="3"/>
  <c r="B940" i="3"/>
  <c r="C940" i="3"/>
  <c r="E940" i="3"/>
  <c r="F940" i="3"/>
  <c r="G940" i="3"/>
  <c r="H940" i="3"/>
  <c r="J940" i="3"/>
  <c r="K940" i="3"/>
  <c r="M940" i="3"/>
  <c r="O940" i="3"/>
  <c r="P940" i="3"/>
  <c r="A949" i="3"/>
  <c r="B949" i="3"/>
  <c r="C949" i="3"/>
  <c r="E949" i="3"/>
  <c r="F949" i="3"/>
  <c r="G949" i="3"/>
  <c r="J949" i="3"/>
  <c r="K949" i="3"/>
  <c r="M949" i="3"/>
  <c r="O949" i="3"/>
  <c r="P949" i="3"/>
  <c r="A950" i="3"/>
  <c r="B950" i="3"/>
  <c r="C950" i="3"/>
  <c r="E950" i="3"/>
  <c r="F950" i="3"/>
  <c r="G950" i="3"/>
  <c r="J950" i="3"/>
  <c r="K950" i="3"/>
  <c r="L950" i="3"/>
  <c r="M950" i="3"/>
  <c r="N950" i="3"/>
  <c r="O950" i="3"/>
  <c r="P950" i="3"/>
  <c r="A951" i="3"/>
  <c r="B951" i="3"/>
  <c r="C951" i="3"/>
  <c r="E951" i="3"/>
  <c r="F951" i="3"/>
  <c r="G951" i="3"/>
  <c r="H951" i="3"/>
  <c r="J951" i="3"/>
  <c r="K951" i="3"/>
  <c r="L951" i="3"/>
  <c r="M951" i="3"/>
  <c r="O951" i="3"/>
  <c r="P951" i="3"/>
  <c r="A952" i="3"/>
  <c r="B952" i="3"/>
  <c r="C952" i="3"/>
  <c r="E952" i="3"/>
  <c r="F952" i="3"/>
  <c r="G952" i="3"/>
  <c r="H952" i="3"/>
  <c r="J952" i="3"/>
  <c r="K952" i="3"/>
  <c r="L952" i="3"/>
  <c r="M952" i="3"/>
  <c r="O952" i="3"/>
  <c r="P952" i="3"/>
  <c r="A953" i="3"/>
  <c r="B953" i="3"/>
  <c r="C953" i="3"/>
  <c r="E953" i="3"/>
  <c r="F953" i="3"/>
  <c r="G953" i="3"/>
  <c r="H953" i="3"/>
  <c r="J953" i="3"/>
  <c r="K953" i="3"/>
  <c r="L953" i="3"/>
  <c r="M953" i="3"/>
  <c r="O953" i="3"/>
  <c r="P953" i="3"/>
  <c r="A954" i="3"/>
  <c r="B954" i="3"/>
  <c r="C954" i="3"/>
  <c r="E954" i="3"/>
  <c r="F954" i="3"/>
  <c r="G954" i="3"/>
  <c r="H954" i="3"/>
  <c r="J954" i="3"/>
  <c r="K954" i="3"/>
  <c r="L954" i="3"/>
  <c r="M954" i="3"/>
  <c r="O954" i="3"/>
  <c r="P954" i="3"/>
  <c r="A955" i="3"/>
  <c r="B955" i="3"/>
  <c r="C955" i="3"/>
  <c r="E955" i="3"/>
  <c r="F955" i="3"/>
  <c r="G955" i="3"/>
  <c r="H955" i="3"/>
  <c r="J955" i="3"/>
  <c r="K955" i="3"/>
  <c r="L955" i="3"/>
  <c r="M955" i="3"/>
  <c r="O955" i="3"/>
  <c r="P955" i="3"/>
  <c r="A956" i="3"/>
  <c r="B956" i="3"/>
  <c r="C956" i="3"/>
  <c r="E956" i="3"/>
  <c r="F956" i="3"/>
  <c r="G956" i="3"/>
  <c r="H956" i="3"/>
  <c r="J956" i="3"/>
  <c r="K956" i="3"/>
  <c r="L956" i="3"/>
  <c r="M956" i="3"/>
  <c r="O956" i="3"/>
  <c r="P956" i="3"/>
  <c r="A959" i="3"/>
  <c r="B959" i="3"/>
  <c r="C959" i="3"/>
  <c r="E959" i="3"/>
  <c r="F959" i="3"/>
  <c r="G959" i="3"/>
  <c r="H959" i="3"/>
  <c r="J959" i="3"/>
  <c r="K959" i="3"/>
  <c r="L959" i="3"/>
  <c r="M959" i="3"/>
  <c r="O959" i="3"/>
  <c r="P959" i="3"/>
  <c r="A960" i="3"/>
  <c r="B960" i="3"/>
  <c r="C960" i="3"/>
  <c r="N79" i="1"/>
  <c r="I79" i="1" s="1"/>
  <c r="E960" i="3"/>
  <c r="F960" i="3"/>
  <c r="G960" i="3"/>
  <c r="H960" i="3"/>
  <c r="J960" i="3"/>
  <c r="K960" i="3"/>
  <c r="L960" i="3"/>
  <c r="M960" i="3"/>
  <c r="O960" i="3"/>
  <c r="P960" i="3"/>
  <c r="A961" i="3"/>
  <c r="B961" i="3"/>
  <c r="C961" i="3"/>
  <c r="E961" i="3"/>
  <c r="F961" i="3"/>
  <c r="G961" i="3"/>
  <c r="H961" i="3"/>
  <c r="J961" i="3"/>
  <c r="K961" i="3"/>
  <c r="L961" i="3"/>
  <c r="M961" i="3"/>
  <c r="O961" i="3"/>
  <c r="P961" i="3"/>
  <c r="A962" i="3"/>
  <c r="B962" i="3"/>
  <c r="C962" i="3"/>
  <c r="D962" i="3"/>
  <c r="E962" i="3"/>
  <c r="F962" i="3"/>
  <c r="G962" i="3"/>
  <c r="H962" i="3"/>
  <c r="I962" i="3"/>
  <c r="J962" i="3"/>
  <c r="K962" i="3"/>
  <c r="L962" i="3"/>
  <c r="M962" i="3"/>
  <c r="N962" i="3"/>
  <c r="O962" i="3"/>
  <c r="P962" i="3"/>
  <c r="A963" i="3"/>
  <c r="B963" i="3"/>
  <c r="C963" i="3"/>
  <c r="D963" i="3"/>
  <c r="E963" i="3"/>
  <c r="F963" i="3"/>
  <c r="G963" i="3"/>
  <c r="H963" i="3"/>
  <c r="I963" i="3"/>
  <c r="J963" i="3"/>
  <c r="K963" i="3"/>
  <c r="L963" i="3"/>
  <c r="M963" i="3"/>
  <c r="N963" i="3"/>
  <c r="O963" i="3"/>
  <c r="P963" i="3"/>
  <c r="A964" i="3"/>
  <c r="B964" i="3"/>
  <c r="C964" i="3"/>
  <c r="D964" i="3"/>
  <c r="E964" i="3"/>
  <c r="F964" i="3"/>
  <c r="G964" i="3"/>
  <c r="H964" i="3"/>
  <c r="I964" i="3"/>
  <c r="J964" i="3"/>
  <c r="K964" i="3"/>
  <c r="L964" i="3"/>
  <c r="M964" i="3"/>
  <c r="N964" i="3"/>
  <c r="O964" i="3"/>
  <c r="P964" i="3"/>
  <c r="A965" i="3"/>
  <c r="B965" i="3"/>
  <c r="C965" i="3"/>
  <c r="D965" i="3"/>
  <c r="E965" i="3"/>
  <c r="F965" i="3"/>
  <c r="G965" i="3"/>
  <c r="H965" i="3"/>
  <c r="I965" i="3"/>
  <c r="J965" i="3"/>
  <c r="K965" i="3"/>
  <c r="L965" i="3"/>
  <c r="M965" i="3"/>
  <c r="N965" i="3"/>
  <c r="O965" i="3"/>
  <c r="P965" i="3"/>
  <c r="A966" i="3"/>
  <c r="B966" i="3"/>
  <c r="C966" i="3"/>
  <c r="E966" i="3"/>
  <c r="F966" i="3"/>
  <c r="G966" i="3"/>
  <c r="H966" i="3"/>
  <c r="J966" i="3"/>
  <c r="K966" i="3"/>
  <c r="L966" i="3"/>
  <c r="M966" i="3"/>
  <c r="O966" i="3"/>
  <c r="P966" i="3"/>
  <c r="A967" i="3"/>
  <c r="B967" i="3"/>
  <c r="C967" i="3"/>
  <c r="E967" i="3"/>
  <c r="G967" i="3"/>
  <c r="J967" i="3"/>
  <c r="K967" i="3"/>
  <c r="M967" i="3"/>
  <c r="O967" i="3"/>
  <c r="P967" i="3"/>
  <c r="A968" i="3"/>
  <c r="B968" i="3"/>
  <c r="C968" i="3"/>
  <c r="D968" i="3"/>
  <c r="E968" i="3"/>
  <c r="F968" i="3"/>
  <c r="G968" i="3"/>
  <c r="H968" i="3"/>
  <c r="I968" i="3"/>
  <c r="J968" i="3"/>
  <c r="K968" i="3"/>
  <c r="L968" i="3"/>
  <c r="M968" i="3"/>
  <c r="N968" i="3"/>
  <c r="O968" i="3"/>
  <c r="P968" i="3"/>
  <c r="A969" i="3"/>
  <c r="B969" i="3"/>
  <c r="C969" i="3"/>
  <c r="D969" i="3"/>
  <c r="E969" i="3"/>
  <c r="F969" i="3"/>
  <c r="G969" i="3"/>
  <c r="H969" i="3"/>
  <c r="I969" i="3"/>
  <c r="J969" i="3"/>
  <c r="K969" i="3"/>
  <c r="L969" i="3"/>
  <c r="M969" i="3"/>
  <c r="N969" i="3"/>
  <c r="O969" i="3"/>
  <c r="P969" i="3"/>
  <c r="A970" i="3"/>
  <c r="B970" i="3"/>
  <c r="C970" i="3"/>
  <c r="D970" i="3"/>
  <c r="E970" i="3"/>
  <c r="F970" i="3"/>
  <c r="G970" i="3"/>
  <c r="H970" i="3"/>
  <c r="I970" i="3"/>
  <c r="J970" i="3"/>
  <c r="K970" i="3"/>
  <c r="L970" i="3"/>
  <c r="M970" i="3"/>
  <c r="N970" i="3"/>
  <c r="O970" i="3"/>
  <c r="P970" i="3"/>
  <c r="A971" i="3"/>
  <c r="B971" i="3"/>
  <c r="C971" i="3"/>
  <c r="D971" i="3"/>
  <c r="E971" i="3"/>
  <c r="F971" i="3"/>
  <c r="G971" i="3"/>
  <c r="H971" i="3"/>
  <c r="I971" i="3"/>
  <c r="J971" i="3"/>
  <c r="K971" i="3"/>
  <c r="L971" i="3"/>
  <c r="M971" i="3"/>
  <c r="N971" i="3"/>
  <c r="O971" i="3"/>
  <c r="P971" i="3"/>
  <c r="A972" i="3"/>
  <c r="B972" i="3"/>
  <c r="C972" i="3"/>
  <c r="D972" i="3"/>
  <c r="E972" i="3"/>
  <c r="F972" i="3"/>
  <c r="G972" i="3"/>
  <c r="H972" i="3"/>
  <c r="I972" i="3"/>
  <c r="J972" i="3"/>
  <c r="K972" i="3"/>
  <c r="L972" i="3"/>
  <c r="M972" i="3"/>
  <c r="N972" i="3"/>
  <c r="O972" i="3"/>
  <c r="P972" i="3"/>
  <c r="A973" i="3"/>
  <c r="B973" i="3"/>
  <c r="C973" i="3"/>
  <c r="E973" i="3"/>
  <c r="G973" i="3"/>
  <c r="H973" i="3"/>
  <c r="J973" i="3"/>
  <c r="K973" i="3"/>
  <c r="L973" i="3"/>
  <c r="M973" i="3"/>
  <c r="O973" i="3"/>
  <c r="P973" i="3"/>
  <c r="A974" i="3"/>
  <c r="B974" i="3"/>
  <c r="C974" i="3"/>
  <c r="E974" i="3"/>
  <c r="G974" i="3"/>
  <c r="H974" i="3"/>
  <c r="J974" i="3"/>
  <c r="K974" i="3"/>
  <c r="L974" i="3"/>
  <c r="M974" i="3"/>
  <c r="O974" i="3"/>
  <c r="P974" i="3"/>
  <c r="A975" i="3"/>
  <c r="B975" i="3"/>
  <c r="C975" i="3"/>
  <c r="E975" i="3"/>
  <c r="G975" i="3"/>
  <c r="H975" i="3"/>
  <c r="J975" i="3"/>
  <c r="K975" i="3"/>
  <c r="L975" i="3"/>
  <c r="M975" i="3"/>
  <c r="O975" i="3"/>
  <c r="P975" i="3"/>
  <c r="A976" i="3"/>
  <c r="B976" i="3"/>
  <c r="C976" i="3"/>
  <c r="E976" i="3"/>
  <c r="G976" i="3"/>
  <c r="H976" i="3"/>
  <c r="J976" i="3"/>
  <c r="K976" i="3"/>
  <c r="L976" i="3"/>
  <c r="M976" i="3"/>
  <c r="O976" i="3"/>
  <c r="P976" i="3"/>
  <c r="A977" i="3"/>
  <c r="B977" i="3"/>
  <c r="C977" i="3"/>
  <c r="E977" i="3"/>
  <c r="F977" i="3"/>
  <c r="G977" i="3"/>
  <c r="H977" i="3"/>
  <c r="J977" i="3"/>
  <c r="K977" i="3"/>
  <c r="L977" i="3"/>
  <c r="M977" i="3"/>
  <c r="O977" i="3"/>
  <c r="P977" i="3"/>
  <c r="A978" i="3"/>
  <c r="B978" i="3"/>
  <c r="C978" i="3"/>
  <c r="E978" i="3"/>
  <c r="F978" i="3"/>
  <c r="G978" i="3"/>
  <c r="H978" i="3"/>
  <c r="J978" i="3"/>
  <c r="K978" i="3"/>
  <c r="L978" i="3"/>
  <c r="M978" i="3"/>
  <c r="O978" i="3"/>
  <c r="P978" i="3"/>
  <c r="A979" i="3"/>
  <c r="B979" i="3"/>
  <c r="C979" i="3"/>
  <c r="E979" i="3"/>
  <c r="F979" i="3"/>
  <c r="G979" i="3"/>
  <c r="H979" i="3"/>
  <c r="J979" i="3"/>
  <c r="K979" i="3"/>
  <c r="L979" i="3"/>
  <c r="M979" i="3"/>
  <c r="O979" i="3"/>
  <c r="P979" i="3"/>
  <c r="A980" i="3"/>
  <c r="B980" i="3"/>
  <c r="C980" i="3"/>
  <c r="E980" i="3"/>
  <c r="G980" i="3"/>
  <c r="J980" i="3"/>
  <c r="K980" i="3"/>
  <c r="M980" i="3"/>
  <c r="A981" i="3"/>
  <c r="B981" i="3"/>
  <c r="C981" i="3"/>
  <c r="E981" i="3"/>
  <c r="G981" i="3"/>
  <c r="J981" i="3"/>
  <c r="K981" i="3"/>
  <c r="M981" i="3"/>
  <c r="A982" i="3"/>
  <c r="B982" i="3"/>
  <c r="C982" i="3"/>
  <c r="E982" i="3"/>
  <c r="F982" i="3"/>
  <c r="G982" i="3"/>
  <c r="J982" i="3"/>
  <c r="K982" i="3"/>
  <c r="L982" i="3"/>
  <c r="M982" i="3"/>
  <c r="O982" i="3"/>
  <c r="P982" i="3"/>
  <c r="A983" i="3"/>
  <c r="B983" i="3"/>
  <c r="C983" i="3"/>
  <c r="E983" i="3"/>
  <c r="F983" i="3"/>
  <c r="G983" i="3"/>
  <c r="J983" i="3"/>
  <c r="K983" i="3"/>
  <c r="L983" i="3"/>
  <c r="M983" i="3"/>
  <c r="O983" i="3"/>
  <c r="P983" i="3"/>
  <c r="A984" i="3"/>
  <c r="B984" i="3"/>
  <c r="C984" i="3"/>
  <c r="E984" i="3"/>
  <c r="F984" i="3"/>
  <c r="G984" i="3"/>
  <c r="J984" i="3"/>
  <c r="K984" i="3"/>
  <c r="L984" i="3"/>
  <c r="M984" i="3"/>
  <c r="O984" i="3"/>
  <c r="P984" i="3"/>
  <c r="A985" i="3"/>
  <c r="B985" i="3"/>
  <c r="C985" i="3"/>
  <c r="E985" i="3"/>
  <c r="F985" i="3"/>
  <c r="G985" i="3"/>
  <c r="J985" i="3"/>
  <c r="K985" i="3"/>
  <c r="L985" i="3"/>
  <c r="M985" i="3"/>
  <c r="O985" i="3"/>
  <c r="P985" i="3"/>
  <c r="A986" i="3"/>
  <c r="B986" i="3"/>
  <c r="C986" i="3"/>
  <c r="E986" i="3"/>
  <c r="F986" i="3"/>
  <c r="G986" i="3"/>
  <c r="H986" i="3"/>
  <c r="J986" i="3"/>
  <c r="K986" i="3"/>
  <c r="L986" i="3"/>
  <c r="M986" i="3"/>
  <c r="O986" i="3"/>
  <c r="P986" i="3"/>
  <c r="A987" i="3"/>
  <c r="B987" i="3"/>
  <c r="C987" i="3"/>
  <c r="E987" i="3"/>
  <c r="F987" i="3"/>
  <c r="G987" i="3"/>
  <c r="H987" i="3"/>
  <c r="J987" i="3"/>
  <c r="K987" i="3"/>
  <c r="L987" i="3"/>
  <c r="M987" i="3"/>
  <c r="O987" i="3"/>
  <c r="P987" i="3"/>
  <c r="A988" i="3"/>
  <c r="B988" i="3"/>
  <c r="C988" i="3"/>
  <c r="E988" i="3"/>
  <c r="G988" i="3"/>
  <c r="J988" i="3"/>
  <c r="K988" i="3"/>
  <c r="L988" i="3"/>
  <c r="M988" i="3"/>
  <c r="O988" i="3"/>
  <c r="P988" i="3"/>
  <c r="A989" i="3"/>
  <c r="B989" i="3"/>
  <c r="C989" i="3"/>
  <c r="E989" i="3"/>
  <c r="G989" i="3"/>
  <c r="J989" i="3"/>
  <c r="K989" i="3"/>
  <c r="M989" i="3"/>
  <c r="O989" i="3"/>
  <c r="P989" i="3"/>
  <c r="A990" i="3"/>
  <c r="B990" i="3"/>
  <c r="C990" i="3"/>
  <c r="E990" i="3"/>
  <c r="F990" i="3"/>
  <c r="G990" i="3"/>
  <c r="H990" i="3"/>
  <c r="J990" i="3"/>
  <c r="K990" i="3"/>
  <c r="L990" i="3"/>
  <c r="M990" i="3"/>
  <c r="O990" i="3"/>
  <c r="P990" i="3"/>
  <c r="A991" i="3"/>
  <c r="B991" i="3"/>
  <c r="C991" i="3"/>
  <c r="E991" i="3"/>
  <c r="F991" i="3"/>
  <c r="G991" i="3"/>
  <c r="H991" i="3"/>
  <c r="J991" i="3"/>
  <c r="K991" i="3"/>
  <c r="L991" i="3"/>
  <c r="M991" i="3"/>
  <c r="O991" i="3"/>
  <c r="P991" i="3"/>
  <c r="A992" i="3"/>
  <c r="B992" i="3"/>
  <c r="C992" i="3"/>
  <c r="E992" i="3"/>
  <c r="F992" i="3"/>
  <c r="G992" i="3"/>
  <c r="H992" i="3"/>
  <c r="J992" i="3"/>
  <c r="K992" i="3"/>
  <c r="L992" i="3"/>
  <c r="M992" i="3"/>
  <c r="O992" i="3"/>
  <c r="P992" i="3"/>
  <c r="A993" i="3"/>
  <c r="B993" i="3"/>
  <c r="C993" i="3"/>
  <c r="D993" i="3"/>
  <c r="E993" i="3"/>
  <c r="F993" i="3"/>
  <c r="G993" i="3"/>
  <c r="H993" i="3"/>
  <c r="I993" i="3"/>
  <c r="J993" i="3"/>
  <c r="K993" i="3"/>
  <c r="L993" i="3"/>
  <c r="M993" i="3"/>
  <c r="N993" i="3"/>
  <c r="O993" i="3"/>
  <c r="P993" i="3"/>
  <c r="A994" i="3"/>
  <c r="B994" i="3"/>
  <c r="C994" i="3"/>
  <c r="D994" i="3"/>
  <c r="E994" i="3"/>
  <c r="F994" i="3"/>
  <c r="G994" i="3"/>
  <c r="H994" i="3"/>
  <c r="I994" i="3"/>
  <c r="J994" i="3"/>
  <c r="K994" i="3"/>
  <c r="L994" i="3"/>
  <c r="M994" i="3"/>
  <c r="N994" i="3"/>
  <c r="O994" i="3"/>
  <c r="P994" i="3"/>
  <c r="A995" i="3"/>
  <c r="B995" i="3"/>
  <c r="C995" i="3"/>
  <c r="D995" i="3"/>
  <c r="E995" i="3"/>
  <c r="F995" i="3"/>
  <c r="G995" i="3"/>
  <c r="H995" i="3"/>
  <c r="I995" i="3"/>
  <c r="J995" i="3"/>
  <c r="K995" i="3"/>
  <c r="L995" i="3"/>
  <c r="M995" i="3"/>
  <c r="N995" i="3"/>
  <c r="O995" i="3"/>
  <c r="P995" i="3"/>
  <c r="A996" i="3"/>
  <c r="B996" i="3"/>
  <c r="C996" i="3"/>
  <c r="D996" i="3"/>
  <c r="E996" i="3"/>
  <c r="F996" i="3"/>
  <c r="G996" i="3"/>
  <c r="H996" i="3"/>
  <c r="I996" i="3"/>
  <c r="J996" i="3"/>
  <c r="K996" i="3"/>
  <c r="L996" i="3"/>
  <c r="M996" i="3"/>
  <c r="N996" i="3"/>
  <c r="O996" i="3"/>
  <c r="P996" i="3"/>
  <c r="A997" i="3"/>
  <c r="B997" i="3"/>
  <c r="C997" i="3"/>
  <c r="D997" i="3"/>
  <c r="E997" i="3"/>
  <c r="F997" i="3"/>
  <c r="G997" i="3"/>
  <c r="H997" i="3"/>
  <c r="I997" i="3"/>
  <c r="J997" i="3"/>
  <c r="K997" i="3"/>
  <c r="L997" i="3"/>
  <c r="M997" i="3"/>
  <c r="N997" i="3"/>
  <c r="O997" i="3"/>
  <c r="P997" i="3"/>
  <c r="A998" i="3"/>
  <c r="B998" i="3"/>
  <c r="C998" i="3"/>
  <c r="D998" i="3"/>
  <c r="E998" i="3"/>
  <c r="F998" i="3"/>
  <c r="G998" i="3"/>
  <c r="H998" i="3"/>
  <c r="I998" i="3"/>
  <c r="J998" i="3"/>
  <c r="K998" i="3"/>
  <c r="L998" i="3"/>
  <c r="M998" i="3"/>
  <c r="N998" i="3"/>
  <c r="O998" i="3"/>
  <c r="P998" i="3"/>
  <c r="A999" i="3"/>
  <c r="B999" i="3"/>
  <c r="C999" i="3"/>
  <c r="D999" i="3"/>
  <c r="E999" i="3"/>
  <c r="F999" i="3"/>
  <c r="G999" i="3"/>
  <c r="H999" i="3"/>
  <c r="I999" i="3"/>
  <c r="J999" i="3"/>
  <c r="K999" i="3"/>
  <c r="L999" i="3"/>
  <c r="M999" i="3"/>
  <c r="N999" i="3"/>
  <c r="O999" i="3"/>
  <c r="P999" i="3"/>
  <c r="A1000" i="3"/>
  <c r="B1000" i="3"/>
  <c r="C1000" i="3"/>
  <c r="D1000" i="3"/>
  <c r="E1000" i="3"/>
  <c r="F1000" i="3"/>
  <c r="G1000" i="3"/>
  <c r="H1000" i="3"/>
  <c r="I1000" i="3"/>
  <c r="J1000" i="3"/>
  <c r="K1000" i="3"/>
  <c r="L1000" i="3"/>
  <c r="M1000" i="3"/>
  <c r="N1000" i="3"/>
  <c r="O1000" i="3"/>
  <c r="P1000" i="3"/>
  <c r="A1001" i="3"/>
  <c r="B1001" i="3"/>
  <c r="C1001" i="3"/>
  <c r="E1001" i="3"/>
  <c r="G1001" i="3"/>
  <c r="J1001" i="3"/>
  <c r="K1001" i="3"/>
  <c r="M1001" i="3"/>
  <c r="A1002" i="3"/>
  <c r="B1002" i="3"/>
  <c r="C1002" i="3"/>
  <c r="E1002" i="3"/>
  <c r="G1002" i="3"/>
  <c r="H1002" i="3"/>
  <c r="J1002" i="3"/>
  <c r="K1002" i="3"/>
  <c r="L1002" i="3"/>
  <c r="M1002" i="3"/>
  <c r="O1002" i="3"/>
  <c r="P1002" i="3"/>
  <c r="A1003" i="3"/>
  <c r="B1003" i="3"/>
  <c r="C1003" i="3"/>
  <c r="E1003" i="3"/>
  <c r="G1003" i="3"/>
  <c r="J1003" i="3"/>
  <c r="K1003" i="3"/>
  <c r="M1003" i="3"/>
  <c r="A1004" i="3"/>
  <c r="B1004" i="3"/>
  <c r="C1004" i="3"/>
  <c r="E1004" i="3"/>
  <c r="G1004" i="3"/>
  <c r="J1004" i="3"/>
  <c r="K1004" i="3"/>
  <c r="M1004" i="3"/>
  <c r="A1005" i="3"/>
  <c r="B1005" i="3"/>
  <c r="C1005" i="3"/>
  <c r="E1005" i="3"/>
  <c r="G1005" i="3"/>
  <c r="J1005" i="3"/>
  <c r="K1005" i="3"/>
  <c r="M1005" i="3"/>
  <c r="A1006" i="3"/>
  <c r="B1006" i="3"/>
  <c r="C1006" i="3"/>
  <c r="E1006" i="3"/>
  <c r="G1006" i="3"/>
  <c r="J1006" i="3"/>
  <c r="K1006" i="3"/>
  <c r="M1006" i="3"/>
  <c r="A1007" i="3"/>
  <c r="B1007" i="3"/>
  <c r="C1007" i="3"/>
  <c r="E1007" i="3"/>
  <c r="G1007" i="3"/>
  <c r="J1007" i="3"/>
  <c r="K1007" i="3"/>
  <c r="M1007" i="3"/>
  <c r="A1008" i="3"/>
  <c r="B1008" i="3"/>
  <c r="C1008" i="3"/>
  <c r="E1008" i="3"/>
  <c r="G1008" i="3"/>
  <c r="J1008" i="3"/>
  <c r="K1008" i="3"/>
  <c r="M1008" i="3"/>
  <c r="A1009" i="3"/>
  <c r="B1009" i="3"/>
  <c r="C1009" i="3"/>
  <c r="E1009" i="3"/>
  <c r="G1009" i="3"/>
  <c r="J1009" i="3"/>
  <c r="K1009" i="3"/>
  <c r="M1009" i="3"/>
  <c r="A1010" i="3"/>
  <c r="B1010" i="3"/>
  <c r="C1010" i="3"/>
  <c r="E1010" i="3"/>
  <c r="G1010" i="3"/>
  <c r="J1010" i="3"/>
  <c r="K1010" i="3"/>
  <c r="M1010" i="3"/>
  <c r="A1011" i="3"/>
  <c r="B1011" i="3"/>
  <c r="C1011" i="3"/>
  <c r="E1011" i="3"/>
  <c r="G1011" i="3"/>
  <c r="J1011" i="3"/>
  <c r="K1011" i="3"/>
  <c r="M1011" i="3"/>
  <c r="A1012" i="3"/>
  <c r="B1012" i="3"/>
  <c r="C1012" i="3"/>
  <c r="E1012" i="3"/>
  <c r="G1012" i="3"/>
  <c r="J1012" i="3"/>
  <c r="K1012" i="3"/>
  <c r="M1012" i="3"/>
  <c r="A1013" i="3"/>
  <c r="B1013" i="3"/>
  <c r="C1013" i="3"/>
  <c r="E1013" i="3"/>
  <c r="G1013" i="3"/>
  <c r="J1013" i="3"/>
  <c r="K1013" i="3"/>
  <c r="M1013" i="3"/>
  <c r="A1014" i="3"/>
  <c r="B1014" i="3"/>
  <c r="C1014" i="3"/>
  <c r="E1014" i="3"/>
  <c r="G1014" i="3"/>
  <c r="J1014" i="3"/>
  <c r="K1014" i="3"/>
  <c r="M1014" i="3"/>
  <c r="A1015" i="3"/>
  <c r="B1015" i="3"/>
  <c r="C1015" i="3"/>
  <c r="E1015" i="3"/>
  <c r="G1015" i="3"/>
  <c r="J1015" i="3"/>
  <c r="K1015" i="3"/>
  <c r="M1015" i="3"/>
  <c r="A1016" i="3"/>
  <c r="B1016" i="3"/>
  <c r="C1016" i="3"/>
  <c r="E1016" i="3"/>
  <c r="G1016" i="3"/>
  <c r="J1016" i="3"/>
  <c r="K1016" i="3"/>
  <c r="M1016" i="3"/>
  <c r="A1017" i="3"/>
  <c r="B1017" i="3"/>
  <c r="C1017" i="3"/>
  <c r="E1017" i="3"/>
  <c r="G1017" i="3"/>
  <c r="J1017" i="3"/>
  <c r="K1017" i="3"/>
  <c r="M1017" i="3"/>
  <c r="A1018" i="3"/>
  <c r="B1018" i="3"/>
  <c r="C1018" i="3"/>
  <c r="E1018" i="3"/>
  <c r="G1018" i="3"/>
  <c r="J1018" i="3"/>
  <c r="K1018" i="3"/>
  <c r="M1018" i="3"/>
  <c r="A1019" i="3"/>
  <c r="B1019" i="3"/>
  <c r="C1019" i="3"/>
  <c r="E1019" i="3"/>
  <c r="G1019" i="3"/>
  <c r="J1019" i="3"/>
  <c r="K1019" i="3"/>
  <c r="M1019" i="3"/>
  <c r="A1020" i="3"/>
  <c r="B1020" i="3"/>
  <c r="C1020" i="3"/>
  <c r="E1020" i="3"/>
  <c r="G1020" i="3"/>
  <c r="J1020" i="3"/>
  <c r="K1020" i="3"/>
  <c r="M1020" i="3"/>
  <c r="A1021" i="3"/>
  <c r="B1021" i="3"/>
  <c r="C1021" i="3"/>
  <c r="E1021" i="3"/>
  <c r="G1021" i="3"/>
  <c r="H1021" i="3"/>
  <c r="J1021" i="3"/>
  <c r="K1021" i="3"/>
  <c r="L1021" i="3"/>
  <c r="M1021" i="3"/>
  <c r="O1021" i="3"/>
  <c r="P1021" i="3"/>
  <c r="A1022" i="3"/>
  <c r="B1022" i="3"/>
  <c r="C1022" i="3"/>
  <c r="E1022" i="3"/>
  <c r="F1022" i="3"/>
  <c r="G1022" i="3"/>
  <c r="H1022" i="3"/>
  <c r="J1022" i="3"/>
  <c r="K1022" i="3"/>
  <c r="L1022" i="3"/>
  <c r="M1022" i="3"/>
  <c r="A1023" i="3"/>
  <c r="B1023" i="3"/>
  <c r="C1023" i="3"/>
  <c r="E1023" i="3"/>
  <c r="F1023" i="3"/>
  <c r="G1023" i="3"/>
  <c r="H1023" i="3"/>
  <c r="J1023" i="3"/>
  <c r="K1023" i="3"/>
  <c r="L1023" i="3"/>
  <c r="M1023" i="3"/>
  <c r="A1024" i="3"/>
  <c r="B1024" i="3"/>
  <c r="C1024" i="3"/>
  <c r="E1024" i="3"/>
  <c r="F1024" i="3"/>
  <c r="G1024" i="3"/>
  <c r="H1024" i="3"/>
  <c r="J1024" i="3"/>
  <c r="K1024" i="3"/>
  <c r="L1024" i="3"/>
  <c r="M1024" i="3"/>
  <c r="A1025" i="3"/>
  <c r="B1025" i="3"/>
  <c r="C1025" i="3"/>
  <c r="E1025" i="3"/>
  <c r="F1025" i="3"/>
  <c r="G1025" i="3"/>
  <c r="H1025" i="3"/>
  <c r="J1025" i="3"/>
  <c r="K1025" i="3"/>
  <c r="L1025" i="3"/>
  <c r="M1025" i="3"/>
  <c r="A1026" i="3"/>
  <c r="B1026" i="3"/>
  <c r="C1026" i="3"/>
  <c r="E1026" i="3"/>
  <c r="G1026" i="3"/>
  <c r="J1026" i="3"/>
  <c r="K1026" i="3"/>
  <c r="M1026" i="3"/>
  <c r="A1027" i="3"/>
  <c r="B1027" i="3"/>
  <c r="C1027" i="3"/>
  <c r="E1027" i="3"/>
  <c r="G1027" i="3"/>
  <c r="J1027" i="3"/>
  <c r="K1027" i="3"/>
  <c r="M1027" i="3"/>
  <c r="A1028" i="3"/>
  <c r="B1028" i="3"/>
  <c r="C1028" i="3"/>
  <c r="E1028" i="3"/>
  <c r="G1028" i="3"/>
  <c r="J1028" i="3"/>
  <c r="K1028" i="3"/>
  <c r="M1028" i="3"/>
  <c r="A1029" i="3"/>
  <c r="B1029" i="3"/>
  <c r="C1029" i="3"/>
  <c r="E1029" i="3"/>
  <c r="G1029" i="3"/>
  <c r="J1029" i="3"/>
  <c r="K1029" i="3"/>
  <c r="M1029" i="3"/>
  <c r="A1030" i="3"/>
  <c r="B1030" i="3"/>
  <c r="C1030" i="3"/>
  <c r="N149" i="1"/>
  <c r="I149" i="1" s="1"/>
  <c r="I1030" i="3" s="1"/>
  <c r="E1030" i="3"/>
  <c r="G1030" i="3"/>
  <c r="H1030" i="3"/>
  <c r="J1030" i="3"/>
  <c r="K1030" i="3"/>
  <c r="L1030" i="3"/>
  <c r="M1030" i="3"/>
  <c r="O1030" i="3"/>
  <c r="P1030" i="3"/>
  <c r="A1031" i="3"/>
  <c r="B1031" i="3"/>
  <c r="C1031" i="3"/>
  <c r="E1031" i="3"/>
  <c r="G1031" i="3"/>
  <c r="H1031" i="3"/>
  <c r="J1031" i="3"/>
  <c r="K1031" i="3"/>
  <c r="L1031" i="3"/>
  <c r="M1031" i="3"/>
  <c r="A1032" i="3"/>
  <c r="B1032" i="3"/>
  <c r="C1032" i="3"/>
  <c r="N151" i="1"/>
  <c r="I151" i="1" s="1"/>
  <c r="I1032" i="3" s="1"/>
  <c r="E1032" i="3"/>
  <c r="F1032" i="3"/>
  <c r="G1032" i="3"/>
  <c r="J1032" i="3"/>
  <c r="K1032" i="3"/>
  <c r="L1032" i="3"/>
  <c r="M1032" i="3"/>
  <c r="N1032" i="3"/>
  <c r="O1032" i="3"/>
  <c r="P1032" i="3"/>
  <c r="A1033" i="3"/>
  <c r="B1033" i="3"/>
  <c r="C1033" i="3"/>
  <c r="E1033" i="3"/>
  <c r="G1033" i="3"/>
  <c r="J1033" i="3"/>
  <c r="K1033" i="3"/>
  <c r="M1033" i="3"/>
  <c r="A1034" i="3"/>
  <c r="B1034" i="3"/>
  <c r="C1034" i="3"/>
  <c r="E1034" i="3"/>
  <c r="G1034" i="3"/>
  <c r="J1034" i="3"/>
  <c r="K1034" i="3"/>
  <c r="M1034" i="3"/>
  <c r="A1035" i="3"/>
  <c r="B1035" i="3"/>
  <c r="C1035" i="3"/>
  <c r="E1035" i="3"/>
  <c r="G1035" i="3"/>
  <c r="J1035" i="3"/>
  <c r="K1035" i="3"/>
  <c r="M1035" i="3"/>
  <c r="A1036" i="3"/>
  <c r="B1036" i="3"/>
  <c r="C1036" i="3"/>
  <c r="E1036" i="3"/>
  <c r="G1036" i="3"/>
  <c r="J1036" i="3"/>
  <c r="K1036" i="3"/>
  <c r="M1036" i="3"/>
  <c r="A1037" i="3"/>
  <c r="B1037" i="3"/>
  <c r="C1037" i="3"/>
  <c r="E1037" i="3"/>
  <c r="G1037" i="3"/>
  <c r="J1037" i="3"/>
  <c r="K1037" i="3"/>
  <c r="M1037" i="3"/>
  <c r="A1038" i="3"/>
  <c r="B1038" i="3"/>
  <c r="C1038" i="3"/>
  <c r="E1038" i="3"/>
  <c r="G1038" i="3"/>
  <c r="J1038" i="3"/>
  <c r="K1038" i="3"/>
  <c r="M1038" i="3"/>
  <c r="A1039" i="3"/>
  <c r="B1039" i="3"/>
  <c r="C1039" i="3"/>
  <c r="E1039" i="3"/>
  <c r="G1039" i="3"/>
  <c r="J1039" i="3"/>
  <c r="K1039" i="3"/>
  <c r="M1039" i="3"/>
  <c r="A1040" i="3"/>
  <c r="B1040" i="3"/>
  <c r="C1040" i="3"/>
  <c r="E1040" i="3"/>
  <c r="G1040" i="3"/>
  <c r="J1040" i="3"/>
  <c r="K1040" i="3"/>
  <c r="M1040" i="3"/>
  <c r="A1041" i="3"/>
  <c r="B1041" i="3"/>
  <c r="C1041" i="3"/>
  <c r="E1041" i="3"/>
  <c r="G1041" i="3"/>
  <c r="J1041" i="3"/>
  <c r="K1041" i="3"/>
  <c r="M1041" i="3"/>
  <c r="A1042" i="3"/>
  <c r="B1042" i="3"/>
  <c r="C1042" i="3"/>
  <c r="E1042" i="3"/>
  <c r="G1042" i="3"/>
  <c r="J1042" i="3"/>
  <c r="K1042" i="3"/>
  <c r="M1042" i="3"/>
  <c r="A1043" i="3"/>
  <c r="B1043" i="3"/>
  <c r="C1043" i="3"/>
  <c r="E1043" i="3"/>
  <c r="G1043" i="3"/>
  <c r="J1043" i="3"/>
  <c r="K1043" i="3"/>
  <c r="M1043" i="3"/>
  <c r="A1044" i="3"/>
  <c r="B1044" i="3"/>
  <c r="C1044" i="3"/>
  <c r="E1044" i="3"/>
  <c r="G1044" i="3"/>
  <c r="J1044" i="3"/>
  <c r="K1044" i="3"/>
  <c r="M1044" i="3"/>
  <c r="A1045" i="3"/>
  <c r="B1045" i="3"/>
  <c r="C1045" i="3"/>
  <c r="D1045" i="3"/>
  <c r="E1045" i="3"/>
  <c r="F1045" i="3"/>
  <c r="G1045" i="3"/>
  <c r="H1045" i="3"/>
  <c r="I1045" i="3"/>
  <c r="J1045" i="3"/>
  <c r="K1045" i="3"/>
  <c r="L1045" i="3"/>
  <c r="M1045" i="3"/>
  <c r="N1045" i="3"/>
  <c r="O1045" i="3"/>
  <c r="P1045" i="3"/>
  <c r="A1046" i="3"/>
  <c r="B1046" i="3"/>
  <c r="C1046" i="3"/>
  <c r="D1046" i="3"/>
  <c r="E1046" i="3"/>
  <c r="F1046" i="3"/>
  <c r="G1046" i="3"/>
  <c r="H1046" i="3"/>
  <c r="I1046" i="3"/>
  <c r="J1046" i="3"/>
  <c r="K1046" i="3"/>
  <c r="L1046" i="3"/>
  <c r="M1046" i="3"/>
  <c r="N1046" i="3"/>
  <c r="O1046" i="3"/>
  <c r="P1046" i="3"/>
  <c r="A1047" i="3"/>
  <c r="B1047" i="3"/>
  <c r="C1047" i="3"/>
  <c r="D1047" i="3"/>
  <c r="E1047" i="3"/>
  <c r="F1047" i="3"/>
  <c r="G1047" i="3"/>
  <c r="H1047" i="3"/>
  <c r="I1047" i="3"/>
  <c r="J1047" i="3"/>
  <c r="K1047" i="3"/>
  <c r="L1047" i="3"/>
  <c r="M1047" i="3"/>
  <c r="N1047" i="3"/>
  <c r="O1047" i="3"/>
  <c r="P1047" i="3"/>
  <c r="A1048" i="3"/>
  <c r="B1048" i="3"/>
  <c r="C1048" i="3"/>
  <c r="E1048" i="3"/>
  <c r="G1048" i="3"/>
  <c r="J1048" i="3"/>
  <c r="K1048" i="3"/>
  <c r="M1048" i="3"/>
  <c r="A1049" i="3"/>
  <c r="B1049" i="3"/>
  <c r="C1049" i="3"/>
  <c r="E1049" i="3"/>
  <c r="F1049" i="3"/>
  <c r="G1049" i="3"/>
  <c r="H1049" i="3"/>
  <c r="J1049" i="3"/>
  <c r="K1049" i="3"/>
  <c r="L1049" i="3"/>
  <c r="M1049" i="3"/>
  <c r="A1050" i="3"/>
  <c r="B1050" i="3"/>
  <c r="C1050" i="3"/>
  <c r="E1050" i="3"/>
  <c r="F1050" i="3"/>
  <c r="G1050" i="3"/>
  <c r="J1050" i="3"/>
  <c r="K1050" i="3"/>
  <c r="L1050" i="3"/>
  <c r="M1050" i="3"/>
  <c r="O1050" i="3"/>
  <c r="P1050" i="3"/>
  <c r="A1051" i="3"/>
  <c r="B1051" i="3"/>
  <c r="C1051" i="3"/>
  <c r="E1051" i="3"/>
  <c r="G1051" i="3"/>
  <c r="J1051" i="3"/>
  <c r="K1051" i="3"/>
  <c r="M1051" i="3"/>
  <c r="A1052" i="3"/>
  <c r="B1052" i="3"/>
  <c r="C1052" i="3"/>
  <c r="E1052" i="3"/>
  <c r="F1052" i="3"/>
  <c r="G1052" i="3"/>
  <c r="H1052" i="3"/>
  <c r="J1052" i="3"/>
  <c r="K1052" i="3"/>
  <c r="L1052" i="3"/>
  <c r="M1052" i="3"/>
  <c r="O1052" i="3"/>
  <c r="P1052" i="3"/>
  <c r="A1053" i="3"/>
  <c r="B1053" i="3"/>
  <c r="C1053" i="3"/>
  <c r="N172" i="1"/>
  <c r="N1053" i="3" s="1"/>
  <c r="E1053" i="3"/>
  <c r="G1053" i="3"/>
  <c r="J1053" i="3"/>
  <c r="K1053" i="3"/>
  <c r="M1053" i="3"/>
  <c r="O1053" i="3"/>
  <c r="P1053" i="3"/>
  <c r="A1054" i="3"/>
  <c r="B1054" i="3"/>
  <c r="C1054" i="3"/>
  <c r="E1054" i="3"/>
  <c r="G1054" i="3"/>
  <c r="J1054" i="3"/>
  <c r="K1054" i="3"/>
  <c r="M1054" i="3"/>
  <c r="A1055" i="3"/>
  <c r="B1055" i="3"/>
  <c r="C1055" i="3"/>
  <c r="E1055" i="3"/>
  <c r="G1055" i="3"/>
  <c r="J1055" i="3"/>
  <c r="K1055" i="3"/>
  <c r="M1055" i="3"/>
  <c r="A1056" i="3"/>
  <c r="B1056" i="3"/>
  <c r="C1056" i="3"/>
  <c r="E1056" i="3"/>
  <c r="G1056" i="3"/>
  <c r="J1056" i="3"/>
  <c r="K1056" i="3"/>
  <c r="M1056" i="3"/>
  <c r="A1057" i="3"/>
  <c r="B1057" i="3"/>
  <c r="C1057" i="3"/>
  <c r="E1057" i="3"/>
  <c r="G1057" i="3"/>
  <c r="J1057" i="3"/>
  <c r="K1057" i="3"/>
  <c r="M1057" i="3"/>
  <c r="A1058" i="3"/>
  <c r="B1058" i="3"/>
  <c r="C1058" i="3"/>
  <c r="E1058" i="3"/>
  <c r="G1058" i="3"/>
  <c r="J1058" i="3"/>
  <c r="K1058" i="3"/>
  <c r="M1058" i="3"/>
  <c r="A1059" i="3"/>
  <c r="B1059" i="3"/>
  <c r="C1059" i="3"/>
  <c r="E1059" i="3"/>
  <c r="G1059" i="3"/>
  <c r="J1059" i="3"/>
  <c r="K1059" i="3"/>
  <c r="M1059" i="3"/>
  <c r="A1060" i="3"/>
  <c r="B1060" i="3"/>
  <c r="C1060" i="3"/>
  <c r="E1060" i="3"/>
  <c r="G1060" i="3"/>
  <c r="J1060" i="3"/>
  <c r="K1060" i="3"/>
  <c r="M1060" i="3"/>
  <c r="A1061" i="3"/>
  <c r="B1061" i="3"/>
  <c r="C1061" i="3"/>
  <c r="E1061" i="3"/>
  <c r="G1061" i="3"/>
  <c r="J1061" i="3"/>
  <c r="K1061" i="3"/>
  <c r="M1061" i="3"/>
  <c r="A1062" i="3"/>
  <c r="B1062" i="3"/>
  <c r="C1062" i="3"/>
  <c r="E1062" i="3"/>
  <c r="G1062" i="3"/>
  <c r="J1062" i="3"/>
  <c r="K1062" i="3"/>
  <c r="M1062" i="3"/>
  <c r="A1063" i="3"/>
  <c r="B1063" i="3"/>
  <c r="C1063" i="3"/>
  <c r="E1063" i="3"/>
  <c r="G1063" i="3"/>
  <c r="J1063" i="3"/>
  <c r="K1063" i="3"/>
  <c r="M1063" i="3"/>
  <c r="A1064" i="3"/>
  <c r="B1064" i="3"/>
  <c r="C1064" i="3"/>
  <c r="E1064" i="3"/>
  <c r="G1064" i="3"/>
  <c r="J1064" i="3"/>
  <c r="K1064" i="3"/>
  <c r="M1064" i="3"/>
  <c r="A1065" i="3"/>
  <c r="B1065" i="3"/>
  <c r="C1065" i="3"/>
  <c r="E1065" i="3"/>
  <c r="G1065" i="3"/>
  <c r="J1065" i="3"/>
  <c r="K1065" i="3"/>
  <c r="M1065" i="3"/>
  <c r="A1066" i="3"/>
  <c r="B1066" i="3"/>
  <c r="C1066" i="3"/>
  <c r="E1066" i="3"/>
  <c r="G1066" i="3"/>
  <c r="J1066" i="3"/>
  <c r="K1066" i="3"/>
  <c r="M1066" i="3"/>
  <c r="A1067" i="3"/>
  <c r="B1067" i="3"/>
  <c r="C1067" i="3"/>
  <c r="E1067" i="3"/>
  <c r="G1067" i="3"/>
  <c r="J1067" i="3"/>
  <c r="K1067" i="3"/>
  <c r="M1067" i="3"/>
  <c r="A1068" i="3"/>
  <c r="B1068" i="3"/>
  <c r="C1068" i="3"/>
  <c r="E1068" i="3"/>
  <c r="G1068" i="3"/>
  <c r="J1068" i="3"/>
  <c r="K1068" i="3"/>
  <c r="M1068" i="3"/>
  <c r="A1069" i="3"/>
  <c r="B1069" i="3"/>
  <c r="C1069" i="3"/>
  <c r="E1069" i="3"/>
  <c r="G1069" i="3"/>
  <c r="J1069" i="3"/>
  <c r="K1069" i="3"/>
  <c r="M1069" i="3"/>
  <c r="A1070" i="3"/>
  <c r="B1070" i="3"/>
  <c r="C1070" i="3"/>
  <c r="E1070" i="3"/>
  <c r="G1070" i="3"/>
  <c r="J1070" i="3"/>
  <c r="K1070" i="3"/>
  <c r="M1070" i="3"/>
  <c r="A1071" i="3"/>
  <c r="B1071" i="3"/>
  <c r="C1071" i="3"/>
  <c r="E1071" i="3"/>
  <c r="G1071" i="3"/>
  <c r="J1071" i="3"/>
  <c r="K1071" i="3"/>
  <c r="M1071" i="3"/>
  <c r="A1072" i="3"/>
  <c r="B1072" i="3"/>
  <c r="C1072" i="3"/>
  <c r="E1072" i="3"/>
  <c r="G1072" i="3"/>
  <c r="J1072" i="3"/>
  <c r="K1072" i="3"/>
  <c r="M1072" i="3"/>
  <c r="A1073" i="3"/>
  <c r="B1073" i="3"/>
  <c r="C1073" i="3"/>
  <c r="E1073" i="3"/>
  <c r="G1073" i="3"/>
  <c r="J1073" i="3"/>
  <c r="K1073" i="3"/>
  <c r="M1073" i="3"/>
  <c r="A1074" i="3"/>
  <c r="B1074" i="3"/>
  <c r="C1074" i="3"/>
  <c r="E1074" i="3"/>
  <c r="G1074" i="3"/>
  <c r="J1074" i="3"/>
  <c r="K1074" i="3"/>
  <c r="M1074" i="3"/>
  <c r="A1075" i="3"/>
  <c r="B1075" i="3"/>
  <c r="C1075" i="3"/>
  <c r="E1075" i="3"/>
  <c r="G1075" i="3"/>
  <c r="J1075" i="3"/>
  <c r="K1075" i="3"/>
  <c r="M1075" i="3"/>
  <c r="A1076" i="3"/>
  <c r="B1076" i="3"/>
  <c r="C1076" i="3"/>
  <c r="F195" i="1"/>
  <c r="F1076" i="3" s="1"/>
  <c r="H195" i="1"/>
  <c r="H1076" i="3" s="1"/>
  <c r="L195" i="1"/>
  <c r="L1076" i="3" s="1"/>
  <c r="O195" i="1"/>
  <c r="O443" i="1" s="1"/>
  <c r="O1313" i="3" s="1"/>
  <c r="P195" i="1"/>
  <c r="P1076" i="3" s="1"/>
  <c r="Q195" i="1"/>
  <c r="Q443" i="1" s="1"/>
  <c r="E1076" i="3"/>
  <c r="G1076" i="3"/>
  <c r="J1076" i="3"/>
  <c r="K1076" i="3"/>
  <c r="M1076" i="3"/>
  <c r="A1077" i="3"/>
  <c r="B1077" i="3"/>
  <c r="C1077" i="3"/>
  <c r="E1077" i="3"/>
  <c r="G1077" i="3"/>
  <c r="J1077" i="3"/>
  <c r="K1077" i="3"/>
  <c r="M1077" i="3"/>
  <c r="A1078" i="3"/>
  <c r="B1078" i="3"/>
  <c r="C1078" i="3"/>
  <c r="E1078" i="3"/>
  <c r="G1078" i="3"/>
  <c r="J1078" i="3"/>
  <c r="K1078" i="3"/>
  <c r="M1078" i="3"/>
  <c r="A1079" i="3"/>
  <c r="B1079" i="3"/>
  <c r="C1079" i="3"/>
  <c r="E1079" i="3"/>
  <c r="G1079" i="3"/>
  <c r="J1079" i="3"/>
  <c r="K1079" i="3"/>
  <c r="M1079" i="3"/>
  <c r="A1080" i="3"/>
  <c r="B1080" i="3"/>
  <c r="C1080" i="3"/>
  <c r="F199" i="1"/>
  <c r="F1080" i="3" s="1"/>
  <c r="H199" i="1"/>
  <c r="H1080" i="3" s="1"/>
  <c r="L199" i="1"/>
  <c r="L1080" i="3" s="1"/>
  <c r="O199" i="1"/>
  <c r="O447" i="1" s="1"/>
  <c r="O1317" i="3" s="1"/>
  <c r="P199" i="1"/>
  <c r="P1080" i="3" s="1"/>
  <c r="Q199" i="1"/>
  <c r="Q447" i="1" s="1"/>
  <c r="E1080" i="3"/>
  <c r="G1080" i="3"/>
  <c r="J1080" i="3"/>
  <c r="K1080" i="3"/>
  <c r="M1080" i="3"/>
  <c r="A1081" i="3"/>
  <c r="B1081" i="3"/>
  <c r="C1081" i="3"/>
  <c r="E1081" i="3"/>
  <c r="G1081" i="3"/>
  <c r="J1081" i="3"/>
  <c r="K1081" i="3"/>
  <c r="M1081" i="3"/>
  <c r="A1082" i="3"/>
  <c r="B1082" i="3"/>
  <c r="C1082" i="3"/>
  <c r="E1082" i="3"/>
  <c r="G1082" i="3"/>
  <c r="J1082" i="3"/>
  <c r="K1082" i="3"/>
  <c r="M1082" i="3"/>
  <c r="A1083" i="3"/>
  <c r="B1083" i="3"/>
  <c r="C1083" i="3"/>
  <c r="E1083" i="3"/>
  <c r="G1083" i="3"/>
  <c r="J1083" i="3"/>
  <c r="K1083" i="3"/>
  <c r="M1083" i="3"/>
  <c r="A1084" i="3"/>
  <c r="B1084" i="3"/>
  <c r="C1084" i="3"/>
  <c r="E1084" i="3"/>
  <c r="G1084" i="3"/>
  <c r="J1084" i="3"/>
  <c r="K1084" i="3"/>
  <c r="M1084" i="3"/>
  <c r="A1085" i="3"/>
  <c r="B1085" i="3"/>
  <c r="C1085" i="3"/>
  <c r="E1085" i="3"/>
  <c r="G1085" i="3"/>
  <c r="J1085" i="3"/>
  <c r="K1085" i="3"/>
  <c r="M1085" i="3"/>
  <c r="A1086" i="3"/>
  <c r="B1086" i="3"/>
  <c r="C1086" i="3"/>
  <c r="E1086" i="3"/>
  <c r="G1086" i="3"/>
  <c r="J1086" i="3"/>
  <c r="K1086" i="3"/>
  <c r="M1086" i="3"/>
  <c r="A1087" i="3"/>
  <c r="B1087" i="3"/>
  <c r="C1087" i="3"/>
  <c r="E1087" i="3"/>
  <c r="G1087" i="3"/>
  <c r="J1087" i="3"/>
  <c r="K1087" i="3"/>
  <c r="M1087" i="3"/>
  <c r="A1088" i="3"/>
  <c r="B1088" i="3"/>
  <c r="C1088" i="3"/>
  <c r="D1088" i="3"/>
  <c r="E1088" i="3"/>
  <c r="F1088" i="3"/>
  <c r="G1088" i="3"/>
  <c r="H1088" i="3"/>
  <c r="I1088" i="3"/>
  <c r="J1088" i="3"/>
  <c r="K1088" i="3"/>
  <c r="L1088" i="3"/>
  <c r="M1088" i="3"/>
  <c r="N1088" i="3"/>
  <c r="O1088" i="3"/>
  <c r="P1088" i="3"/>
  <c r="A1089" i="3"/>
  <c r="B1089" i="3"/>
  <c r="C1089" i="3"/>
  <c r="D1089" i="3"/>
  <c r="E1089" i="3"/>
  <c r="F1089" i="3"/>
  <c r="G1089" i="3"/>
  <c r="H1089" i="3"/>
  <c r="I1089" i="3"/>
  <c r="J1089" i="3"/>
  <c r="K1089" i="3"/>
  <c r="L1089" i="3"/>
  <c r="M1089" i="3"/>
  <c r="N1089" i="3"/>
  <c r="O1089" i="3"/>
  <c r="P1089" i="3"/>
  <c r="A1090" i="3"/>
  <c r="B1090" i="3"/>
  <c r="C1090" i="3"/>
  <c r="D1090" i="3"/>
  <c r="E1090" i="3"/>
  <c r="F1090" i="3"/>
  <c r="G1090" i="3"/>
  <c r="H1090" i="3"/>
  <c r="I1090" i="3"/>
  <c r="J1090" i="3"/>
  <c r="K1090" i="3"/>
  <c r="L1090" i="3"/>
  <c r="M1090" i="3"/>
  <c r="N1090" i="3"/>
  <c r="O1090" i="3"/>
  <c r="P1090" i="3"/>
  <c r="A1091" i="3"/>
  <c r="B1091" i="3"/>
  <c r="C1091" i="3"/>
  <c r="E1091" i="3"/>
  <c r="G1091" i="3"/>
  <c r="J1091" i="3"/>
  <c r="K1091" i="3"/>
  <c r="M1091" i="3"/>
  <c r="A1092" i="3"/>
  <c r="B1092" i="3"/>
  <c r="C1092" i="3"/>
  <c r="E1092" i="3"/>
  <c r="G1092" i="3"/>
  <c r="J1092" i="3"/>
  <c r="K1092" i="3"/>
  <c r="M1092" i="3"/>
  <c r="A1093" i="3"/>
  <c r="B1093" i="3"/>
  <c r="C1093" i="3"/>
  <c r="E1093" i="3"/>
  <c r="G1093" i="3"/>
  <c r="J1093" i="3"/>
  <c r="K1093" i="3"/>
  <c r="M1093" i="3"/>
  <c r="A1094" i="3"/>
  <c r="B1094" i="3"/>
  <c r="C1094" i="3"/>
  <c r="E1094" i="3"/>
  <c r="G1094" i="3"/>
  <c r="H1094" i="3"/>
  <c r="J1094" i="3"/>
  <c r="K1094" i="3"/>
  <c r="L1094" i="3"/>
  <c r="M1094" i="3"/>
  <c r="O1094" i="3"/>
  <c r="P1094" i="3"/>
  <c r="A1095" i="3"/>
  <c r="B1095" i="3"/>
  <c r="C1095" i="3"/>
  <c r="E1095" i="3"/>
  <c r="F1095" i="3"/>
  <c r="G1095" i="3"/>
  <c r="J1095" i="3"/>
  <c r="K1095" i="3"/>
  <c r="L1095" i="3"/>
  <c r="M1095" i="3"/>
  <c r="O1095" i="3"/>
  <c r="P1095" i="3"/>
  <c r="A1096" i="3"/>
  <c r="B1096" i="3"/>
  <c r="C1096" i="3"/>
  <c r="N215" i="1"/>
  <c r="I215" i="1" s="1"/>
  <c r="I1096" i="3" s="1"/>
  <c r="E1096" i="3"/>
  <c r="F1096" i="3"/>
  <c r="G1096" i="3"/>
  <c r="H1096" i="3"/>
  <c r="J1096" i="3"/>
  <c r="K1096" i="3"/>
  <c r="L1096" i="3"/>
  <c r="M1096" i="3"/>
  <c r="O1096" i="3"/>
  <c r="P1096" i="3"/>
  <c r="A1097" i="3"/>
  <c r="B1097" i="3"/>
  <c r="C1097" i="3"/>
  <c r="E1097" i="3"/>
  <c r="F1097" i="3"/>
  <c r="G1097" i="3"/>
  <c r="H1097" i="3"/>
  <c r="J1097" i="3"/>
  <c r="K1097" i="3"/>
  <c r="L1097" i="3"/>
  <c r="M1097" i="3"/>
  <c r="A1098" i="3"/>
  <c r="B1098" i="3"/>
  <c r="C1098" i="3"/>
  <c r="E1098" i="3"/>
  <c r="G1098" i="3"/>
  <c r="J1098" i="3"/>
  <c r="K1098" i="3"/>
  <c r="M1098" i="3"/>
  <c r="A1099" i="3"/>
  <c r="B1099" i="3"/>
  <c r="C1099" i="3"/>
  <c r="E1099" i="3"/>
  <c r="G1099" i="3"/>
  <c r="H1099" i="3"/>
  <c r="J1099" i="3"/>
  <c r="K1099" i="3"/>
  <c r="M1099" i="3"/>
  <c r="A1100" i="3"/>
  <c r="B1100" i="3"/>
  <c r="C1100" i="3"/>
  <c r="D1100" i="3"/>
  <c r="E1100" i="3"/>
  <c r="F1100" i="3"/>
  <c r="G1100" i="3"/>
  <c r="H1100" i="3"/>
  <c r="I1100" i="3"/>
  <c r="J1100" i="3"/>
  <c r="K1100" i="3"/>
  <c r="L1100" i="3"/>
  <c r="M1100" i="3"/>
  <c r="N1100" i="3"/>
  <c r="O1100" i="3"/>
  <c r="P1100" i="3"/>
  <c r="A1101" i="3"/>
  <c r="B1101" i="3"/>
  <c r="C1101" i="3"/>
  <c r="D1101" i="3"/>
  <c r="E1101" i="3"/>
  <c r="F1101" i="3"/>
  <c r="G1101" i="3"/>
  <c r="H1101" i="3"/>
  <c r="I1101" i="3"/>
  <c r="J1101" i="3"/>
  <c r="K1101" i="3"/>
  <c r="L1101" i="3"/>
  <c r="M1101" i="3"/>
  <c r="N1101" i="3"/>
  <c r="O1101" i="3"/>
  <c r="P1101" i="3"/>
  <c r="A1102" i="3"/>
  <c r="B1102" i="3"/>
  <c r="C1102" i="3"/>
  <c r="D1102" i="3"/>
  <c r="E1102" i="3"/>
  <c r="F1102" i="3"/>
  <c r="G1102" i="3"/>
  <c r="H1102" i="3"/>
  <c r="I1102" i="3"/>
  <c r="J1102" i="3"/>
  <c r="K1102" i="3"/>
  <c r="L1102" i="3"/>
  <c r="M1102" i="3"/>
  <c r="N1102" i="3"/>
  <c r="O1102" i="3"/>
  <c r="P1102" i="3"/>
  <c r="A1103" i="3"/>
  <c r="B1103" i="3"/>
  <c r="C1103" i="3"/>
  <c r="D1103" i="3"/>
  <c r="E1103" i="3"/>
  <c r="F1103" i="3"/>
  <c r="G1103" i="3"/>
  <c r="H1103" i="3"/>
  <c r="I1103" i="3"/>
  <c r="J1103" i="3"/>
  <c r="K1103" i="3"/>
  <c r="L1103" i="3"/>
  <c r="M1103" i="3"/>
  <c r="N1103" i="3"/>
  <c r="O1103" i="3"/>
  <c r="P1103" i="3"/>
  <c r="A1104" i="3"/>
  <c r="B1104" i="3"/>
  <c r="C1104" i="3"/>
  <c r="D1104" i="3"/>
  <c r="E1104" i="3"/>
  <c r="F1104" i="3"/>
  <c r="G1104" i="3"/>
  <c r="H1104" i="3"/>
  <c r="I1104" i="3"/>
  <c r="J1104" i="3"/>
  <c r="K1104" i="3"/>
  <c r="L1104" i="3"/>
  <c r="M1104" i="3"/>
  <c r="N1104" i="3"/>
  <c r="O1104" i="3"/>
  <c r="P1104" i="3"/>
  <c r="A1105" i="3"/>
  <c r="B1105" i="3"/>
  <c r="C1105" i="3"/>
  <c r="D1105" i="3"/>
  <c r="E1105" i="3"/>
  <c r="F1105" i="3"/>
  <c r="G1105" i="3"/>
  <c r="H1105" i="3"/>
  <c r="I1105" i="3"/>
  <c r="J1105" i="3"/>
  <c r="K1105" i="3"/>
  <c r="L1105" i="3"/>
  <c r="M1105" i="3"/>
  <c r="N1105" i="3"/>
  <c r="O1105" i="3"/>
  <c r="P1105" i="3"/>
  <c r="A1121" i="3"/>
  <c r="B1121" i="3"/>
  <c r="C1121" i="3"/>
  <c r="D1121" i="3"/>
  <c r="E1121" i="3"/>
  <c r="F1121" i="3"/>
  <c r="G1121" i="3"/>
  <c r="H1121" i="3"/>
  <c r="I1121" i="3"/>
  <c r="J1121" i="3"/>
  <c r="K1121" i="3"/>
  <c r="L1121" i="3"/>
  <c r="M1121" i="3"/>
  <c r="N1121" i="3"/>
  <c r="O1121" i="3"/>
  <c r="P1121" i="3"/>
  <c r="A1122" i="3"/>
  <c r="B1122" i="3"/>
  <c r="C1122" i="3"/>
  <c r="D1122" i="3"/>
  <c r="E1122" i="3"/>
  <c r="F1122" i="3"/>
  <c r="G1122" i="3"/>
  <c r="H1122" i="3"/>
  <c r="I1122" i="3"/>
  <c r="J1122" i="3"/>
  <c r="K1122" i="3"/>
  <c r="L1122" i="3"/>
  <c r="M1122" i="3"/>
  <c r="N1122" i="3"/>
  <c r="O1122" i="3"/>
  <c r="P1122" i="3"/>
  <c r="A1123" i="3"/>
  <c r="B1123" i="3"/>
  <c r="C1123" i="3"/>
  <c r="D1123" i="3"/>
  <c r="E1123" i="3"/>
  <c r="F1123" i="3"/>
  <c r="G1123" i="3"/>
  <c r="H1123" i="3"/>
  <c r="I1123" i="3"/>
  <c r="J1123" i="3"/>
  <c r="K1123" i="3"/>
  <c r="L1123" i="3"/>
  <c r="M1123" i="3"/>
  <c r="N1123" i="3"/>
  <c r="O1123" i="3"/>
  <c r="P1123" i="3"/>
  <c r="A1138" i="3"/>
  <c r="B1138" i="3"/>
  <c r="C1138" i="3"/>
  <c r="D1138" i="3"/>
  <c r="E1138" i="3"/>
  <c r="F1138" i="3"/>
  <c r="G1138" i="3"/>
  <c r="H1138" i="3"/>
  <c r="I1138" i="3"/>
  <c r="J1138" i="3"/>
  <c r="K1138" i="3"/>
  <c r="L1138" i="3"/>
  <c r="M1138" i="3"/>
  <c r="N1138" i="3"/>
  <c r="O1138" i="3"/>
  <c r="P1138" i="3"/>
  <c r="A1139" i="3"/>
  <c r="B1139" i="3"/>
  <c r="C1139" i="3"/>
  <c r="D1139" i="3"/>
  <c r="E1139" i="3"/>
  <c r="F1139" i="3"/>
  <c r="G1139" i="3"/>
  <c r="H1139" i="3"/>
  <c r="I1139" i="3"/>
  <c r="J1139" i="3"/>
  <c r="K1139" i="3"/>
  <c r="L1139" i="3"/>
  <c r="M1139" i="3"/>
  <c r="N1139" i="3"/>
  <c r="O1139" i="3"/>
  <c r="P1139" i="3"/>
  <c r="A1140" i="3"/>
  <c r="B1140" i="3"/>
  <c r="C1140" i="3"/>
  <c r="D1140" i="3"/>
  <c r="E1140" i="3"/>
  <c r="F1140" i="3"/>
  <c r="G1140" i="3"/>
  <c r="H1140" i="3"/>
  <c r="I1140" i="3"/>
  <c r="J1140" i="3"/>
  <c r="K1140" i="3"/>
  <c r="L1140" i="3"/>
  <c r="M1140" i="3"/>
  <c r="N1140" i="3"/>
  <c r="O1140" i="3"/>
  <c r="P1140" i="3"/>
  <c r="A1141" i="3"/>
  <c r="B1141" i="3"/>
  <c r="C1141" i="3"/>
  <c r="D1141" i="3"/>
  <c r="E1141" i="3"/>
  <c r="F1141" i="3"/>
  <c r="G1141" i="3"/>
  <c r="H1141" i="3"/>
  <c r="I1141" i="3"/>
  <c r="J1141" i="3"/>
  <c r="K1141" i="3"/>
  <c r="L1141" i="3"/>
  <c r="M1141" i="3"/>
  <c r="N1141" i="3"/>
  <c r="O1141" i="3"/>
  <c r="P1141" i="3"/>
  <c r="A1142" i="3"/>
  <c r="B1142" i="3"/>
  <c r="C1142" i="3"/>
  <c r="D1142" i="3"/>
  <c r="E1142" i="3"/>
  <c r="F1142" i="3"/>
  <c r="G1142" i="3"/>
  <c r="H1142" i="3"/>
  <c r="I1142" i="3"/>
  <c r="J1142" i="3"/>
  <c r="K1142" i="3"/>
  <c r="L1142" i="3"/>
  <c r="M1142" i="3"/>
  <c r="N1142" i="3"/>
  <c r="O1142" i="3"/>
  <c r="P1142" i="3"/>
  <c r="A1143" i="3"/>
  <c r="B1143" i="3"/>
  <c r="C1143" i="3"/>
  <c r="D1143" i="3"/>
  <c r="E1143" i="3"/>
  <c r="F1143" i="3"/>
  <c r="G1143" i="3"/>
  <c r="H1143" i="3"/>
  <c r="I1143" i="3"/>
  <c r="J1143" i="3"/>
  <c r="K1143" i="3"/>
  <c r="L1143" i="3"/>
  <c r="M1143" i="3"/>
  <c r="N1143" i="3"/>
  <c r="O1143" i="3"/>
  <c r="P1143" i="3"/>
  <c r="A1144" i="3"/>
  <c r="B1144" i="3"/>
  <c r="C1144" i="3"/>
  <c r="D1144" i="3"/>
  <c r="E1144" i="3"/>
  <c r="F1144" i="3"/>
  <c r="G1144" i="3"/>
  <c r="H1144" i="3"/>
  <c r="I1144" i="3"/>
  <c r="J1144" i="3"/>
  <c r="K1144" i="3"/>
  <c r="L1144" i="3"/>
  <c r="M1144" i="3"/>
  <c r="N1144" i="3"/>
  <c r="O1144" i="3"/>
  <c r="P1144" i="3"/>
  <c r="A1145" i="3"/>
  <c r="B1145" i="3"/>
  <c r="C1145" i="3"/>
  <c r="D1145" i="3"/>
  <c r="E1145" i="3"/>
  <c r="F1145" i="3"/>
  <c r="G1145" i="3"/>
  <c r="H1145" i="3"/>
  <c r="I1145" i="3"/>
  <c r="J1145" i="3"/>
  <c r="K1145" i="3"/>
  <c r="L1145" i="3"/>
  <c r="M1145" i="3"/>
  <c r="N1145" i="3"/>
  <c r="O1145" i="3"/>
  <c r="P1145" i="3"/>
  <c r="A1146" i="3"/>
  <c r="B1146" i="3"/>
  <c r="C1146" i="3"/>
  <c r="D1146" i="3"/>
  <c r="E1146" i="3"/>
  <c r="F1146" i="3"/>
  <c r="G1146" i="3"/>
  <c r="H1146" i="3"/>
  <c r="I1146" i="3"/>
  <c r="J1146" i="3"/>
  <c r="K1146" i="3"/>
  <c r="L1146" i="3"/>
  <c r="M1146" i="3"/>
  <c r="N1146" i="3"/>
  <c r="O1146" i="3"/>
  <c r="P1146" i="3"/>
  <c r="A1147" i="3"/>
  <c r="B1147" i="3"/>
  <c r="C1147" i="3"/>
  <c r="E1147" i="3"/>
  <c r="G1147" i="3"/>
  <c r="J1147" i="3"/>
  <c r="K1147" i="3"/>
  <c r="M1147" i="3"/>
  <c r="A1148" i="3"/>
  <c r="B1148" i="3"/>
  <c r="C1148" i="3"/>
  <c r="E1148" i="3"/>
  <c r="G1148" i="3"/>
  <c r="J1148" i="3"/>
  <c r="K1148" i="3"/>
  <c r="M1148" i="3"/>
  <c r="A1149" i="3"/>
  <c r="B1149" i="3"/>
  <c r="C1149" i="3"/>
  <c r="E1149" i="3"/>
  <c r="G1149" i="3"/>
  <c r="J1149" i="3"/>
  <c r="K1149" i="3"/>
  <c r="M1149" i="3"/>
  <c r="A1150" i="3"/>
  <c r="B1150" i="3"/>
  <c r="C1150" i="3"/>
  <c r="E1150" i="3"/>
  <c r="G1150" i="3"/>
  <c r="J1150" i="3"/>
  <c r="K1150" i="3"/>
  <c r="M1150" i="3"/>
  <c r="A1151" i="3"/>
  <c r="B1151" i="3"/>
  <c r="C1151" i="3"/>
  <c r="E1151" i="3"/>
  <c r="G1151" i="3"/>
  <c r="J1151" i="3"/>
  <c r="K1151" i="3"/>
  <c r="M1151" i="3"/>
  <c r="A1152" i="3"/>
  <c r="B1152" i="3"/>
  <c r="C1152" i="3"/>
  <c r="E1152" i="3"/>
  <c r="G1152" i="3"/>
  <c r="J1152" i="3"/>
  <c r="K1152" i="3"/>
  <c r="M1152" i="3"/>
  <c r="A1153" i="3"/>
  <c r="B1153" i="3"/>
  <c r="C1153" i="3"/>
  <c r="D1153" i="3"/>
  <c r="E1153" i="3"/>
  <c r="F1153" i="3"/>
  <c r="G1153" i="3"/>
  <c r="H1153" i="3"/>
  <c r="I1153" i="3"/>
  <c r="J1153" i="3"/>
  <c r="K1153" i="3"/>
  <c r="L1153" i="3"/>
  <c r="M1153" i="3"/>
  <c r="N1153" i="3"/>
  <c r="O1153" i="3"/>
  <c r="P1153" i="3"/>
  <c r="A1154" i="3"/>
  <c r="B1154" i="3"/>
  <c r="C1154" i="3"/>
  <c r="E1154" i="3"/>
  <c r="G1154" i="3"/>
  <c r="J1154" i="3"/>
  <c r="K1154" i="3"/>
  <c r="M1154" i="3"/>
  <c r="A1155" i="3"/>
  <c r="B1155" i="3"/>
  <c r="C1155" i="3"/>
  <c r="E1155" i="3"/>
  <c r="G1155" i="3"/>
  <c r="J1155" i="3"/>
  <c r="K1155" i="3"/>
  <c r="M1155" i="3"/>
  <c r="A1156" i="3"/>
  <c r="B1156" i="3"/>
  <c r="C1156" i="3"/>
  <c r="E1156" i="3"/>
  <c r="G1156" i="3"/>
  <c r="J1156" i="3"/>
  <c r="K1156" i="3"/>
  <c r="M1156" i="3"/>
  <c r="A1157" i="3"/>
  <c r="B1157" i="3"/>
  <c r="C1157" i="3"/>
  <c r="E1157" i="3"/>
  <c r="G1157" i="3"/>
  <c r="J1157" i="3"/>
  <c r="K1157" i="3"/>
  <c r="M1157" i="3"/>
  <c r="A1158" i="3"/>
  <c r="B1158" i="3"/>
  <c r="C1158" i="3"/>
  <c r="E1158" i="3"/>
  <c r="G1158" i="3"/>
  <c r="J1158" i="3"/>
  <c r="K1158" i="3"/>
  <c r="M1158" i="3"/>
  <c r="A1159" i="3"/>
  <c r="B1159" i="3"/>
  <c r="C1159" i="3"/>
  <c r="D1159" i="3"/>
  <c r="E1159" i="3"/>
  <c r="F1159" i="3"/>
  <c r="G1159" i="3"/>
  <c r="H1159" i="3"/>
  <c r="I1159" i="3"/>
  <c r="J1159" i="3"/>
  <c r="K1159" i="3"/>
  <c r="L1159" i="3"/>
  <c r="M1159" i="3"/>
  <c r="N1159" i="3"/>
  <c r="O1159" i="3"/>
  <c r="P1159" i="3"/>
  <c r="A1160" i="3"/>
  <c r="B1160" i="3"/>
  <c r="C1160" i="3"/>
  <c r="D1160" i="3"/>
  <c r="E1160" i="3"/>
  <c r="F1160" i="3"/>
  <c r="G1160" i="3"/>
  <c r="H1160" i="3"/>
  <c r="I1160" i="3"/>
  <c r="J1160" i="3"/>
  <c r="K1160" i="3"/>
  <c r="L1160" i="3"/>
  <c r="M1160" i="3"/>
  <c r="N1160" i="3"/>
  <c r="O1160" i="3"/>
  <c r="P1160" i="3"/>
  <c r="A1161" i="3"/>
  <c r="B1161" i="3"/>
  <c r="C1161" i="3"/>
  <c r="E1161" i="3"/>
  <c r="G1161" i="3"/>
  <c r="J1161" i="3"/>
  <c r="K1161" i="3"/>
  <c r="M1161" i="3"/>
  <c r="A1166" i="3"/>
  <c r="B1166" i="3"/>
  <c r="C1166" i="3"/>
  <c r="E1166" i="3"/>
  <c r="G1166" i="3"/>
  <c r="J1166" i="3"/>
  <c r="K1166" i="3"/>
  <c r="M1166" i="3"/>
  <c r="A1168" i="3"/>
  <c r="B1168" i="3"/>
  <c r="C1168" i="3"/>
  <c r="E1168" i="3"/>
  <c r="G1168" i="3"/>
  <c r="J1168" i="3"/>
  <c r="K1168" i="3"/>
  <c r="M1168" i="3"/>
  <c r="A1170" i="3"/>
  <c r="B1170" i="3"/>
  <c r="C1170" i="3"/>
  <c r="E1170" i="3"/>
  <c r="G1170" i="3"/>
  <c r="J1170" i="3"/>
  <c r="K1170" i="3"/>
  <c r="M1170" i="3"/>
  <c r="A1173" i="3"/>
  <c r="B1173" i="3"/>
  <c r="C1173" i="3"/>
  <c r="E1173" i="3"/>
  <c r="F1173" i="3"/>
  <c r="G1173" i="3"/>
  <c r="J1173" i="3"/>
  <c r="K1173" i="3"/>
  <c r="M1173" i="3"/>
  <c r="P1173" i="3"/>
  <c r="A1174" i="3"/>
  <c r="B1174" i="3"/>
  <c r="C1174" i="3"/>
  <c r="E1174" i="3"/>
  <c r="G1174" i="3"/>
  <c r="J1174" i="3"/>
  <c r="K1174" i="3"/>
  <c r="M1174" i="3"/>
  <c r="A1176" i="3"/>
  <c r="B1176" i="3"/>
  <c r="C1176" i="3"/>
  <c r="E1176" i="3"/>
  <c r="G1176" i="3"/>
  <c r="J1176" i="3"/>
  <c r="K1176" i="3"/>
  <c r="M1176" i="3"/>
  <c r="A1177" i="3"/>
  <c r="B1177" i="3"/>
  <c r="C1177" i="3"/>
  <c r="E1177" i="3"/>
  <c r="G1177" i="3"/>
  <c r="J1177" i="3"/>
  <c r="K1177" i="3"/>
  <c r="M1177" i="3"/>
  <c r="A1178" i="3"/>
  <c r="B1178" i="3"/>
  <c r="C1178" i="3"/>
  <c r="E1178" i="3"/>
  <c r="G1178" i="3"/>
  <c r="J1178" i="3"/>
  <c r="K1178" i="3"/>
  <c r="M1178" i="3"/>
  <c r="A1187" i="3"/>
  <c r="B1187" i="3"/>
  <c r="C1187" i="3"/>
  <c r="E1187" i="3"/>
  <c r="G1187" i="3"/>
  <c r="J1187" i="3"/>
  <c r="K1187" i="3"/>
  <c r="M1187" i="3"/>
  <c r="A1188" i="3"/>
  <c r="B1188" i="3"/>
  <c r="C1188" i="3"/>
  <c r="E1188" i="3"/>
  <c r="G1188" i="3"/>
  <c r="J1188" i="3"/>
  <c r="K1188" i="3"/>
  <c r="M1188" i="3"/>
  <c r="A1189" i="3"/>
  <c r="B1189" i="3"/>
  <c r="C1189" i="3"/>
  <c r="E1189" i="3"/>
  <c r="G1189" i="3"/>
  <c r="J1189" i="3"/>
  <c r="K1189" i="3"/>
  <c r="L1189" i="3"/>
  <c r="M1189" i="3"/>
  <c r="A1190" i="3"/>
  <c r="B1190" i="3"/>
  <c r="C1190" i="3"/>
  <c r="E1190" i="3"/>
  <c r="G1190" i="3"/>
  <c r="J1190" i="3"/>
  <c r="K1190" i="3"/>
  <c r="M1190" i="3"/>
  <c r="A1191" i="3"/>
  <c r="B1191" i="3"/>
  <c r="C1191" i="3"/>
  <c r="E1191" i="3"/>
  <c r="G1191" i="3"/>
  <c r="J1191" i="3"/>
  <c r="K1191" i="3"/>
  <c r="M1191" i="3"/>
  <c r="A1192" i="3"/>
  <c r="B1192" i="3"/>
  <c r="C1192" i="3"/>
  <c r="E1192" i="3"/>
  <c r="G1192" i="3"/>
  <c r="J1192" i="3"/>
  <c r="K1192" i="3"/>
  <c r="M1192" i="3"/>
  <c r="A1193" i="3"/>
  <c r="B1193" i="3"/>
  <c r="C1193" i="3"/>
  <c r="E1193" i="3"/>
  <c r="G1193" i="3"/>
  <c r="J1193" i="3"/>
  <c r="K1193" i="3"/>
  <c r="M1193" i="3"/>
  <c r="A1194" i="3"/>
  <c r="B1194" i="3"/>
  <c r="C1194" i="3"/>
  <c r="E1194" i="3"/>
  <c r="G1194" i="3"/>
  <c r="J1194" i="3"/>
  <c r="K1194" i="3"/>
  <c r="M1194" i="3"/>
  <c r="A1197" i="3"/>
  <c r="B1197" i="3"/>
  <c r="C1197" i="3"/>
  <c r="E1197" i="3"/>
  <c r="G1197" i="3"/>
  <c r="J1197" i="3"/>
  <c r="K1197" i="3"/>
  <c r="M1197" i="3"/>
  <c r="A1198" i="3"/>
  <c r="B1198" i="3"/>
  <c r="C1198" i="3"/>
  <c r="E1198" i="3"/>
  <c r="G1198" i="3"/>
  <c r="J1198" i="3"/>
  <c r="K1198" i="3"/>
  <c r="L1198" i="3"/>
  <c r="M1198" i="3"/>
  <c r="A1199" i="3"/>
  <c r="B1199" i="3"/>
  <c r="C1199" i="3"/>
  <c r="E1199" i="3"/>
  <c r="G1199" i="3"/>
  <c r="J1199" i="3"/>
  <c r="K1199" i="3"/>
  <c r="L1199" i="3"/>
  <c r="M1199" i="3"/>
  <c r="A1200" i="3"/>
  <c r="B1200" i="3"/>
  <c r="C1200" i="3"/>
  <c r="D1200" i="3"/>
  <c r="E1200" i="3"/>
  <c r="F1200" i="3"/>
  <c r="G1200" i="3"/>
  <c r="H1200" i="3"/>
  <c r="I1200" i="3"/>
  <c r="J1200" i="3"/>
  <c r="K1200" i="3"/>
  <c r="L1200" i="3"/>
  <c r="M1200" i="3"/>
  <c r="N1200" i="3"/>
  <c r="O1200" i="3"/>
  <c r="P1200" i="3"/>
  <c r="A1201" i="3"/>
  <c r="B1201" i="3"/>
  <c r="C1201" i="3"/>
  <c r="D1201" i="3"/>
  <c r="E1201" i="3"/>
  <c r="F1201" i="3"/>
  <c r="G1201" i="3"/>
  <c r="H1201" i="3"/>
  <c r="I1201" i="3"/>
  <c r="J1201" i="3"/>
  <c r="K1201" i="3"/>
  <c r="L1201" i="3"/>
  <c r="M1201" i="3"/>
  <c r="N1201" i="3"/>
  <c r="O1201" i="3"/>
  <c r="P1201" i="3"/>
  <c r="A1202" i="3"/>
  <c r="B1202" i="3"/>
  <c r="C1202" i="3"/>
  <c r="D1202" i="3"/>
  <c r="E1202" i="3"/>
  <c r="F1202" i="3"/>
  <c r="G1202" i="3"/>
  <c r="H1202" i="3"/>
  <c r="I1202" i="3"/>
  <c r="J1202" i="3"/>
  <c r="K1202" i="3"/>
  <c r="L1202" i="3"/>
  <c r="M1202" i="3"/>
  <c r="N1202" i="3"/>
  <c r="O1202" i="3"/>
  <c r="P1202" i="3"/>
  <c r="A1203" i="3"/>
  <c r="B1203" i="3"/>
  <c r="C1203" i="3"/>
  <c r="D1203" i="3"/>
  <c r="E1203" i="3"/>
  <c r="F1203" i="3"/>
  <c r="G1203" i="3"/>
  <c r="H1203" i="3"/>
  <c r="I1203" i="3"/>
  <c r="J1203" i="3"/>
  <c r="K1203" i="3"/>
  <c r="L1203" i="3"/>
  <c r="M1203" i="3"/>
  <c r="N1203" i="3"/>
  <c r="O1203" i="3"/>
  <c r="P1203" i="3"/>
  <c r="A1204" i="3"/>
  <c r="B1204" i="3"/>
  <c r="C1204" i="3"/>
  <c r="E1204" i="3"/>
  <c r="G1204" i="3"/>
  <c r="J1204" i="3"/>
  <c r="K1204" i="3"/>
  <c r="M1204" i="3"/>
  <c r="A1205" i="3"/>
  <c r="B1205" i="3"/>
  <c r="C1205" i="3"/>
  <c r="E1205" i="3"/>
  <c r="G1205" i="3"/>
  <c r="J1205" i="3"/>
  <c r="K1205" i="3"/>
  <c r="M1205" i="3"/>
  <c r="A1206" i="3"/>
  <c r="B1206" i="3"/>
  <c r="C1206" i="3"/>
  <c r="D1206" i="3"/>
  <c r="E1206" i="3"/>
  <c r="F1206" i="3"/>
  <c r="G1206" i="3"/>
  <c r="H1206" i="3"/>
  <c r="I1206" i="3"/>
  <c r="J1206" i="3"/>
  <c r="K1206" i="3"/>
  <c r="L1206" i="3"/>
  <c r="M1206" i="3"/>
  <c r="N1206" i="3"/>
  <c r="O1206" i="3"/>
  <c r="P1206" i="3"/>
  <c r="A1207" i="3"/>
  <c r="B1207" i="3"/>
  <c r="C1207" i="3"/>
  <c r="D1207" i="3"/>
  <c r="E1207" i="3"/>
  <c r="F1207" i="3"/>
  <c r="G1207" i="3"/>
  <c r="H1207" i="3"/>
  <c r="I1207" i="3"/>
  <c r="J1207" i="3"/>
  <c r="K1207" i="3"/>
  <c r="L1207" i="3"/>
  <c r="M1207" i="3"/>
  <c r="N1207" i="3"/>
  <c r="O1207" i="3"/>
  <c r="P1207" i="3"/>
  <c r="A1208" i="3"/>
  <c r="B1208" i="3"/>
  <c r="C1208" i="3"/>
  <c r="D1208" i="3"/>
  <c r="E1208" i="3"/>
  <c r="F1208" i="3"/>
  <c r="G1208" i="3"/>
  <c r="H1208" i="3"/>
  <c r="I1208" i="3"/>
  <c r="J1208" i="3"/>
  <c r="K1208" i="3"/>
  <c r="L1208" i="3"/>
  <c r="M1208" i="3"/>
  <c r="N1208" i="3"/>
  <c r="O1208" i="3"/>
  <c r="P1208" i="3"/>
  <c r="A1209" i="3"/>
  <c r="B1209" i="3"/>
  <c r="C1209" i="3"/>
  <c r="D1209" i="3"/>
  <c r="E1209" i="3"/>
  <c r="F1209" i="3"/>
  <c r="G1209" i="3"/>
  <c r="H1209" i="3"/>
  <c r="I1209" i="3"/>
  <c r="J1209" i="3"/>
  <c r="K1209" i="3"/>
  <c r="L1209" i="3"/>
  <c r="M1209" i="3"/>
  <c r="N1209" i="3"/>
  <c r="O1209" i="3"/>
  <c r="P1209" i="3"/>
  <c r="A1210" i="3"/>
  <c r="B1210" i="3"/>
  <c r="C1210" i="3"/>
  <c r="D1210" i="3"/>
  <c r="E1210" i="3"/>
  <c r="F1210" i="3"/>
  <c r="G1210" i="3"/>
  <c r="H1210" i="3"/>
  <c r="I1210" i="3"/>
  <c r="J1210" i="3"/>
  <c r="K1210" i="3"/>
  <c r="L1210" i="3"/>
  <c r="M1210" i="3"/>
  <c r="N1210" i="3"/>
  <c r="O1210" i="3"/>
  <c r="P1210" i="3"/>
  <c r="A1211" i="3"/>
  <c r="B1211" i="3"/>
  <c r="C1211" i="3"/>
  <c r="E1211" i="3"/>
  <c r="G1211" i="3"/>
  <c r="J1211" i="3"/>
  <c r="K1211" i="3"/>
  <c r="M1211" i="3"/>
  <c r="A1212" i="3"/>
  <c r="B1212" i="3"/>
  <c r="C1212" i="3"/>
  <c r="E1212" i="3"/>
  <c r="G1212" i="3"/>
  <c r="J1212" i="3"/>
  <c r="K1212" i="3"/>
  <c r="M1212" i="3"/>
  <c r="A1213" i="3"/>
  <c r="B1213" i="3"/>
  <c r="C1213" i="3"/>
  <c r="E1213" i="3"/>
  <c r="G1213" i="3"/>
  <c r="J1213" i="3"/>
  <c r="K1213" i="3"/>
  <c r="M1213" i="3"/>
  <c r="A1214" i="3"/>
  <c r="B1214" i="3"/>
  <c r="C1214" i="3"/>
  <c r="E1214" i="3"/>
  <c r="G1214" i="3"/>
  <c r="J1214" i="3"/>
  <c r="K1214" i="3"/>
  <c r="M1214" i="3"/>
  <c r="A1215" i="3"/>
  <c r="B1215" i="3"/>
  <c r="C1215" i="3"/>
  <c r="E1215" i="3"/>
  <c r="G1215" i="3"/>
  <c r="J1215" i="3"/>
  <c r="K1215" i="3"/>
  <c r="M1215" i="3"/>
  <c r="A1216" i="3"/>
  <c r="B1216" i="3"/>
  <c r="C1216" i="3"/>
  <c r="E1216" i="3"/>
  <c r="G1216" i="3"/>
  <c r="J1216" i="3"/>
  <c r="K1216" i="3"/>
  <c r="M1216" i="3"/>
  <c r="A1217" i="3"/>
  <c r="B1217" i="3"/>
  <c r="C1217" i="3"/>
  <c r="E1217" i="3"/>
  <c r="G1217" i="3"/>
  <c r="J1217" i="3"/>
  <c r="K1217" i="3"/>
  <c r="M1217" i="3"/>
  <c r="A1218" i="3"/>
  <c r="B1218" i="3"/>
  <c r="C1218" i="3"/>
  <c r="E1218" i="3"/>
  <c r="G1218" i="3"/>
  <c r="J1218" i="3"/>
  <c r="K1218" i="3"/>
  <c r="M1218" i="3"/>
  <c r="A1219" i="3"/>
  <c r="B1219" i="3"/>
  <c r="C1219" i="3"/>
  <c r="E1219" i="3"/>
  <c r="G1219" i="3"/>
  <c r="J1219" i="3"/>
  <c r="K1219" i="3"/>
  <c r="M1219" i="3"/>
  <c r="A1220" i="3"/>
  <c r="B1220" i="3"/>
  <c r="C1220" i="3"/>
  <c r="E1220" i="3"/>
  <c r="G1220" i="3"/>
  <c r="J1220" i="3"/>
  <c r="K1220" i="3"/>
  <c r="M1220" i="3"/>
  <c r="A1221" i="3"/>
  <c r="B1221" i="3"/>
  <c r="C1221" i="3"/>
  <c r="E1221" i="3"/>
  <c r="G1221" i="3"/>
  <c r="J1221" i="3"/>
  <c r="K1221" i="3"/>
  <c r="M1221" i="3"/>
  <c r="A1222" i="3"/>
  <c r="B1222" i="3"/>
  <c r="C1222" i="3"/>
  <c r="E1222" i="3"/>
  <c r="G1222" i="3"/>
  <c r="J1222" i="3"/>
  <c r="K1222" i="3"/>
  <c r="M1222" i="3"/>
  <c r="A1223" i="3"/>
  <c r="B1223" i="3"/>
  <c r="C1223" i="3"/>
  <c r="E1223" i="3"/>
  <c r="G1223" i="3"/>
  <c r="J1223" i="3"/>
  <c r="K1223" i="3"/>
  <c r="M1223" i="3"/>
  <c r="A1224" i="3"/>
  <c r="B1224" i="3"/>
  <c r="C1224" i="3"/>
  <c r="E1224" i="3"/>
  <c r="G1224" i="3"/>
  <c r="J1224" i="3"/>
  <c r="K1224" i="3"/>
  <c r="M1224" i="3"/>
  <c r="A1225" i="3"/>
  <c r="B1225" i="3"/>
  <c r="C1225" i="3"/>
  <c r="E1225" i="3"/>
  <c r="G1225" i="3"/>
  <c r="J1225" i="3"/>
  <c r="K1225" i="3"/>
  <c r="M1225" i="3"/>
  <c r="A1226" i="3"/>
  <c r="B1226" i="3"/>
  <c r="C1226" i="3"/>
  <c r="E1226" i="3"/>
  <c r="G1226" i="3"/>
  <c r="J1226" i="3"/>
  <c r="K1226" i="3"/>
  <c r="M1226" i="3"/>
  <c r="A1227" i="3"/>
  <c r="B1227" i="3"/>
  <c r="C1227" i="3"/>
  <c r="E1227" i="3"/>
  <c r="G1227" i="3"/>
  <c r="J1227" i="3"/>
  <c r="K1227" i="3"/>
  <c r="M1227" i="3"/>
  <c r="A1228" i="3"/>
  <c r="B1228" i="3"/>
  <c r="C1228" i="3"/>
  <c r="E1228" i="3"/>
  <c r="F1228" i="3"/>
  <c r="G1228" i="3"/>
  <c r="J1228" i="3"/>
  <c r="K1228" i="3"/>
  <c r="M1228" i="3"/>
  <c r="A1229" i="3"/>
  <c r="B1229" i="3"/>
  <c r="C1229" i="3"/>
  <c r="E1229" i="3"/>
  <c r="G1229" i="3"/>
  <c r="J1229" i="3"/>
  <c r="K1229" i="3"/>
  <c r="M1229" i="3"/>
  <c r="A1230" i="3"/>
  <c r="B1230" i="3"/>
  <c r="C1230" i="3"/>
  <c r="E1230" i="3"/>
  <c r="G1230" i="3"/>
  <c r="J1230" i="3"/>
  <c r="K1230" i="3"/>
  <c r="M1230" i="3"/>
  <c r="A1231" i="3"/>
  <c r="B1231" i="3"/>
  <c r="C1231" i="3"/>
  <c r="D1231" i="3"/>
  <c r="E1231" i="3"/>
  <c r="F1231" i="3"/>
  <c r="G1231" i="3"/>
  <c r="H1231" i="3"/>
  <c r="I1231" i="3"/>
  <c r="J1231" i="3"/>
  <c r="K1231" i="3"/>
  <c r="L1231" i="3"/>
  <c r="M1231" i="3"/>
  <c r="N1231" i="3"/>
  <c r="O1231" i="3"/>
  <c r="P1231" i="3"/>
  <c r="A1232" i="3"/>
  <c r="B1232" i="3"/>
  <c r="C1232" i="3"/>
  <c r="D1232" i="3"/>
  <c r="E1232" i="3"/>
  <c r="F1232" i="3"/>
  <c r="G1232" i="3"/>
  <c r="H1232" i="3"/>
  <c r="I1232" i="3"/>
  <c r="J1232" i="3"/>
  <c r="K1232" i="3"/>
  <c r="L1232" i="3"/>
  <c r="M1232" i="3"/>
  <c r="N1232" i="3"/>
  <c r="O1232" i="3"/>
  <c r="P1232" i="3"/>
  <c r="A1233" i="3"/>
  <c r="B1233" i="3"/>
  <c r="C1233" i="3"/>
  <c r="D1233" i="3"/>
  <c r="E1233" i="3"/>
  <c r="F1233" i="3"/>
  <c r="G1233" i="3"/>
  <c r="H1233" i="3"/>
  <c r="I1233" i="3"/>
  <c r="J1233" i="3"/>
  <c r="K1233" i="3"/>
  <c r="L1233" i="3"/>
  <c r="M1233" i="3"/>
  <c r="N1233" i="3"/>
  <c r="O1233" i="3"/>
  <c r="P1233" i="3"/>
  <c r="A1234" i="3"/>
  <c r="B1234" i="3"/>
  <c r="C1234" i="3"/>
  <c r="D1234" i="3"/>
  <c r="E1234" i="3"/>
  <c r="F1234" i="3"/>
  <c r="G1234" i="3"/>
  <c r="H1234" i="3"/>
  <c r="I1234" i="3"/>
  <c r="J1234" i="3"/>
  <c r="K1234" i="3"/>
  <c r="L1234" i="3"/>
  <c r="M1234" i="3"/>
  <c r="N1234" i="3"/>
  <c r="O1234" i="3"/>
  <c r="P1234" i="3"/>
  <c r="A1235" i="3"/>
  <c r="B1235" i="3"/>
  <c r="C1235" i="3"/>
  <c r="D1235" i="3"/>
  <c r="E1235" i="3"/>
  <c r="F1235" i="3"/>
  <c r="G1235" i="3"/>
  <c r="H1235" i="3"/>
  <c r="I1235" i="3"/>
  <c r="J1235" i="3"/>
  <c r="K1235" i="3"/>
  <c r="L1235" i="3"/>
  <c r="M1235" i="3"/>
  <c r="N1235" i="3"/>
  <c r="O1235" i="3"/>
  <c r="P1235" i="3"/>
  <c r="A1236" i="3"/>
  <c r="B1236" i="3"/>
  <c r="C1236" i="3"/>
  <c r="D1236" i="3"/>
  <c r="E1236" i="3"/>
  <c r="F1236" i="3"/>
  <c r="G1236" i="3"/>
  <c r="H1236" i="3"/>
  <c r="I1236" i="3"/>
  <c r="J1236" i="3"/>
  <c r="K1236" i="3"/>
  <c r="L1236" i="3"/>
  <c r="M1236" i="3"/>
  <c r="N1236" i="3"/>
  <c r="O1236" i="3"/>
  <c r="P1236" i="3"/>
  <c r="A1237" i="3"/>
  <c r="B1237" i="3"/>
  <c r="C1237" i="3"/>
  <c r="D1237" i="3"/>
  <c r="E1237" i="3"/>
  <c r="F1237" i="3"/>
  <c r="G1237" i="3"/>
  <c r="H1237" i="3"/>
  <c r="I1237" i="3"/>
  <c r="J1237" i="3"/>
  <c r="K1237" i="3"/>
  <c r="L1237" i="3"/>
  <c r="M1237" i="3"/>
  <c r="N1237" i="3"/>
  <c r="O1237" i="3"/>
  <c r="P1237" i="3"/>
  <c r="A1238" i="3"/>
  <c r="B1238" i="3"/>
  <c r="C1238" i="3"/>
  <c r="D1238" i="3"/>
  <c r="E1238" i="3"/>
  <c r="F1238" i="3"/>
  <c r="G1238" i="3"/>
  <c r="H1238" i="3"/>
  <c r="I1238" i="3"/>
  <c r="J1238" i="3"/>
  <c r="K1238" i="3"/>
  <c r="L1238" i="3"/>
  <c r="M1238" i="3"/>
  <c r="N1238" i="3"/>
  <c r="O1238" i="3"/>
  <c r="P1238" i="3"/>
  <c r="A1239" i="3"/>
  <c r="B1239" i="3"/>
  <c r="C1239" i="3"/>
  <c r="E1239" i="3"/>
  <c r="G1239" i="3"/>
  <c r="J1239" i="3"/>
  <c r="K1239" i="3"/>
  <c r="M1239" i="3"/>
  <c r="A1240" i="3"/>
  <c r="B1240" i="3"/>
  <c r="C1240" i="3"/>
  <c r="E1240" i="3"/>
  <c r="G1240" i="3"/>
  <c r="J1240" i="3"/>
  <c r="K1240" i="3"/>
  <c r="M1240" i="3"/>
  <c r="A1241" i="3"/>
  <c r="B1241" i="3"/>
  <c r="C1241" i="3"/>
  <c r="E1241" i="3"/>
  <c r="G1241" i="3"/>
  <c r="J1241" i="3"/>
  <c r="K1241" i="3"/>
  <c r="M1241" i="3"/>
  <c r="A1242" i="3"/>
  <c r="B1242" i="3"/>
  <c r="C1242" i="3"/>
  <c r="E1242" i="3"/>
  <c r="G1242" i="3"/>
  <c r="J1242" i="3"/>
  <c r="K1242" i="3"/>
  <c r="M1242" i="3"/>
  <c r="A1243" i="3"/>
  <c r="B1243" i="3"/>
  <c r="C1243" i="3"/>
  <c r="E1243" i="3"/>
  <c r="G1243" i="3"/>
  <c r="J1243" i="3"/>
  <c r="K1243" i="3"/>
  <c r="M1243" i="3"/>
  <c r="A1244" i="3"/>
  <c r="B1244" i="3"/>
  <c r="C1244" i="3"/>
  <c r="E1244" i="3"/>
  <c r="G1244" i="3"/>
  <c r="J1244" i="3"/>
  <c r="K1244" i="3"/>
  <c r="M1244" i="3"/>
  <c r="A1245" i="3"/>
  <c r="B1245" i="3"/>
  <c r="C1245" i="3"/>
  <c r="E1245" i="3"/>
  <c r="G1245" i="3"/>
  <c r="J1245" i="3"/>
  <c r="K1245" i="3"/>
  <c r="M1245" i="3"/>
  <c r="A1246" i="3"/>
  <c r="B1246" i="3"/>
  <c r="C1246" i="3"/>
  <c r="E1246" i="3"/>
  <c r="G1246" i="3"/>
  <c r="J1246" i="3"/>
  <c r="K1246" i="3"/>
  <c r="M1246" i="3"/>
  <c r="A1247" i="3"/>
  <c r="B1247" i="3"/>
  <c r="C1247" i="3"/>
  <c r="E1247" i="3"/>
  <c r="G1247" i="3"/>
  <c r="J1247" i="3"/>
  <c r="K1247" i="3"/>
  <c r="M1247" i="3"/>
  <c r="A1248" i="3"/>
  <c r="B1248" i="3"/>
  <c r="C1248" i="3"/>
  <c r="E1248" i="3"/>
  <c r="G1248" i="3"/>
  <c r="J1248" i="3"/>
  <c r="K1248" i="3"/>
  <c r="M1248" i="3"/>
  <c r="A1249" i="3"/>
  <c r="B1249" i="3"/>
  <c r="C1249" i="3"/>
  <c r="E1249" i="3"/>
  <c r="G1249" i="3"/>
  <c r="J1249" i="3"/>
  <c r="K1249" i="3"/>
  <c r="M1249" i="3"/>
  <c r="A1250" i="3"/>
  <c r="B1250" i="3"/>
  <c r="C1250" i="3"/>
  <c r="E1250" i="3"/>
  <c r="G1250" i="3"/>
  <c r="J1250" i="3"/>
  <c r="K1250" i="3"/>
  <c r="M1250" i="3"/>
  <c r="A1251" i="3"/>
  <c r="B1251" i="3"/>
  <c r="C1251" i="3"/>
  <c r="E1251" i="3"/>
  <c r="G1251" i="3"/>
  <c r="J1251" i="3"/>
  <c r="K1251" i="3"/>
  <c r="M1251" i="3"/>
  <c r="A1252" i="3"/>
  <c r="B1252" i="3"/>
  <c r="C1252" i="3"/>
  <c r="E1252" i="3"/>
  <c r="G1252" i="3"/>
  <c r="J1252" i="3"/>
  <c r="K1252" i="3"/>
  <c r="M1252" i="3"/>
  <c r="A1253" i="3"/>
  <c r="B1253" i="3"/>
  <c r="C1253" i="3"/>
  <c r="E1253" i="3"/>
  <c r="G1253" i="3"/>
  <c r="J1253" i="3"/>
  <c r="K1253" i="3"/>
  <c r="M1253" i="3"/>
  <c r="A1254" i="3"/>
  <c r="B1254" i="3"/>
  <c r="C1254" i="3"/>
  <c r="E1254" i="3"/>
  <c r="G1254" i="3"/>
  <c r="J1254" i="3"/>
  <c r="K1254" i="3"/>
  <c r="M1254" i="3"/>
  <c r="A1255" i="3"/>
  <c r="B1255" i="3"/>
  <c r="C1255" i="3"/>
  <c r="E1255" i="3"/>
  <c r="G1255" i="3"/>
  <c r="J1255" i="3"/>
  <c r="K1255" i="3"/>
  <c r="M1255" i="3"/>
  <c r="A1256" i="3"/>
  <c r="B1256" i="3"/>
  <c r="C1256" i="3"/>
  <c r="E1256" i="3"/>
  <c r="G1256" i="3"/>
  <c r="J1256" i="3"/>
  <c r="K1256" i="3"/>
  <c r="M1256" i="3"/>
  <c r="A1257" i="3"/>
  <c r="B1257" i="3"/>
  <c r="C1257" i="3"/>
  <c r="E1257" i="3"/>
  <c r="G1257" i="3"/>
  <c r="J1257" i="3"/>
  <c r="K1257" i="3"/>
  <c r="M1257" i="3"/>
  <c r="A1258" i="3"/>
  <c r="B1258" i="3"/>
  <c r="C1258" i="3"/>
  <c r="E1258" i="3"/>
  <c r="G1258" i="3"/>
  <c r="J1258" i="3"/>
  <c r="K1258" i="3"/>
  <c r="M1258" i="3"/>
  <c r="A1259" i="3"/>
  <c r="B1259" i="3"/>
  <c r="C1259" i="3"/>
  <c r="E1259" i="3"/>
  <c r="G1259" i="3"/>
  <c r="J1259" i="3"/>
  <c r="K1259" i="3"/>
  <c r="M1259" i="3"/>
  <c r="A1260" i="3"/>
  <c r="B1260" i="3"/>
  <c r="C1260" i="3"/>
  <c r="L389" i="1"/>
  <c r="L1260" i="3" s="1"/>
  <c r="F389" i="1"/>
  <c r="F1260" i="3" s="1"/>
  <c r="H389" i="1"/>
  <c r="H1260" i="3" s="1"/>
  <c r="E1260" i="3"/>
  <c r="G1260" i="3"/>
  <c r="J1260" i="3"/>
  <c r="K1260" i="3"/>
  <c r="M1260" i="3"/>
  <c r="A1261" i="3"/>
  <c r="B1261" i="3"/>
  <c r="C1261" i="3"/>
  <c r="L390" i="1"/>
  <c r="L1261" i="3" s="1"/>
  <c r="F390" i="1"/>
  <c r="F1261" i="3" s="1"/>
  <c r="H390" i="1"/>
  <c r="H1261" i="3" s="1"/>
  <c r="E1261" i="3"/>
  <c r="G1261" i="3"/>
  <c r="J1261" i="3"/>
  <c r="K1261" i="3"/>
  <c r="M1261" i="3"/>
  <c r="A1262" i="3"/>
  <c r="B1262" i="3"/>
  <c r="C1262" i="3"/>
  <c r="L391" i="1"/>
  <c r="L1262" i="3" s="1"/>
  <c r="F391" i="1"/>
  <c r="F1262" i="3" s="1"/>
  <c r="H391" i="1"/>
  <c r="H1262" i="3" s="1"/>
  <c r="E1262" i="3"/>
  <c r="G1262" i="3"/>
  <c r="J1262" i="3"/>
  <c r="K1262" i="3"/>
  <c r="M1262" i="3"/>
  <c r="A1263" i="3"/>
  <c r="B1263" i="3"/>
  <c r="C1263" i="3"/>
  <c r="L392" i="1"/>
  <c r="L1263" i="3" s="1"/>
  <c r="F392" i="1"/>
  <c r="F1263" i="3" s="1"/>
  <c r="H392" i="1"/>
  <c r="H1263" i="3" s="1"/>
  <c r="E1263" i="3"/>
  <c r="G1263" i="3"/>
  <c r="J1263" i="3"/>
  <c r="K1263" i="3"/>
  <c r="M1263" i="3"/>
  <c r="A1264" i="3"/>
  <c r="B1264" i="3"/>
  <c r="C1264" i="3"/>
  <c r="E1264" i="3"/>
  <c r="G1264" i="3"/>
  <c r="J1264" i="3"/>
  <c r="K1264" i="3"/>
  <c r="M1264" i="3"/>
  <c r="A1265" i="3"/>
  <c r="B1265" i="3"/>
  <c r="C1265" i="3"/>
  <c r="E1265" i="3"/>
  <c r="G1265" i="3"/>
  <c r="J1265" i="3"/>
  <c r="K1265" i="3"/>
  <c r="M1265" i="3"/>
  <c r="A1266" i="3"/>
  <c r="B1266" i="3"/>
  <c r="C1266" i="3"/>
  <c r="E1266" i="3"/>
  <c r="G1266" i="3"/>
  <c r="J1266" i="3"/>
  <c r="K1266" i="3"/>
  <c r="M1266" i="3"/>
  <c r="A1267" i="3"/>
  <c r="B1267" i="3"/>
  <c r="C1267" i="3"/>
  <c r="E1267" i="3"/>
  <c r="G1267" i="3"/>
  <c r="J1267" i="3"/>
  <c r="K1267" i="3"/>
  <c r="M1267" i="3"/>
  <c r="A1268" i="3"/>
  <c r="B1268" i="3"/>
  <c r="C1268" i="3"/>
  <c r="H397" i="1"/>
  <c r="H1268" i="3" s="1"/>
  <c r="L397" i="1"/>
  <c r="L1268" i="3" s="1"/>
  <c r="O397" i="1"/>
  <c r="O1268" i="3" s="1"/>
  <c r="P397" i="1"/>
  <c r="P1268" i="3" s="1"/>
  <c r="Q397" i="1"/>
  <c r="E1268" i="3"/>
  <c r="G1268" i="3"/>
  <c r="J1268" i="3"/>
  <c r="K1268" i="3"/>
  <c r="M1268" i="3"/>
  <c r="A1269" i="3"/>
  <c r="B1269" i="3"/>
  <c r="C1269" i="3"/>
  <c r="E1269" i="3"/>
  <c r="G1269" i="3"/>
  <c r="J1269" i="3"/>
  <c r="K1269" i="3"/>
  <c r="M1269" i="3"/>
  <c r="A1270" i="3"/>
  <c r="B1270" i="3"/>
  <c r="C1270" i="3"/>
  <c r="F399" i="1"/>
  <c r="F1270" i="3" s="1"/>
  <c r="L399" i="1"/>
  <c r="L1270" i="3" s="1"/>
  <c r="O399" i="1"/>
  <c r="O1270" i="3" s="1"/>
  <c r="P399" i="1"/>
  <c r="P1270" i="3" s="1"/>
  <c r="Q399" i="1"/>
  <c r="E1270" i="3"/>
  <c r="G1270" i="3"/>
  <c r="J1270" i="3"/>
  <c r="K1270" i="3"/>
  <c r="M1270" i="3"/>
  <c r="A1271" i="3"/>
  <c r="B1271" i="3"/>
  <c r="C1271" i="3"/>
  <c r="E1271" i="3"/>
  <c r="G1271" i="3"/>
  <c r="J1271" i="3"/>
  <c r="K1271" i="3"/>
  <c r="M1271" i="3"/>
  <c r="A1272" i="3"/>
  <c r="B1272" i="3"/>
  <c r="C1272" i="3"/>
  <c r="E1272" i="3"/>
  <c r="G1272" i="3"/>
  <c r="J1272" i="3"/>
  <c r="K1272" i="3"/>
  <c r="M1272" i="3"/>
  <c r="A1273" i="3"/>
  <c r="B1273" i="3"/>
  <c r="C1273" i="3"/>
  <c r="E1273" i="3"/>
  <c r="G1273" i="3"/>
  <c r="J1273" i="3"/>
  <c r="K1273" i="3"/>
  <c r="M1273" i="3"/>
  <c r="A1274" i="3"/>
  <c r="B1274" i="3"/>
  <c r="C1274" i="3"/>
  <c r="E1274" i="3"/>
  <c r="G1274" i="3"/>
  <c r="J1274" i="3"/>
  <c r="K1274" i="3"/>
  <c r="M1274" i="3"/>
  <c r="A1275" i="3"/>
  <c r="B1275" i="3"/>
  <c r="C1275" i="3"/>
  <c r="E1275" i="3"/>
  <c r="G1275" i="3"/>
  <c r="J1275" i="3"/>
  <c r="K1275" i="3"/>
  <c r="M1275" i="3"/>
  <c r="A1276" i="3"/>
  <c r="B1276" i="3"/>
  <c r="C1276" i="3"/>
  <c r="E1276" i="3"/>
  <c r="G1276" i="3"/>
  <c r="J1276" i="3"/>
  <c r="K1276" i="3"/>
  <c r="M1276" i="3"/>
  <c r="A1277" i="3"/>
  <c r="B1277" i="3"/>
  <c r="C1277" i="3"/>
  <c r="E1277" i="3"/>
  <c r="G1277" i="3"/>
  <c r="J1277" i="3"/>
  <c r="K1277" i="3"/>
  <c r="M1277" i="3"/>
  <c r="A1278" i="3"/>
  <c r="B1278" i="3"/>
  <c r="C1278" i="3"/>
  <c r="E1278" i="3"/>
  <c r="G1278" i="3"/>
  <c r="J1278" i="3"/>
  <c r="K1278" i="3"/>
  <c r="M1278" i="3"/>
  <c r="A1279" i="3"/>
  <c r="B1279" i="3"/>
  <c r="C1279" i="3"/>
  <c r="E1279" i="3"/>
  <c r="G1279" i="3"/>
  <c r="J1279" i="3"/>
  <c r="K1279" i="3"/>
  <c r="M1279" i="3"/>
  <c r="A1280" i="3"/>
  <c r="B1280" i="3"/>
  <c r="C1280" i="3"/>
  <c r="E1280" i="3"/>
  <c r="G1280" i="3"/>
  <c r="J1280" i="3"/>
  <c r="K1280" i="3"/>
  <c r="M1280" i="3"/>
  <c r="A1281" i="3"/>
  <c r="B1281" i="3"/>
  <c r="C1281" i="3"/>
  <c r="E1281" i="3"/>
  <c r="G1281" i="3"/>
  <c r="J1281" i="3"/>
  <c r="K1281" i="3"/>
  <c r="M1281" i="3"/>
  <c r="A1282" i="3"/>
  <c r="B1282" i="3"/>
  <c r="C1282" i="3"/>
  <c r="E1282" i="3"/>
  <c r="G1282" i="3"/>
  <c r="J1282" i="3"/>
  <c r="K1282" i="3"/>
  <c r="M1282" i="3"/>
  <c r="A1283" i="3"/>
  <c r="B1283" i="3"/>
  <c r="C1283" i="3"/>
  <c r="D1283" i="3"/>
  <c r="E1283" i="3"/>
  <c r="F1283" i="3"/>
  <c r="G1283" i="3"/>
  <c r="H1283" i="3"/>
  <c r="I1283" i="3"/>
  <c r="J1283" i="3"/>
  <c r="K1283" i="3"/>
  <c r="L1283" i="3"/>
  <c r="M1283" i="3"/>
  <c r="N1283" i="3"/>
  <c r="O1283" i="3"/>
  <c r="P1283" i="3"/>
  <c r="A1284" i="3"/>
  <c r="B1284" i="3"/>
  <c r="C1284" i="3"/>
  <c r="D1284" i="3"/>
  <c r="E1284" i="3"/>
  <c r="F1284" i="3"/>
  <c r="G1284" i="3"/>
  <c r="H1284" i="3"/>
  <c r="I1284" i="3"/>
  <c r="J1284" i="3"/>
  <c r="K1284" i="3"/>
  <c r="L1284" i="3"/>
  <c r="M1284" i="3"/>
  <c r="N1284" i="3"/>
  <c r="O1284" i="3"/>
  <c r="P1284" i="3"/>
  <c r="A1285" i="3"/>
  <c r="B1285" i="3"/>
  <c r="C1285" i="3"/>
  <c r="E1285" i="3"/>
  <c r="G1285" i="3"/>
  <c r="J1285" i="3"/>
  <c r="K1285" i="3"/>
  <c r="M1285" i="3"/>
  <c r="A1286" i="3"/>
  <c r="B1286" i="3"/>
  <c r="C1286" i="3"/>
  <c r="E1286" i="3"/>
  <c r="G1286" i="3"/>
  <c r="J1286" i="3"/>
  <c r="K1286" i="3"/>
  <c r="M1286" i="3"/>
  <c r="A1287" i="3"/>
  <c r="B1287" i="3"/>
  <c r="C1287" i="3"/>
  <c r="E1287" i="3"/>
  <c r="G1287" i="3"/>
  <c r="J1287" i="3"/>
  <c r="K1287" i="3"/>
  <c r="M1287" i="3"/>
  <c r="A1288" i="3"/>
  <c r="B1288" i="3"/>
  <c r="C1288" i="3"/>
  <c r="E1288" i="3"/>
  <c r="G1288" i="3"/>
  <c r="J1288" i="3"/>
  <c r="K1288" i="3"/>
  <c r="M1288" i="3"/>
  <c r="A1289" i="3"/>
  <c r="B1289" i="3"/>
  <c r="C1289" i="3"/>
  <c r="E1289" i="3"/>
  <c r="G1289" i="3"/>
  <c r="J1289" i="3"/>
  <c r="K1289" i="3"/>
  <c r="M1289" i="3"/>
  <c r="O1289" i="3"/>
  <c r="A1290" i="3"/>
  <c r="B1290" i="3"/>
  <c r="C1290" i="3"/>
  <c r="O420" i="1"/>
  <c r="P420" i="1"/>
  <c r="P1290" i="3" s="1"/>
  <c r="Q420" i="1"/>
  <c r="E1290" i="3"/>
  <c r="G1290" i="3"/>
  <c r="J1290" i="3"/>
  <c r="K1290" i="3"/>
  <c r="M1290" i="3"/>
  <c r="O1290" i="3"/>
  <c r="A1291" i="3"/>
  <c r="B1291" i="3"/>
  <c r="C1291" i="3"/>
  <c r="E1291" i="3"/>
  <c r="G1291" i="3"/>
  <c r="J1291" i="3"/>
  <c r="K1291" i="3"/>
  <c r="M1291" i="3"/>
  <c r="A1292" i="3"/>
  <c r="B1292" i="3"/>
  <c r="C1292" i="3"/>
  <c r="E1292" i="3"/>
  <c r="G1292" i="3"/>
  <c r="J1292" i="3"/>
  <c r="K1292" i="3"/>
  <c r="M1292" i="3"/>
  <c r="A1293" i="3"/>
  <c r="B1293" i="3"/>
  <c r="C1293" i="3"/>
  <c r="E1293" i="3"/>
  <c r="G1293" i="3"/>
  <c r="J1293" i="3"/>
  <c r="K1293" i="3"/>
  <c r="M1293" i="3"/>
  <c r="A1294" i="3"/>
  <c r="B1294" i="3"/>
  <c r="C1294" i="3"/>
  <c r="E1294" i="3"/>
  <c r="G1294" i="3"/>
  <c r="J1294" i="3"/>
  <c r="K1294" i="3"/>
  <c r="M1294" i="3"/>
  <c r="A1295" i="3"/>
  <c r="B1295" i="3"/>
  <c r="C1295" i="3"/>
  <c r="E1295" i="3"/>
  <c r="G1295" i="3"/>
  <c r="J1295" i="3"/>
  <c r="K1295" i="3"/>
  <c r="M1295" i="3"/>
  <c r="A1296" i="3"/>
  <c r="B1296" i="3"/>
  <c r="C1296" i="3"/>
  <c r="E1296" i="3"/>
  <c r="G1296" i="3"/>
  <c r="J1296" i="3"/>
  <c r="K1296" i="3"/>
  <c r="M1296" i="3"/>
  <c r="A1297" i="3"/>
  <c r="B1297" i="3"/>
  <c r="C1297" i="3"/>
  <c r="E1297" i="3"/>
  <c r="G1297" i="3"/>
  <c r="J1297" i="3"/>
  <c r="K1297" i="3"/>
  <c r="M1297" i="3"/>
  <c r="A1298" i="3"/>
  <c r="B1298" i="3"/>
  <c r="C1298" i="3"/>
  <c r="E1298" i="3"/>
  <c r="G1298" i="3"/>
  <c r="J1298" i="3"/>
  <c r="K1298" i="3"/>
  <c r="M1298" i="3"/>
  <c r="A1299" i="3"/>
  <c r="B1299" i="3"/>
  <c r="C1299" i="3"/>
  <c r="E1299" i="3"/>
  <c r="G1299" i="3"/>
  <c r="J1299" i="3"/>
  <c r="K1299" i="3"/>
  <c r="M1299" i="3"/>
  <c r="A1300" i="3"/>
  <c r="B1300" i="3"/>
  <c r="C1300" i="3"/>
  <c r="E1300" i="3"/>
  <c r="G1300" i="3"/>
  <c r="J1300" i="3"/>
  <c r="K1300" i="3"/>
  <c r="M1300" i="3"/>
  <c r="A1301" i="3"/>
  <c r="B1301" i="3"/>
  <c r="C1301" i="3"/>
  <c r="E1301" i="3"/>
  <c r="G1301" i="3"/>
  <c r="J1301" i="3"/>
  <c r="K1301" i="3"/>
  <c r="M1301" i="3"/>
  <c r="A1302" i="3"/>
  <c r="B1302" i="3"/>
  <c r="C1302" i="3"/>
  <c r="E1302" i="3"/>
  <c r="G1302" i="3"/>
  <c r="J1302" i="3"/>
  <c r="K1302" i="3"/>
  <c r="M1302" i="3"/>
  <c r="A1303" i="3"/>
  <c r="B1303" i="3"/>
  <c r="C1303" i="3"/>
  <c r="E1303" i="3"/>
  <c r="G1303" i="3"/>
  <c r="J1303" i="3"/>
  <c r="K1303" i="3"/>
  <c r="M1303" i="3"/>
  <c r="A1304" i="3"/>
  <c r="B1304" i="3"/>
  <c r="C1304" i="3"/>
  <c r="E1304" i="3"/>
  <c r="G1304" i="3"/>
  <c r="J1304" i="3"/>
  <c r="K1304" i="3"/>
  <c r="M1304" i="3"/>
  <c r="A1305" i="3"/>
  <c r="B1305" i="3"/>
  <c r="C1305" i="3"/>
  <c r="E1305" i="3"/>
  <c r="G1305" i="3"/>
  <c r="J1305" i="3"/>
  <c r="K1305" i="3"/>
  <c r="M1305" i="3"/>
  <c r="A1306" i="3"/>
  <c r="B1306" i="3"/>
  <c r="C1306" i="3"/>
  <c r="E1306" i="3"/>
  <c r="G1306" i="3"/>
  <c r="J1306" i="3"/>
  <c r="K1306" i="3"/>
  <c r="M1306" i="3"/>
  <c r="A1307" i="3"/>
  <c r="B1307" i="3"/>
  <c r="C1307" i="3"/>
  <c r="E1307" i="3"/>
  <c r="G1307" i="3"/>
  <c r="J1307" i="3"/>
  <c r="K1307" i="3"/>
  <c r="M1307" i="3"/>
  <c r="A1308" i="3"/>
  <c r="B1308" i="3"/>
  <c r="C1308" i="3"/>
  <c r="E1308" i="3"/>
  <c r="G1308" i="3"/>
  <c r="J1308" i="3"/>
  <c r="K1308" i="3"/>
  <c r="M1308" i="3"/>
  <c r="A1309" i="3"/>
  <c r="B1309" i="3"/>
  <c r="C1309" i="3"/>
  <c r="E1309" i="3"/>
  <c r="G1309" i="3"/>
  <c r="J1309" i="3"/>
  <c r="K1309" i="3"/>
  <c r="M1309" i="3"/>
  <c r="A1310" i="3"/>
  <c r="B1310" i="3"/>
  <c r="C1310" i="3"/>
  <c r="E1310" i="3"/>
  <c r="G1310" i="3"/>
  <c r="J1310" i="3"/>
  <c r="K1310" i="3"/>
  <c r="M1310" i="3"/>
  <c r="A1311" i="3"/>
  <c r="B1311" i="3"/>
  <c r="C1311" i="3"/>
  <c r="E1311" i="3"/>
  <c r="G1311" i="3"/>
  <c r="J1311" i="3"/>
  <c r="K1311" i="3"/>
  <c r="M1311" i="3"/>
  <c r="A1312" i="3"/>
  <c r="B1312" i="3"/>
  <c r="C1312" i="3"/>
  <c r="E1312" i="3"/>
  <c r="G1312" i="3"/>
  <c r="J1312" i="3"/>
  <c r="K1312" i="3"/>
  <c r="M1312" i="3"/>
  <c r="A1313" i="3"/>
  <c r="B1313" i="3"/>
  <c r="C1313" i="3"/>
  <c r="E1313" i="3"/>
  <c r="G1313" i="3"/>
  <c r="J1313" i="3"/>
  <c r="K1313" i="3"/>
  <c r="M1313" i="3"/>
  <c r="A1314" i="3"/>
  <c r="B1314" i="3"/>
  <c r="C1314" i="3"/>
  <c r="E1314" i="3"/>
  <c r="G1314" i="3"/>
  <c r="J1314" i="3"/>
  <c r="K1314" i="3"/>
  <c r="M1314" i="3"/>
  <c r="A1315" i="3"/>
  <c r="B1315" i="3"/>
  <c r="C1315" i="3"/>
  <c r="E1315" i="3"/>
  <c r="G1315" i="3"/>
  <c r="J1315" i="3"/>
  <c r="K1315" i="3"/>
  <c r="M1315" i="3"/>
  <c r="A1316" i="3"/>
  <c r="B1316" i="3"/>
  <c r="C1316" i="3"/>
  <c r="E1316" i="3"/>
  <c r="G1316" i="3"/>
  <c r="J1316" i="3"/>
  <c r="K1316" i="3"/>
  <c r="M1316" i="3"/>
  <c r="A1317" i="3"/>
  <c r="B1317" i="3"/>
  <c r="C1317" i="3"/>
  <c r="E1317" i="3"/>
  <c r="G1317" i="3"/>
  <c r="J1317" i="3"/>
  <c r="K1317" i="3"/>
  <c r="M1317" i="3"/>
  <c r="A1318" i="3"/>
  <c r="B1318" i="3"/>
  <c r="C1318" i="3"/>
  <c r="E1318" i="3"/>
  <c r="G1318" i="3"/>
  <c r="J1318" i="3"/>
  <c r="K1318" i="3"/>
  <c r="M1318" i="3"/>
  <c r="A1319" i="3"/>
  <c r="B1319" i="3"/>
  <c r="C1319" i="3"/>
  <c r="E1319" i="3"/>
  <c r="G1319" i="3"/>
  <c r="J1319" i="3"/>
  <c r="K1319" i="3"/>
  <c r="M1319" i="3"/>
  <c r="A1320" i="3"/>
  <c r="B1320" i="3"/>
  <c r="C1320" i="3"/>
  <c r="E1320" i="3"/>
  <c r="G1320" i="3"/>
  <c r="J1320" i="3"/>
  <c r="K1320" i="3"/>
  <c r="M1320" i="3"/>
  <c r="A1321" i="3"/>
  <c r="B1321" i="3"/>
  <c r="C1321" i="3"/>
  <c r="E1321" i="3"/>
  <c r="G1321" i="3"/>
  <c r="J1321" i="3"/>
  <c r="K1321" i="3"/>
  <c r="M1321" i="3"/>
  <c r="A1322" i="3"/>
  <c r="B1322" i="3"/>
  <c r="C1322" i="3"/>
  <c r="E1322" i="3"/>
  <c r="G1322" i="3"/>
  <c r="J1322" i="3"/>
  <c r="K1322" i="3"/>
  <c r="M1322" i="3"/>
  <c r="A1323" i="3"/>
  <c r="B1323" i="3"/>
  <c r="C1323" i="3"/>
  <c r="E1323" i="3"/>
  <c r="G1323" i="3"/>
  <c r="J1323" i="3"/>
  <c r="K1323" i="3"/>
  <c r="M1323" i="3"/>
  <c r="A1324" i="3"/>
  <c r="B1324" i="3"/>
  <c r="C1324" i="3"/>
  <c r="E1324" i="3"/>
  <c r="G1324" i="3"/>
  <c r="J1324" i="3"/>
  <c r="K1324" i="3"/>
  <c r="M1324" i="3"/>
  <c r="A1325" i="3"/>
  <c r="B1325" i="3"/>
  <c r="C1325" i="3"/>
  <c r="D1325" i="3"/>
  <c r="E1325" i="3"/>
  <c r="F1325" i="3"/>
  <c r="G1325" i="3"/>
  <c r="H1325" i="3"/>
  <c r="I1325" i="3"/>
  <c r="J1325" i="3"/>
  <c r="K1325" i="3"/>
  <c r="L1325" i="3"/>
  <c r="M1325" i="3"/>
  <c r="N1325" i="3"/>
  <c r="O1325" i="3"/>
  <c r="P1325" i="3"/>
  <c r="A1326" i="3"/>
  <c r="B1326" i="3"/>
  <c r="C1326" i="3"/>
  <c r="D1326" i="3"/>
  <c r="E1326" i="3"/>
  <c r="F1326" i="3"/>
  <c r="G1326" i="3"/>
  <c r="H1326" i="3"/>
  <c r="I1326" i="3"/>
  <c r="J1326" i="3"/>
  <c r="K1326" i="3"/>
  <c r="L1326" i="3"/>
  <c r="M1326" i="3"/>
  <c r="N1326" i="3"/>
  <c r="O1326" i="3"/>
  <c r="P1326" i="3"/>
  <c r="A1327" i="3"/>
  <c r="B1327" i="3"/>
  <c r="C1327" i="3"/>
  <c r="D1327" i="3"/>
  <c r="E1327" i="3"/>
  <c r="F1327" i="3"/>
  <c r="G1327" i="3"/>
  <c r="H1327" i="3"/>
  <c r="I1327" i="3"/>
  <c r="J1327" i="3"/>
  <c r="K1327" i="3"/>
  <c r="L1327" i="3"/>
  <c r="M1327" i="3"/>
  <c r="N1327" i="3"/>
  <c r="O1327" i="3"/>
  <c r="P1327" i="3"/>
  <c r="A1328" i="3"/>
  <c r="B1328" i="3"/>
  <c r="C1328" i="3"/>
  <c r="E1328" i="3"/>
  <c r="G1328" i="3"/>
  <c r="J1328" i="3"/>
  <c r="K1328" i="3"/>
  <c r="M1328" i="3"/>
  <c r="A1329" i="3"/>
  <c r="B1329" i="3"/>
  <c r="C1329" i="3"/>
  <c r="E1329" i="3"/>
  <c r="G1329" i="3"/>
  <c r="J1329" i="3"/>
  <c r="K1329" i="3"/>
  <c r="M1329" i="3"/>
  <c r="A1330" i="3"/>
  <c r="B1330" i="3"/>
  <c r="C1330" i="3"/>
  <c r="E1330" i="3"/>
  <c r="G1330" i="3"/>
  <c r="J1330" i="3"/>
  <c r="K1330" i="3"/>
  <c r="M1330" i="3"/>
  <c r="A1331" i="3"/>
  <c r="B1331" i="3"/>
  <c r="C1331" i="3"/>
  <c r="E1331" i="3"/>
  <c r="G1331" i="3"/>
  <c r="J1331" i="3"/>
  <c r="K1331" i="3"/>
  <c r="M1331" i="3"/>
  <c r="O1331" i="3"/>
  <c r="A1332" i="3"/>
  <c r="B1332" i="3"/>
  <c r="C1332" i="3"/>
  <c r="E1332" i="3"/>
  <c r="G1332" i="3"/>
  <c r="J1332" i="3"/>
  <c r="K1332" i="3"/>
  <c r="M1332" i="3"/>
  <c r="A1333" i="3"/>
  <c r="B1333" i="3"/>
  <c r="C1333" i="3"/>
  <c r="E1333" i="3"/>
  <c r="G1333" i="3"/>
  <c r="J1333" i="3"/>
  <c r="K1333" i="3"/>
  <c r="M1333" i="3"/>
  <c r="A1334" i="3"/>
  <c r="B1334" i="3"/>
  <c r="C1334" i="3"/>
  <c r="E1334" i="3"/>
  <c r="G1334" i="3"/>
  <c r="J1334" i="3"/>
  <c r="K1334" i="3"/>
  <c r="M1334" i="3"/>
  <c r="A1335" i="3"/>
  <c r="B1335" i="3"/>
  <c r="C1335" i="3"/>
  <c r="E1335" i="3"/>
  <c r="G1335" i="3"/>
  <c r="J1335" i="3"/>
  <c r="K1335" i="3"/>
  <c r="M1335" i="3"/>
  <c r="A1336" i="3"/>
  <c r="B1336" i="3"/>
  <c r="C1336" i="3"/>
  <c r="E1336" i="3"/>
  <c r="G1336" i="3"/>
  <c r="H1336" i="3"/>
  <c r="J1336" i="3"/>
  <c r="K1336" i="3"/>
  <c r="L1336" i="3"/>
  <c r="M1336" i="3"/>
  <c r="A1337" i="3"/>
  <c r="B1337" i="3"/>
  <c r="C1337" i="3"/>
  <c r="D1337" i="3"/>
  <c r="E1337" i="3"/>
  <c r="F1337" i="3"/>
  <c r="G1337" i="3"/>
  <c r="H1337" i="3"/>
  <c r="I1337" i="3"/>
  <c r="J1337" i="3"/>
  <c r="K1337" i="3"/>
  <c r="L1337" i="3"/>
  <c r="M1337" i="3"/>
  <c r="N1337" i="3"/>
  <c r="O1337" i="3"/>
  <c r="P1337" i="3"/>
  <c r="A1338" i="3"/>
  <c r="B1338" i="3"/>
  <c r="C1338" i="3"/>
  <c r="D1338" i="3"/>
  <c r="E1338" i="3"/>
  <c r="F1338" i="3"/>
  <c r="G1338" i="3"/>
  <c r="H1338" i="3"/>
  <c r="I1338" i="3"/>
  <c r="J1338" i="3"/>
  <c r="K1338" i="3"/>
  <c r="L1338" i="3"/>
  <c r="M1338" i="3"/>
  <c r="N1338" i="3"/>
  <c r="O1338" i="3"/>
  <c r="P1338" i="3"/>
  <c r="A1339" i="3"/>
  <c r="B1339" i="3"/>
  <c r="C1339" i="3"/>
  <c r="D1339" i="3"/>
  <c r="E1339" i="3"/>
  <c r="F1339" i="3"/>
  <c r="G1339" i="3"/>
  <c r="H1339" i="3"/>
  <c r="I1339" i="3"/>
  <c r="J1339" i="3"/>
  <c r="K1339" i="3"/>
  <c r="L1339" i="3"/>
  <c r="M1339" i="3"/>
  <c r="N1339" i="3"/>
  <c r="O1339" i="3"/>
  <c r="P1339" i="3"/>
  <c r="A1340" i="3"/>
  <c r="B1340" i="3"/>
  <c r="C1340" i="3"/>
  <c r="D1340" i="3"/>
  <c r="E1340" i="3"/>
  <c r="F1340" i="3"/>
  <c r="G1340" i="3"/>
  <c r="H1340" i="3"/>
  <c r="I1340" i="3"/>
  <c r="J1340" i="3"/>
  <c r="K1340" i="3"/>
  <c r="L1340" i="3"/>
  <c r="M1340" i="3"/>
  <c r="N1340" i="3"/>
  <c r="O1340" i="3"/>
  <c r="P1340" i="3"/>
  <c r="B13" i="1"/>
  <c r="M13" i="1"/>
  <c r="B14" i="1"/>
  <c r="M14" i="1"/>
  <c r="M15" i="1"/>
  <c r="F510" i="1"/>
  <c r="H510" i="1"/>
  <c r="L510" i="1"/>
  <c r="O510" i="1"/>
  <c r="P510" i="1"/>
  <c r="Q510" i="1"/>
  <c r="X835" i="1"/>
  <c r="T1005" i="1"/>
  <c r="X1048" i="1"/>
  <c r="X1049" i="1"/>
  <c r="X1050" i="1"/>
  <c r="X1051" i="1"/>
  <c r="X1052" i="1"/>
  <c r="W1099" i="1"/>
  <c r="AA1104" i="1"/>
  <c r="T1145" i="1"/>
  <c r="AA1153" i="1"/>
  <c r="Y1200" i="1"/>
  <c r="F56" i="3"/>
  <c r="M60" i="14"/>
  <c r="M62" i="14" s="1"/>
  <c r="L60" i="14"/>
  <c r="B53" i="5" s="1"/>
  <c r="F561" i="1"/>
  <c r="F37" i="3" s="1"/>
  <c r="F364" i="3"/>
  <c r="B54" i="5"/>
  <c r="L62" i="14"/>
  <c r="F366" i="3"/>
  <c r="F563" i="1"/>
  <c r="F39" i="3" s="1"/>
  <c r="L366" i="3"/>
  <c r="L563" i="1"/>
  <c r="L39" i="3" s="1"/>
  <c r="P366" i="3"/>
  <c r="P563" i="1"/>
  <c r="P39" i="3" s="1"/>
  <c r="O563" i="1"/>
  <c r="O39" i="3" s="1"/>
  <c r="O366" i="3"/>
  <c r="O579" i="1"/>
  <c r="O55" i="3" s="1"/>
  <c r="O688" i="3"/>
  <c r="P579" i="1"/>
  <c r="P55" i="3" s="1"/>
  <c r="P688" i="3"/>
  <c r="L688" i="3"/>
  <c r="L579" i="1"/>
  <c r="L55" i="3" s="1"/>
  <c r="F688" i="3"/>
  <c r="F579" i="1"/>
  <c r="F55" i="3" s="1"/>
  <c r="Q579" i="1"/>
  <c r="N1217" i="1"/>
  <c r="I1217" i="1" s="1"/>
  <c r="I688" i="3" s="1"/>
  <c r="O687" i="3"/>
  <c r="O578" i="1"/>
  <c r="O54" i="3" s="1"/>
  <c r="N1216" i="1"/>
  <c r="N687" i="3" s="1"/>
  <c r="P687" i="3"/>
  <c r="P578" i="1"/>
  <c r="P54" i="3" s="1"/>
  <c r="L578" i="1"/>
  <c r="L54" i="3" s="1"/>
  <c r="L687" i="3"/>
  <c r="F578" i="1"/>
  <c r="F54" i="3" s="1"/>
  <c r="F687" i="3"/>
  <c r="Q578" i="1"/>
  <c r="D768" i="3"/>
  <c r="D1299" i="1"/>
  <c r="D770" i="3" s="1"/>
  <c r="D1300" i="1"/>
  <c r="D771" i="3" s="1"/>
  <c r="F90" i="12"/>
  <c r="D230" i="3"/>
  <c r="D737" i="3"/>
  <c r="I954" i="3"/>
  <c r="D110" i="1"/>
  <c r="H358" i="1" s="1"/>
  <c r="H1229" i="3" s="1"/>
  <c r="Q280" i="1"/>
  <c r="H319" i="1"/>
  <c r="H1190" i="3" s="1"/>
  <c r="H763" i="3"/>
  <c r="T742" i="1"/>
  <c r="W657" i="1"/>
  <c r="T734" i="1"/>
  <c r="H101" i="1"/>
  <c r="H982" i="3" s="1"/>
  <c r="T711" i="1"/>
  <c r="H103" i="1"/>
  <c r="H984" i="3" s="1"/>
  <c r="T713" i="1"/>
  <c r="T613" i="1"/>
  <c r="H102" i="1"/>
  <c r="H983" i="3" s="1"/>
  <c r="T712" i="1"/>
  <c r="T600" i="1"/>
  <c r="T682" i="1"/>
  <c r="N1093" i="1"/>
  <c r="N564" i="3" s="1"/>
  <c r="O564" i="3"/>
  <c r="H564" i="3"/>
  <c r="P564" i="3"/>
  <c r="T1101" i="1"/>
  <c r="T1087" i="1" s="1"/>
  <c r="J21" i="11"/>
  <c r="J22" i="11" s="1"/>
  <c r="T840" i="1" s="1"/>
  <c r="T1117" i="1"/>
  <c r="T1116" i="1"/>
  <c r="I263" i="1" l="1"/>
  <c r="N1134" i="3"/>
  <c r="I262" i="1"/>
  <c r="N1133" i="3"/>
  <c r="T621" i="1"/>
  <c r="T653" i="1"/>
  <c r="T657" i="1"/>
  <c r="F55" i="16"/>
  <c r="N966" i="3"/>
  <c r="H36" i="1"/>
  <c r="D36" i="1" s="1"/>
  <c r="H284" i="1" s="1"/>
  <c r="G53" i="16"/>
  <c r="W664" i="1"/>
  <c r="T664" i="1" s="1"/>
  <c r="H52" i="16"/>
  <c r="X663" i="1" s="1"/>
  <c r="E53" i="16"/>
  <c r="E55" i="16"/>
  <c r="T652" i="1"/>
  <c r="T633" i="1"/>
  <c r="T634" i="1"/>
  <c r="T620" i="1"/>
  <c r="H19" i="16"/>
  <c r="T608" i="1"/>
  <c r="T607" i="1"/>
  <c r="H11" i="16"/>
  <c r="W606" i="1" s="1"/>
  <c r="W629" i="1"/>
  <c r="T629" i="1"/>
  <c r="T614" i="1"/>
  <c r="H30" i="16"/>
  <c r="W632" i="1" s="1"/>
  <c r="W630" i="1"/>
  <c r="T630" i="1"/>
  <c r="W626" i="1"/>
  <c r="T626" i="1"/>
  <c r="W663" i="1"/>
  <c r="T663" i="1" s="1"/>
  <c r="W617" i="1"/>
  <c r="T617" i="1"/>
  <c r="W602" i="1"/>
  <c r="T602" i="1"/>
  <c r="D55" i="16"/>
  <c r="H43" i="16"/>
  <c r="C11" i="5"/>
  <c r="C6" i="5"/>
  <c r="B29" i="5" s="1"/>
  <c r="C32" i="5" s="1"/>
  <c r="C9" i="5"/>
  <c r="B43" i="5" s="1"/>
  <c r="C46" i="5" s="1"/>
  <c r="T773" i="1" s="1"/>
  <c r="C16" i="5"/>
  <c r="D16" i="5" s="1"/>
  <c r="K32" i="8"/>
  <c r="X823" i="1" s="1"/>
  <c r="N974" i="3"/>
  <c r="W1425" i="1"/>
  <c r="W1421" i="1"/>
  <c r="W1409" i="1"/>
  <c r="W1401" i="1"/>
  <c r="W1388" i="1"/>
  <c r="W1382" i="1"/>
  <c r="W1377" i="1"/>
  <c r="W1372" i="1"/>
  <c r="W1365" i="1"/>
  <c r="W1359" i="1"/>
  <c r="W1355" i="1"/>
  <c r="W1342" i="1"/>
  <c r="W1338" i="1"/>
  <c r="W1334" i="1"/>
  <c r="W1330" i="1"/>
  <c r="W1314" i="1"/>
  <c r="W1311" i="1"/>
  <c r="W1426" i="1"/>
  <c r="W1410" i="1"/>
  <c r="W1398" i="1"/>
  <c r="W1383" i="1"/>
  <c r="W1373" i="1"/>
  <c r="W1315" i="1"/>
  <c r="W1326" i="1"/>
  <c r="W1312" i="1"/>
  <c r="W1430" i="1"/>
  <c r="W1424" i="1"/>
  <c r="W1420" i="1"/>
  <c r="W1408" i="1"/>
  <c r="W1400" i="1"/>
  <c r="W1385" i="1"/>
  <c r="W1380" i="1"/>
  <c r="W1376" i="1"/>
  <c r="W1371" i="1"/>
  <c r="W1363" i="1"/>
  <c r="W1358" i="1"/>
  <c r="W1354" i="1"/>
  <c r="W1341" i="1"/>
  <c r="W1336" i="1"/>
  <c r="W1333" i="1"/>
  <c r="W1329" i="1"/>
  <c r="W1313" i="1"/>
  <c r="W1323" i="1"/>
  <c r="W1320" i="1"/>
  <c r="G90" i="12"/>
  <c r="W1431" i="1"/>
  <c r="W1429" i="1"/>
  <c r="W1422" i="1"/>
  <c r="W1402" i="1"/>
  <c r="W1378" i="1"/>
  <c r="W1360" i="1"/>
  <c r="W1356" i="1"/>
  <c r="W1343" i="1"/>
  <c r="W1339" i="1"/>
  <c r="W1331" i="1"/>
  <c r="W1321" i="1"/>
  <c r="W1427" i="1"/>
  <c r="W1423" i="1"/>
  <c r="W1412" i="1"/>
  <c r="W1407" i="1"/>
  <c r="W1399" i="1"/>
  <c r="W1384" i="1"/>
  <c r="W1379" i="1"/>
  <c r="W1374" i="1"/>
  <c r="W1370" i="1"/>
  <c r="W1362" i="1"/>
  <c r="W1357" i="1"/>
  <c r="W1344" i="1"/>
  <c r="W1340" i="1"/>
  <c r="W1335" i="1"/>
  <c r="W1332" i="1"/>
  <c r="W1327" i="1"/>
  <c r="W1325" i="1"/>
  <c r="W1322" i="1"/>
  <c r="E25" i="19"/>
  <c r="C30" i="19" s="1"/>
  <c r="E26" i="19"/>
  <c r="N954" i="3"/>
  <c r="N37" i="1"/>
  <c r="N983" i="3"/>
  <c r="I966" i="3"/>
  <c r="N326" i="1"/>
  <c r="N1197" i="3" s="1"/>
  <c r="N1050" i="3"/>
  <c r="D80" i="1"/>
  <c r="D961" i="3" s="1"/>
  <c r="I992" i="3"/>
  <c r="D70" i="1"/>
  <c r="D951" i="3" s="1"/>
  <c r="D74" i="1"/>
  <c r="D955" i="3" s="1"/>
  <c r="N1030" i="3"/>
  <c r="N935" i="3"/>
  <c r="P443" i="1"/>
  <c r="P1313" i="3" s="1"/>
  <c r="N955" i="3"/>
  <c r="I463" i="1"/>
  <c r="D463" i="1" s="1"/>
  <c r="D1333" i="3" s="1"/>
  <c r="O1076" i="3"/>
  <c r="F443" i="1"/>
  <c r="F1313" i="3" s="1"/>
  <c r="N1002" i="3"/>
  <c r="N419" i="1"/>
  <c r="N1289" i="3" s="1"/>
  <c r="G12" i="1"/>
  <c r="H12" i="1" s="1"/>
  <c r="N975" i="3"/>
  <c r="N295" i="1"/>
  <c r="I295" i="1" s="1"/>
  <c r="I1166" i="3" s="1"/>
  <c r="N991" i="3"/>
  <c r="N985" i="3"/>
  <c r="K814" i="3"/>
  <c r="N302" i="1"/>
  <c r="I302" i="1" s="1"/>
  <c r="I1173" i="3" s="1"/>
  <c r="N323" i="1"/>
  <c r="I323" i="1" s="1"/>
  <c r="I1194" i="3" s="1"/>
  <c r="N353" i="1"/>
  <c r="I353" i="1" s="1"/>
  <c r="I1224" i="3" s="1"/>
  <c r="F1300" i="1"/>
  <c r="F771" i="3" s="1"/>
  <c r="F1299" i="1"/>
  <c r="F770" i="3" s="1"/>
  <c r="I1052" i="3"/>
  <c r="O1080" i="3"/>
  <c r="N369" i="1"/>
  <c r="I369" i="1" s="1"/>
  <c r="I1240" i="3" s="1"/>
  <c r="N100" i="1"/>
  <c r="I100" i="1" s="1"/>
  <c r="I981" i="3" s="1"/>
  <c r="D364" i="3"/>
  <c r="N978" i="3"/>
  <c r="N917" i="3"/>
  <c r="N357" i="1"/>
  <c r="I357" i="1" s="1"/>
  <c r="I1228" i="3" s="1"/>
  <c r="N463" i="1"/>
  <c r="N1333" i="3" s="1"/>
  <c r="N328" i="1"/>
  <c r="I328" i="1" s="1"/>
  <c r="I1199" i="3" s="1"/>
  <c r="N278" i="1"/>
  <c r="N1149" i="3" s="1"/>
  <c r="I956" i="3"/>
  <c r="N39" i="1"/>
  <c r="I39" i="1" s="1"/>
  <c r="D39" i="1" s="1"/>
  <c r="D561" i="1"/>
  <c r="D37" i="3" s="1"/>
  <c r="N354" i="1"/>
  <c r="N1225" i="3" s="1"/>
  <c r="P1224" i="3"/>
  <c r="N992" i="3"/>
  <c r="N990" i="3"/>
  <c r="N976" i="3"/>
  <c r="N956" i="3"/>
  <c r="N951" i="3"/>
  <c r="N926" i="3"/>
  <c r="N1258" i="1"/>
  <c r="N729" i="3" s="1"/>
  <c r="N321" i="1"/>
  <c r="N1192" i="3" s="1"/>
  <c r="N345" i="1"/>
  <c r="I345" i="1" s="1"/>
  <c r="I1216" i="3" s="1"/>
  <c r="N319" i="1"/>
  <c r="I319" i="1" s="1"/>
  <c r="I1190" i="3" s="1"/>
  <c r="N417" i="1"/>
  <c r="I417" i="1" s="1"/>
  <c r="I1287" i="3" s="1"/>
  <c r="Q38" i="1"/>
  <c r="Q286" i="1" s="1"/>
  <c r="D69" i="1"/>
  <c r="H317" i="1" s="1"/>
  <c r="H1188" i="3" s="1"/>
  <c r="N580" i="1"/>
  <c r="N56" i="3" s="1"/>
  <c r="H443" i="1"/>
  <c r="H1313" i="3" s="1"/>
  <c r="N356" i="1"/>
  <c r="N1227" i="3" s="1"/>
  <c r="N934" i="3"/>
  <c r="N318" i="1"/>
  <c r="I318" i="1" s="1"/>
  <c r="I1189" i="3" s="1"/>
  <c r="N317" i="1"/>
  <c r="I317" i="1" s="1"/>
  <c r="I1188" i="3" s="1"/>
  <c r="P1228" i="3"/>
  <c r="N986" i="3"/>
  <c r="N979" i="3"/>
  <c r="N973" i="3"/>
  <c r="H916" i="3"/>
  <c r="D215" i="1"/>
  <c r="D1096" i="3" s="1"/>
  <c r="D563" i="1"/>
  <c r="D39" i="3" s="1"/>
  <c r="O1240" i="3"/>
  <c r="O1199" i="3"/>
  <c r="N1094" i="3"/>
  <c r="N952" i="3"/>
  <c r="N923" i="3"/>
  <c r="W1096" i="1"/>
  <c r="N29" i="1"/>
  <c r="I29" i="1" s="1"/>
  <c r="D29" i="1" s="1"/>
  <c r="I510" i="1"/>
  <c r="D510" i="1" s="1"/>
  <c r="D366" i="3"/>
  <c r="N1096" i="3"/>
  <c r="H447" i="1"/>
  <c r="H1317" i="3" s="1"/>
  <c r="L443" i="1"/>
  <c r="L1313" i="3" s="1"/>
  <c r="O1287" i="3"/>
  <c r="N320" i="1"/>
  <c r="N1191" i="3" s="1"/>
  <c r="P1149" i="3"/>
  <c r="N939" i="3"/>
  <c r="N1300" i="1"/>
  <c r="N771" i="3" s="1"/>
  <c r="O729" i="3"/>
  <c r="N937" i="3"/>
  <c r="D28" i="1"/>
  <c r="L276" i="1" s="1"/>
  <c r="L1147" i="3" s="1"/>
  <c r="D71" i="1"/>
  <c r="D952" i="3" s="1"/>
  <c r="I37" i="1"/>
  <c r="D37" i="1" s="1"/>
  <c r="H285" i="1" s="1"/>
  <c r="H1156" i="3" s="1"/>
  <c r="N33" i="1"/>
  <c r="N914" i="3" s="1"/>
  <c r="N355" i="1"/>
  <c r="N1226" i="3" s="1"/>
  <c r="P1197" i="3"/>
  <c r="N322" i="1"/>
  <c r="I322" i="1" s="1"/>
  <c r="I1193" i="3" s="1"/>
  <c r="O1190" i="3"/>
  <c r="O1189" i="3"/>
  <c r="N284" i="1"/>
  <c r="N1095" i="3"/>
  <c r="N1052" i="3"/>
  <c r="N1021" i="3"/>
  <c r="N961" i="3"/>
  <c r="N959" i="3"/>
  <c r="N928" i="3"/>
  <c r="N911" i="3"/>
  <c r="O910" i="3"/>
  <c r="N1299" i="1"/>
  <c r="N770" i="3" s="1"/>
  <c r="J1348" i="1"/>
  <c r="J816" i="3" s="1"/>
  <c r="N924" i="3"/>
  <c r="N358" i="1"/>
  <c r="I358" i="1" s="1"/>
  <c r="I1229" i="3" s="1"/>
  <c r="N461" i="1"/>
  <c r="N1331" i="3" s="1"/>
  <c r="T1135" i="1"/>
  <c r="N298" i="1"/>
  <c r="N1169" i="3" s="1"/>
  <c r="N340" i="1"/>
  <c r="I340" i="1" s="1"/>
  <c r="I1211" i="3" s="1"/>
  <c r="N350" i="1"/>
  <c r="I350" i="1" s="1"/>
  <c r="I1221" i="3" s="1"/>
  <c r="N299" i="1"/>
  <c r="I299" i="1" s="1"/>
  <c r="I1170" i="3" s="1"/>
  <c r="N351" i="1"/>
  <c r="N1222" i="3" s="1"/>
  <c r="T783" i="1"/>
  <c r="T1115" i="1"/>
  <c r="N334" i="1"/>
  <c r="N1205" i="3" s="1"/>
  <c r="N316" i="1"/>
  <c r="N1187" i="3" s="1"/>
  <c r="T784" i="1"/>
  <c r="N352" i="1"/>
  <c r="I352" i="1" s="1"/>
  <c r="I1223" i="3" s="1"/>
  <c r="N349" i="1"/>
  <c r="I349" i="1" s="1"/>
  <c r="I1220" i="3" s="1"/>
  <c r="N303" i="1"/>
  <c r="N297" i="1"/>
  <c r="I297" i="1" s="1"/>
  <c r="I1168" i="3" s="1"/>
  <c r="N293" i="1"/>
  <c r="N1164" i="3" s="1"/>
  <c r="O1222" i="3"/>
  <c r="O1221" i="3"/>
  <c r="N311" i="1"/>
  <c r="N1182" i="3" s="1"/>
  <c r="N306" i="1"/>
  <c r="I306" i="1" s="1"/>
  <c r="I1177" i="3" s="1"/>
  <c r="N296" i="1"/>
  <c r="I296" i="1" s="1"/>
  <c r="I1167" i="3" s="1"/>
  <c r="B95" i="5"/>
  <c r="D95" i="5" s="1"/>
  <c r="N307" i="1"/>
  <c r="N1178" i="3" s="1"/>
  <c r="D302" i="1"/>
  <c r="D1173" i="3" s="1"/>
  <c r="N327" i="1"/>
  <c r="I327" i="1" s="1"/>
  <c r="N344" i="1"/>
  <c r="N1215" i="3" s="1"/>
  <c r="N388" i="1"/>
  <c r="I388" i="1" s="1"/>
  <c r="I1259" i="3" s="1"/>
  <c r="N462" i="1"/>
  <c r="N1332" i="3" s="1"/>
  <c r="N305" i="1"/>
  <c r="I305" i="1" s="1"/>
  <c r="I1176" i="3" s="1"/>
  <c r="N343" i="1"/>
  <c r="I343" i="1" s="1"/>
  <c r="I1214" i="3" s="1"/>
  <c r="N342" i="1"/>
  <c r="I342" i="1" s="1"/>
  <c r="I1213" i="3" s="1"/>
  <c r="D956" i="3"/>
  <c r="F323" i="1"/>
  <c r="F321" i="1"/>
  <c r="F1192" i="3" s="1"/>
  <c r="D954" i="3"/>
  <c r="H917" i="3"/>
  <c r="N31" i="1"/>
  <c r="I31" i="1" s="1"/>
  <c r="I912" i="3" s="1"/>
  <c r="N960" i="3"/>
  <c r="O1259" i="3"/>
  <c r="O1214" i="3"/>
  <c r="O1213" i="3"/>
  <c r="P1178" i="3"/>
  <c r="O1176" i="3"/>
  <c r="N987" i="3"/>
  <c r="N984" i="3"/>
  <c r="N982" i="3"/>
  <c r="N977" i="3"/>
  <c r="N953" i="3"/>
  <c r="N938" i="3"/>
  <c r="N936" i="3"/>
  <c r="P910" i="3"/>
  <c r="N909" i="3"/>
  <c r="I1300" i="1"/>
  <c r="I771" i="3" s="1"/>
  <c r="N925" i="3"/>
  <c r="N927" i="3"/>
  <c r="N929" i="3"/>
  <c r="N931" i="3"/>
  <c r="N933" i="3"/>
  <c r="N304" i="1"/>
  <c r="N1175" i="3" s="1"/>
  <c r="P447" i="1"/>
  <c r="P1317" i="3" s="1"/>
  <c r="L447" i="1"/>
  <c r="L1317" i="3" s="1"/>
  <c r="F447" i="1"/>
  <c r="F1317" i="3" s="1"/>
  <c r="G44" i="16"/>
  <c r="W646" i="1"/>
  <c r="T646" i="1"/>
  <c r="W627" i="1"/>
  <c r="T627" i="1"/>
  <c r="G55" i="16"/>
  <c r="E44" i="16"/>
  <c r="X659" i="1"/>
  <c r="W659" i="1"/>
  <c r="T659" i="1" s="1"/>
  <c r="W628" i="1"/>
  <c r="T628" i="1"/>
  <c r="T1121" i="1"/>
  <c r="C17" i="5"/>
  <c r="B75" i="5" s="1"/>
  <c r="C14" i="5"/>
  <c r="P1187" i="3"/>
  <c r="C21" i="5"/>
  <c r="D21" i="5" s="1"/>
  <c r="C10" i="5"/>
  <c r="D10" i="5" s="1"/>
  <c r="C22" i="5"/>
  <c r="C13" i="5"/>
  <c r="C18" i="5"/>
  <c r="C15" i="5"/>
  <c r="C8" i="5"/>
  <c r="C20" i="5"/>
  <c r="D20" i="5" s="1"/>
  <c r="C12" i="5"/>
  <c r="D12" i="5" s="1"/>
  <c r="I68" i="1"/>
  <c r="H34" i="8"/>
  <c r="H35" i="8" s="1"/>
  <c r="H36" i="8" s="1"/>
  <c r="H37" i="8" s="1"/>
  <c r="H38" i="8" s="1"/>
  <c r="H39" i="8" s="1"/>
  <c r="H40" i="8" s="1"/>
  <c r="H41" i="8" s="1"/>
  <c r="H42" i="8" s="1"/>
  <c r="H43" i="8" s="1"/>
  <c r="T816" i="1" s="1"/>
  <c r="H17" i="8"/>
  <c r="H18" i="8" s="1"/>
  <c r="H19" i="8" s="1"/>
  <c r="T808" i="1" s="1"/>
  <c r="T806" i="1" s="1"/>
  <c r="O359" i="1"/>
  <c r="O1230" i="3" s="1"/>
  <c r="H359" i="1"/>
  <c r="H1230" i="3" s="1"/>
  <c r="L1299" i="1"/>
  <c r="L770" i="3" s="1"/>
  <c r="Q1300" i="1"/>
  <c r="N399" i="1"/>
  <c r="I399" i="1" s="1"/>
  <c r="I1270" i="3" s="1"/>
  <c r="N397" i="1"/>
  <c r="I397" i="1" s="1"/>
  <c r="I1268" i="3" s="1"/>
  <c r="N420" i="1"/>
  <c r="N1290" i="3" s="1"/>
  <c r="O1300" i="1"/>
  <c r="O771" i="3" s="1"/>
  <c r="T644" i="1"/>
  <c r="T738" i="1"/>
  <c r="T740" i="1"/>
  <c r="T594" i="1"/>
  <c r="T650" i="1"/>
  <c r="T647" i="1"/>
  <c r="T605" i="1"/>
  <c r="W658" i="1"/>
  <c r="T658" i="1" s="1"/>
  <c r="T739" i="1"/>
  <c r="T743" i="1"/>
  <c r="T616" i="1"/>
  <c r="T593" i="1"/>
  <c r="T632" i="1"/>
  <c r="T606" i="1"/>
  <c r="T649" i="1"/>
  <c r="W660" i="1"/>
  <c r="T660" i="1" s="1"/>
  <c r="N313" i="1"/>
  <c r="N1184" i="3" s="1"/>
  <c r="N309" i="1"/>
  <c r="N1180" i="3" s="1"/>
  <c r="N300" i="1"/>
  <c r="N1171" i="3" s="1"/>
  <c r="T737" i="1"/>
  <c r="T631" i="1"/>
  <c r="T625" i="1"/>
  <c r="T645" i="1"/>
  <c r="T651" i="1"/>
  <c r="F92" i="1"/>
  <c r="D92" i="1" s="1"/>
  <c r="T693" i="1"/>
  <c r="F45" i="1"/>
  <c r="D45" i="1" s="1"/>
  <c r="T685" i="1"/>
  <c r="T694" i="1"/>
  <c r="F93" i="1"/>
  <c r="F974" i="3" s="1"/>
  <c r="F49" i="1"/>
  <c r="D49" i="1" s="1"/>
  <c r="D930" i="3" s="1"/>
  <c r="T692" i="1"/>
  <c r="T691" i="1" s="1"/>
  <c r="T604" i="1"/>
  <c r="T696" i="1"/>
  <c r="T702" i="1"/>
  <c r="F94" i="1"/>
  <c r="F975" i="3" s="1"/>
  <c r="T695" i="1"/>
  <c r="T701" i="1"/>
  <c r="H51" i="1"/>
  <c r="T714" i="1"/>
  <c r="H104" i="1"/>
  <c r="D104" i="1" s="1"/>
  <c r="D985" i="3" s="1"/>
  <c r="L61" i="1"/>
  <c r="T720" i="1"/>
  <c r="L63" i="1"/>
  <c r="T722" i="1"/>
  <c r="L65" i="1"/>
  <c r="T724" i="1"/>
  <c r="L67" i="1"/>
  <c r="I67" i="1" s="1"/>
  <c r="I948" i="3" s="1"/>
  <c r="T726" i="1"/>
  <c r="F47" i="1"/>
  <c r="D47" i="1" s="1"/>
  <c r="D928" i="3" s="1"/>
  <c r="T687" i="1"/>
  <c r="F50" i="1"/>
  <c r="D50" i="1" s="1"/>
  <c r="T719" i="1"/>
  <c r="L60" i="1"/>
  <c r="L62" i="1"/>
  <c r="I62" i="1" s="1"/>
  <c r="D62" i="1" s="1"/>
  <c r="D943" i="3" s="1"/>
  <c r="T721" i="1"/>
  <c r="T723" i="1"/>
  <c r="L64" i="1"/>
  <c r="T725" i="1"/>
  <c r="L66" i="1"/>
  <c r="L59" i="1"/>
  <c r="I59" i="1" s="1"/>
  <c r="D59" i="1" s="1"/>
  <c r="D940" i="3" s="1"/>
  <c r="T601" i="1"/>
  <c r="F95" i="1"/>
  <c r="F976" i="3" s="1"/>
  <c r="H52" i="1"/>
  <c r="H933" i="3" s="1"/>
  <c r="N35" i="1"/>
  <c r="N918" i="3"/>
  <c r="I1216" i="1"/>
  <c r="I687" i="3" s="1"/>
  <c r="N688" i="3"/>
  <c r="P1300" i="1"/>
  <c r="L1300" i="1"/>
  <c r="H1300" i="1"/>
  <c r="P1299" i="1"/>
  <c r="P770" i="3" s="1"/>
  <c r="H1299" i="1"/>
  <c r="H770" i="3" s="1"/>
  <c r="N915" i="1"/>
  <c r="F333" i="1"/>
  <c r="D109" i="1"/>
  <c r="D990" i="3" s="1"/>
  <c r="I990" i="3"/>
  <c r="F359" i="1"/>
  <c r="D966" i="3"/>
  <c r="D991" i="3"/>
  <c r="D687" i="3"/>
  <c r="D578" i="1"/>
  <c r="D54" i="3" s="1"/>
  <c r="N195" i="1"/>
  <c r="N1076" i="3" s="1"/>
  <c r="I86" i="1"/>
  <c r="D86" i="1" s="1"/>
  <c r="I108" i="1"/>
  <c r="I989" i="3" s="1"/>
  <c r="N199" i="1"/>
  <c r="T1127" i="1"/>
  <c r="P359" i="1"/>
  <c r="P333" i="1"/>
  <c r="F358" i="1"/>
  <c r="H419" i="1"/>
  <c r="N578" i="1"/>
  <c r="N54" i="3" s="1"/>
  <c r="I935" i="3"/>
  <c r="D54" i="1"/>
  <c r="D935" i="3" s="1"/>
  <c r="D96" i="1"/>
  <c r="I977" i="3"/>
  <c r="I934" i="3"/>
  <c r="D97" i="1"/>
  <c r="I978" i="3"/>
  <c r="Q1299" i="1"/>
  <c r="O1299" i="1"/>
  <c r="O770" i="3" s="1"/>
  <c r="I1299" i="1"/>
  <c r="I770" i="3" s="1"/>
  <c r="N99" i="1"/>
  <c r="I99" i="1" s="1"/>
  <c r="D98" i="1"/>
  <c r="L346" i="1" s="1"/>
  <c r="I979" i="3"/>
  <c r="I1095" i="3"/>
  <c r="I462" i="1"/>
  <c r="I1332" i="3" s="1"/>
  <c r="D1301" i="1"/>
  <c r="D772" i="3" s="1"/>
  <c r="D101" i="1"/>
  <c r="I107" i="1"/>
  <c r="D107" i="1" s="1"/>
  <c r="H1204" i="3"/>
  <c r="I960" i="3"/>
  <c r="D79" i="1"/>
  <c r="D960" i="3" s="1"/>
  <c r="I953" i="3"/>
  <c r="D72" i="1"/>
  <c r="I986" i="3"/>
  <c r="D105" i="1"/>
  <c r="I911" i="3"/>
  <c r="D30" i="1"/>
  <c r="I925" i="3"/>
  <c r="F44" i="1"/>
  <c r="I959" i="3"/>
  <c r="D78" i="1"/>
  <c r="I987" i="3"/>
  <c r="D106" i="1"/>
  <c r="L354" i="1" s="1"/>
  <c r="I931" i="3"/>
  <c r="L333" i="1"/>
  <c r="O333" i="1"/>
  <c r="I1093" i="1"/>
  <c r="D103" i="1"/>
  <c r="H351" i="1" s="1"/>
  <c r="H323" i="1"/>
  <c r="N32" i="1"/>
  <c r="N510" i="1"/>
  <c r="N314" i="1"/>
  <c r="N1185" i="3" s="1"/>
  <c r="H1155" i="3"/>
  <c r="F42" i="1"/>
  <c r="F923" i="3" s="1"/>
  <c r="D102" i="1"/>
  <c r="D983" i="3" s="1"/>
  <c r="T612" i="1"/>
  <c r="D917" i="3"/>
  <c r="T718" i="1"/>
  <c r="H321" i="1"/>
  <c r="N579" i="1"/>
  <c r="I1094" i="3"/>
  <c r="I461" i="1"/>
  <c r="I1331" i="3" s="1"/>
  <c r="D263" i="1"/>
  <c r="D1134" i="3" s="1"/>
  <c r="T603" i="1"/>
  <c r="N294" i="1"/>
  <c r="I294" i="1" s="1"/>
  <c r="N310" i="1"/>
  <c r="N1181" i="3" s="1"/>
  <c r="N301" i="1"/>
  <c r="N308" i="1"/>
  <c r="N1179" i="3" s="1"/>
  <c r="N312" i="1"/>
  <c r="N1183" i="3" s="1"/>
  <c r="N315" i="1"/>
  <c r="F926" i="1"/>
  <c r="H922" i="1"/>
  <c r="F922" i="1"/>
  <c r="H926" i="1"/>
  <c r="D262" i="1" l="1"/>
  <c r="D1133" i="3" s="1"/>
  <c r="I1133" i="3"/>
  <c r="I915" i="1"/>
  <c r="I390" i="3" s="1"/>
  <c r="N390" i="3"/>
  <c r="N1173" i="3"/>
  <c r="I419" i="1"/>
  <c r="I1289" i="3" s="1"/>
  <c r="I511" i="1"/>
  <c r="I1134" i="3"/>
  <c r="AB948" i="1"/>
  <c r="AC948" i="1"/>
  <c r="E54" i="16"/>
  <c r="I326" i="1"/>
  <c r="I1197" i="3" s="1"/>
  <c r="T761" i="1"/>
  <c r="H21" i="8"/>
  <c r="H23" i="8" s="1"/>
  <c r="B52" i="5"/>
  <c r="C55" i="5" s="1"/>
  <c r="T781" i="1" s="1"/>
  <c r="G54" i="16"/>
  <c r="H55" i="16"/>
  <c r="D11" i="5"/>
  <c r="D17" i="5"/>
  <c r="D6" i="5"/>
  <c r="D9" i="5"/>
  <c r="C31" i="19"/>
  <c r="D31" i="19"/>
  <c r="D34" i="19" s="1"/>
  <c r="F16" i="19" s="1"/>
  <c r="D30" i="19"/>
  <c r="D35" i="19" s="1"/>
  <c r="F17" i="19" s="1"/>
  <c r="E27" i="19"/>
  <c r="H401" i="3"/>
  <c r="F401" i="3"/>
  <c r="F397" i="3"/>
  <c r="H397" i="3"/>
  <c r="F511" i="1"/>
  <c r="H511" i="1"/>
  <c r="I1258" i="1"/>
  <c r="I729" i="3" s="1"/>
  <c r="I298" i="1"/>
  <c r="I1169" i="3" s="1"/>
  <c r="I351" i="1"/>
  <c r="I1222" i="3" s="1"/>
  <c r="N443" i="1"/>
  <c r="N1313" i="3" s="1"/>
  <c r="D100" i="1"/>
  <c r="L348" i="1" s="1"/>
  <c r="L1219" i="3" s="1"/>
  <c r="H328" i="1"/>
  <c r="D328" i="1" s="1"/>
  <c r="D1199" i="3" s="1"/>
  <c r="I33" i="1"/>
  <c r="D33" i="1" s="1"/>
  <c r="H318" i="1"/>
  <c r="D318" i="1" s="1"/>
  <c r="D1189" i="3" s="1"/>
  <c r="N981" i="3"/>
  <c r="N1216" i="3"/>
  <c r="N1224" i="3"/>
  <c r="N1190" i="3"/>
  <c r="I580" i="1"/>
  <c r="I56" i="3" s="1"/>
  <c r="N1229" i="3"/>
  <c r="F1194" i="3"/>
  <c r="I1333" i="3"/>
  <c r="F1301" i="1"/>
  <c r="F772" i="3" s="1"/>
  <c r="D31" i="1"/>
  <c r="O279" i="1" s="1"/>
  <c r="O1150" i="3" s="1"/>
  <c r="D419" i="1"/>
  <c r="D1289" i="3" s="1"/>
  <c r="N1270" i="3"/>
  <c r="N1193" i="3"/>
  <c r="I967" i="3"/>
  <c r="I918" i="3"/>
  <c r="I920" i="3"/>
  <c r="F322" i="1"/>
  <c r="N1268" i="3"/>
  <c r="N447" i="1"/>
  <c r="N1317" i="3" s="1"/>
  <c r="F1204" i="3"/>
  <c r="I12" i="1"/>
  <c r="J12" i="1" s="1"/>
  <c r="K12" i="1" s="1"/>
  <c r="L12" i="1" s="1"/>
  <c r="D358" i="1"/>
  <c r="D1229" i="3" s="1"/>
  <c r="D319" i="1"/>
  <c r="D1190" i="3" s="1"/>
  <c r="I278" i="1"/>
  <c r="I1149" i="3" s="1"/>
  <c r="N1189" i="3"/>
  <c r="I578" i="1"/>
  <c r="I54" i="3" s="1"/>
  <c r="H276" i="1"/>
  <c r="H1147" i="3" s="1"/>
  <c r="L310" i="1"/>
  <c r="I310" i="1" s="1"/>
  <c r="D950" i="3"/>
  <c r="I293" i="1"/>
  <c r="I1164" i="3" s="1"/>
  <c r="N1166" i="3"/>
  <c r="D52" i="1"/>
  <c r="D933" i="3" s="1"/>
  <c r="N1199" i="3"/>
  <c r="D920" i="3"/>
  <c r="O287" i="1"/>
  <c r="O1158" i="3" s="1"/>
  <c r="N1240" i="3"/>
  <c r="I321" i="1"/>
  <c r="I1192" i="3" s="1"/>
  <c r="N38" i="1"/>
  <c r="I38" i="1" s="1"/>
  <c r="I919" i="3" s="1"/>
  <c r="N1194" i="3"/>
  <c r="N1170" i="3"/>
  <c r="N920" i="3"/>
  <c r="N912" i="3"/>
  <c r="D317" i="1"/>
  <c r="D1188" i="3" s="1"/>
  <c r="N1287" i="3"/>
  <c r="I910" i="3"/>
  <c r="D357" i="1"/>
  <c r="D1228" i="3" s="1"/>
  <c r="N1188" i="3"/>
  <c r="N1221" i="3"/>
  <c r="N1228" i="3"/>
  <c r="D38" i="1"/>
  <c r="P286" i="1" s="1"/>
  <c r="P1157" i="3" s="1"/>
  <c r="I284" i="1"/>
  <c r="N1155" i="3"/>
  <c r="F926" i="3"/>
  <c r="P276" i="1"/>
  <c r="P1147" i="3" s="1"/>
  <c r="F276" i="1"/>
  <c r="F1147" i="3" s="1"/>
  <c r="I443" i="1"/>
  <c r="O276" i="1"/>
  <c r="N1168" i="3"/>
  <c r="I940" i="3"/>
  <c r="N910" i="3"/>
  <c r="D909" i="3"/>
  <c r="N1301" i="1"/>
  <c r="N772" i="3" s="1"/>
  <c r="N1223" i="3"/>
  <c r="F930" i="3"/>
  <c r="N1177" i="3"/>
  <c r="D93" i="1"/>
  <c r="D974" i="3" s="1"/>
  <c r="N1211" i="3"/>
  <c r="L940" i="3"/>
  <c r="H352" i="1"/>
  <c r="H1223" i="3" s="1"/>
  <c r="H985" i="3"/>
  <c r="I303" i="1"/>
  <c r="I1174" i="3" s="1"/>
  <c r="N1174" i="3"/>
  <c r="I943" i="3"/>
  <c r="F297" i="1"/>
  <c r="D297" i="1" s="1"/>
  <c r="D1168" i="3" s="1"/>
  <c r="L948" i="3"/>
  <c r="N1167" i="3"/>
  <c r="N1214" i="3"/>
  <c r="F973" i="3"/>
  <c r="L943" i="3"/>
  <c r="F928" i="3"/>
  <c r="D94" i="1"/>
  <c r="D975" i="3" s="1"/>
  <c r="N1220" i="3"/>
  <c r="C25" i="5"/>
  <c r="N1176" i="3"/>
  <c r="F346" i="1"/>
  <c r="F1217" i="3" s="1"/>
  <c r="N1213" i="3"/>
  <c r="N1259" i="3"/>
  <c r="I344" i="1"/>
  <c r="I1215" i="3" s="1"/>
  <c r="N1198" i="3"/>
  <c r="D327" i="1"/>
  <c r="D1198" i="3" s="1"/>
  <c r="I1198" i="3"/>
  <c r="I304" i="1"/>
  <c r="I1175" i="3" s="1"/>
  <c r="D1258" i="1"/>
  <c r="D729" i="3" s="1"/>
  <c r="H68" i="1"/>
  <c r="H949" i="3" s="1"/>
  <c r="C79" i="5"/>
  <c r="T787" i="1" s="1"/>
  <c r="B68" i="5"/>
  <c r="D14" i="5"/>
  <c r="B36" i="5"/>
  <c r="C39" i="5" s="1"/>
  <c r="D8" i="5"/>
  <c r="B84" i="5"/>
  <c r="C85" i="5" s="1"/>
  <c r="T791" i="1" s="1"/>
  <c r="D18" i="5"/>
  <c r="B89" i="5"/>
  <c r="B90" i="5" s="1"/>
  <c r="D22" i="5"/>
  <c r="B67" i="5"/>
  <c r="C71" i="5" s="1"/>
  <c r="T788" i="1" s="1"/>
  <c r="D15" i="5"/>
  <c r="D13" i="5"/>
  <c r="B59" i="5"/>
  <c r="C62" i="5" s="1"/>
  <c r="T782" i="1" s="1"/>
  <c r="N359" i="1"/>
  <c r="I359" i="1" s="1"/>
  <c r="I949" i="3"/>
  <c r="H45" i="8"/>
  <c r="H47" i="8" s="1"/>
  <c r="D984" i="3"/>
  <c r="D95" i="1"/>
  <c r="F343" i="1" s="1"/>
  <c r="L307" i="1"/>
  <c r="I307" i="1" s="1"/>
  <c r="D67" i="1"/>
  <c r="D948" i="3" s="1"/>
  <c r="D973" i="3"/>
  <c r="F340" i="1"/>
  <c r="F1211" i="3" s="1"/>
  <c r="D931" i="3"/>
  <c r="F298" i="1"/>
  <c r="F931" i="3"/>
  <c r="I300" i="1"/>
  <c r="I1171" i="3" s="1"/>
  <c r="T622" i="1"/>
  <c r="V622" i="1" s="1"/>
  <c r="F46" i="1"/>
  <c r="T686" i="1"/>
  <c r="W662" i="1"/>
  <c r="T662" i="1" s="1"/>
  <c r="T684" i="1"/>
  <c r="D42" i="1"/>
  <c r="O290" i="1" s="1"/>
  <c r="H56" i="1"/>
  <c r="T705" i="1"/>
  <c r="T703" i="1"/>
  <c r="H53" i="1"/>
  <c r="T648" i="1"/>
  <c r="I65" i="1"/>
  <c r="L946" i="3"/>
  <c r="L944" i="3"/>
  <c r="I63" i="1"/>
  <c r="I61" i="1"/>
  <c r="L942" i="3"/>
  <c r="T706" i="1"/>
  <c r="H57" i="1"/>
  <c r="T751" i="1"/>
  <c r="V751" i="1" s="1"/>
  <c r="H55" i="1"/>
  <c r="T704" i="1"/>
  <c r="T688" i="1"/>
  <c r="F48" i="1"/>
  <c r="L947" i="3"/>
  <c r="I66" i="1"/>
  <c r="I64" i="1"/>
  <c r="L945" i="3"/>
  <c r="L941" i="3"/>
  <c r="I60" i="1"/>
  <c r="H932" i="3"/>
  <c r="D51" i="1"/>
  <c r="I35" i="1"/>
  <c r="N916" i="3"/>
  <c r="P287" i="1"/>
  <c r="D915" i="1"/>
  <c r="D390" i="3" s="1"/>
  <c r="L771" i="3"/>
  <c r="L1301" i="1"/>
  <c r="L772" i="3" s="1"/>
  <c r="H771" i="3"/>
  <c r="H1301" i="1"/>
  <c r="H772" i="3" s="1"/>
  <c r="P771" i="3"/>
  <c r="P1301" i="1"/>
  <c r="P772" i="3" s="1"/>
  <c r="D108" i="1"/>
  <c r="L356" i="1" s="1"/>
  <c r="I195" i="1"/>
  <c r="H25" i="11"/>
  <c r="H27" i="11" s="1"/>
  <c r="F1230" i="3"/>
  <c r="I199" i="1"/>
  <c r="N1080" i="3"/>
  <c r="I988" i="3"/>
  <c r="N980" i="3"/>
  <c r="P1230" i="3"/>
  <c r="F1229" i="3"/>
  <c r="N1165" i="3"/>
  <c r="I1301" i="1"/>
  <c r="I772" i="3" s="1"/>
  <c r="H1289" i="3"/>
  <c r="P1204" i="3"/>
  <c r="Q1301" i="1"/>
  <c r="F334" i="1"/>
  <c r="H334" i="1"/>
  <c r="L334" i="1"/>
  <c r="D967" i="3"/>
  <c r="H345" i="1"/>
  <c r="D978" i="3"/>
  <c r="F345" i="1"/>
  <c r="D977" i="3"/>
  <c r="F344" i="1"/>
  <c r="H344" i="1"/>
  <c r="O1301" i="1"/>
  <c r="O772" i="3" s="1"/>
  <c r="D982" i="3"/>
  <c r="H349" i="1"/>
  <c r="I980" i="3"/>
  <c r="D99" i="1"/>
  <c r="O346" i="1"/>
  <c r="P346" i="1"/>
  <c r="H346" i="1"/>
  <c r="D979" i="3"/>
  <c r="H350" i="1"/>
  <c r="D350" i="1" s="1"/>
  <c r="D1221" i="3" s="1"/>
  <c r="N913" i="3"/>
  <c r="I32" i="1"/>
  <c r="L1204" i="3"/>
  <c r="D926" i="3"/>
  <c r="F293" i="1"/>
  <c r="D323" i="1"/>
  <c r="D1194" i="3" s="1"/>
  <c r="H1194" i="3"/>
  <c r="D1093" i="1"/>
  <c r="I564" i="3"/>
  <c r="O1204" i="3"/>
  <c r="N333" i="1"/>
  <c r="N1204" i="3" s="1"/>
  <c r="L1217" i="3"/>
  <c r="D987" i="3"/>
  <c r="F354" i="1"/>
  <c r="H354" i="1"/>
  <c r="D988" i="3"/>
  <c r="F355" i="1"/>
  <c r="L355" i="1"/>
  <c r="H355" i="1"/>
  <c r="D959" i="3"/>
  <c r="H326" i="1"/>
  <c r="F279" i="1"/>
  <c r="D44" i="1"/>
  <c r="F292" i="1" s="1"/>
  <c r="F925" i="3"/>
  <c r="H278" i="1"/>
  <c r="D911" i="3"/>
  <c r="D986" i="3"/>
  <c r="F353" i="1"/>
  <c r="F320" i="1"/>
  <c r="H320" i="1"/>
  <c r="L320" i="1"/>
  <c r="D953" i="3"/>
  <c r="I354" i="1"/>
  <c r="L1225" i="3"/>
  <c r="P277" i="1"/>
  <c r="O277" i="1"/>
  <c r="D910" i="3"/>
  <c r="H277" i="1"/>
  <c r="B37" i="11"/>
  <c r="T812" i="1"/>
  <c r="W823" i="1" s="1"/>
  <c r="Y823" i="1" s="1"/>
  <c r="F295" i="1"/>
  <c r="F1166" i="3" s="1"/>
  <c r="I579" i="1"/>
  <c r="I55" i="3" s="1"/>
  <c r="N55" i="3"/>
  <c r="H1192" i="3"/>
  <c r="T710" i="1"/>
  <c r="T709" i="1" s="1"/>
  <c r="H58" i="1"/>
  <c r="T683" i="1"/>
  <c r="F43" i="1"/>
  <c r="P285" i="1"/>
  <c r="P1156" i="3" s="1"/>
  <c r="O285" i="1"/>
  <c r="F285" i="1"/>
  <c r="D918" i="3"/>
  <c r="L285" i="1"/>
  <c r="N1186" i="3"/>
  <c r="H1222" i="3"/>
  <c r="N1172" i="3"/>
  <c r="I301" i="1"/>
  <c r="I1165" i="3"/>
  <c r="F923" i="1"/>
  <c r="L922" i="1"/>
  <c r="F924" i="1"/>
  <c r="L923" i="1"/>
  <c r="AD948" i="1" l="1"/>
  <c r="AA949" i="1" s="1"/>
  <c r="O341" i="1"/>
  <c r="O1212" i="3" s="1"/>
  <c r="B36" i="11"/>
  <c r="X832" i="1" s="1"/>
  <c r="D38" i="19"/>
  <c r="F18" i="19"/>
  <c r="H1199" i="3"/>
  <c r="D511" i="1"/>
  <c r="D32" i="19"/>
  <c r="L397" i="3"/>
  <c r="L398" i="3"/>
  <c r="F398" i="3"/>
  <c r="H348" i="1"/>
  <c r="H1219" i="3" s="1"/>
  <c r="P348" i="1"/>
  <c r="P1219" i="3" s="1"/>
  <c r="O348" i="1"/>
  <c r="H1189" i="3"/>
  <c r="D68" i="1"/>
  <c r="L316" i="1" s="1"/>
  <c r="D298" i="1"/>
  <c r="D1169" i="3" s="1"/>
  <c r="D351" i="1"/>
  <c r="D1222" i="3" s="1"/>
  <c r="I914" i="3"/>
  <c r="H286" i="1"/>
  <c r="H1157" i="3" s="1"/>
  <c r="D981" i="3"/>
  <c r="F348" i="1"/>
  <c r="F1219" i="3" s="1"/>
  <c r="N1230" i="3"/>
  <c r="P279" i="1"/>
  <c r="N279" i="1" s="1"/>
  <c r="I279" i="1" s="1"/>
  <c r="N287" i="1"/>
  <c r="N1158" i="3" s="1"/>
  <c r="D912" i="3"/>
  <c r="F1193" i="3"/>
  <c r="D322" i="1"/>
  <c r="D1193" i="3" s="1"/>
  <c r="L25" i="11"/>
  <c r="L27" i="11" s="1"/>
  <c r="I447" i="1"/>
  <c r="D321" i="1"/>
  <c r="D1192" i="3" s="1"/>
  <c r="M12" i="1"/>
  <c r="N12" i="1" s="1"/>
  <c r="O12" i="1" s="1"/>
  <c r="N276" i="1"/>
  <c r="N1147" i="3" s="1"/>
  <c r="L1181" i="3"/>
  <c r="H300" i="1"/>
  <c r="H1171" i="3" s="1"/>
  <c r="D923" i="3"/>
  <c r="F341" i="1"/>
  <c r="F1212" i="3" s="1"/>
  <c r="P1158" i="3"/>
  <c r="N919" i="3"/>
  <c r="O1147" i="3"/>
  <c r="O286" i="1"/>
  <c r="F1168" i="3"/>
  <c r="F1169" i="3"/>
  <c r="I1155" i="3"/>
  <c r="D284" i="1"/>
  <c r="D1155" i="3" s="1"/>
  <c r="D443" i="1"/>
  <c r="D1313" i="3" s="1"/>
  <c r="I1313" i="3"/>
  <c r="F290" i="1"/>
  <c r="F1161" i="3" s="1"/>
  <c r="D919" i="3"/>
  <c r="P341" i="1"/>
  <c r="P1212" i="3" s="1"/>
  <c r="F342" i="1"/>
  <c r="F1213" i="3" s="1"/>
  <c r="D976" i="3"/>
  <c r="D352" i="1"/>
  <c r="D1223" i="3" s="1"/>
  <c r="L1178" i="3"/>
  <c r="D340" i="1"/>
  <c r="D1211" i="3" s="1"/>
  <c r="F356" i="1"/>
  <c r="F1227" i="3" s="1"/>
  <c r="C92" i="5"/>
  <c r="T794" i="1"/>
  <c r="T767" i="1"/>
  <c r="H356" i="1"/>
  <c r="H1227" i="3" s="1"/>
  <c r="D989" i="3"/>
  <c r="L315" i="1"/>
  <c r="D295" i="1"/>
  <c r="D1166" i="3" s="1"/>
  <c r="H1221" i="3"/>
  <c r="V609" i="1"/>
  <c r="F927" i="3"/>
  <c r="D46" i="1"/>
  <c r="I945" i="3"/>
  <c r="D64" i="1"/>
  <c r="H936" i="3"/>
  <c r="D55" i="1"/>
  <c r="W661" i="1"/>
  <c r="T661" i="1" s="1"/>
  <c r="I944" i="3"/>
  <c r="D63" i="1"/>
  <c r="H934" i="3"/>
  <c r="D53" i="1"/>
  <c r="D934" i="3" s="1"/>
  <c r="H299" i="1"/>
  <c r="D932" i="3"/>
  <c r="I941" i="3"/>
  <c r="D60" i="1"/>
  <c r="D66" i="1"/>
  <c r="I947" i="3"/>
  <c r="D48" i="1"/>
  <c r="D929" i="3" s="1"/>
  <c r="F929" i="3"/>
  <c r="H938" i="3"/>
  <c r="D57" i="1"/>
  <c r="D938" i="3" s="1"/>
  <c r="D61" i="1"/>
  <c r="I942" i="3"/>
  <c r="I946" i="3"/>
  <c r="D65" i="1"/>
  <c r="H937" i="3"/>
  <c r="D56" i="1"/>
  <c r="D937" i="3" s="1"/>
  <c r="D35" i="1"/>
  <c r="L283" i="1" s="1"/>
  <c r="I916" i="3"/>
  <c r="I1076" i="3"/>
  <c r="D195" i="1"/>
  <c r="D1076" i="3" s="1"/>
  <c r="I1080" i="3"/>
  <c r="D199" i="1"/>
  <c r="D1080" i="3" s="1"/>
  <c r="I356" i="1"/>
  <c r="I1227" i="3" s="1"/>
  <c r="L1227" i="3"/>
  <c r="O281" i="1"/>
  <c r="D914" i="3"/>
  <c r="L281" i="1"/>
  <c r="P281" i="1"/>
  <c r="F281" i="1"/>
  <c r="F1215" i="3"/>
  <c r="D344" i="1"/>
  <c r="D1215" i="3" s="1"/>
  <c r="F1216" i="3"/>
  <c r="D345" i="1"/>
  <c r="D1216" i="3" s="1"/>
  <c r="H1216" i="3"/>
  <c r="I334" i="1"/>
  <c r="I1205" i="3" s="1"/>
  <c r="L1205" i="3"/>
  <c r="F1205" i="3"/>
  <c r="H1215" i="3"/>
  <c r="H1205" i="3"/>
  <c r="I1230" i="3"/>
  <c r="D359" i="1"/>
  <c r="D1230" i="3" s="1"/>
  <c r="H1217" i="3"/>
  <c r="N346" i="1"/>
  <c r="O1217" i="3"/>
  <c r="D349" i="1"/>
  <c r="D1220" i="3" s="1"/>
  <c r="H1220" i="3"/>
  <c r="P1217" i="3"/>
  <c r="D980" i="3"/>
  <c r="P347" i="1"/>
  <c r="H347" i="1"/>
  <c r="O347" i="1"/>
  <c r="L347" i="1"/>
  <c r="F347" i="1"/>
  <c r="H1191" i="3"/>
  <c r="F1224" i="3"/>
  <c r="D353" i="1"/>
  <c r="D1224" i="3" s="1"/>
  <c r="F1163" i="3"/>
  <c r="D925" i="3"/>
  <c r="O292" i="1"/>
  <c r="F1150" i="3"/>
  <c r="H1197" i="3"/>
  <c r="D326" i="1"/>
  <c r="D1197" i="3" s="1"/>
  <c r="H1226" i="3"/>
  <c r="F1226" i="3"/>
  <c r="H1225" i="3"/>
  <c r="O1219" i="3"/>
  <c r="I333" i="1"/>
  <c r="L1191" i="3"/>
  <c r="I320" i="1"/>
  <c r="I1191" i="3" s="1"/>
  <c r="F1191" i="3"/>
  <c r="H1149" i="3"/>
  <c r="D278" i="1"/>
  <c r="D1149" i="3" s="1"/>
  <c r="L1226" i="3"/>
  <c r="I355" i="1"/>
  <c r="I1226" i="3" s="1"/>
  <c r="F1225" i="3"/>
  <c r="U1093" i="1"/>
  <c r="D564" i="3"/>
  <c r="D293" i="1"/>
  <c r="D1164" i="3" s="1"/>
  <c r="F1164" i="3"/>
  <c r="D32" i="1"/>
  <c r="I913" i="3"/>
  <c r="N285" i="1"/>
  <c r="N1156" i="3" s="1"/>
  <c r="O1156" i="3"/>
  <c r="X833" i="1"/>
  <c r="P1148" i="3"/>
  <c r="D354" i="1"/>
  <c r="D1225" i="3" s="1"/>
  <c r="I1225" i="3"/>
  <c r="L1156" i="3"/>
  <c r="F1156" i="3"/>
  <c r="D43" i="1"/>
  <c r="F924" i="3"/>
  <c r="H939" i="3"/>
  <c r="D58" i="1"/>
  <c r="D939" i="3" s="1"/>
  <c r="T643" i="1"/>
  <c r="H1148" i="3"/>
  <c r="N277" i="1"/>
  <c r="O1148" i="3"/>
  <c r="F1214" i="3"/>
  <c r="D343" i="1"/>
  <c r="D1214" i="3" s="1"/>
  <c r="D310" i="1"/>
  <c r="D1181" i="3" s="1"/>
  <c r="I1181" i="3"/>
  <c r="O1161" i="3"/>
  <c r="N290" i="1"/>
  <c r="I1178" i="3"/>
  <c r="D307" i="1"/>
  <c r="D1178" i="3" s="1"/>
  <c r="I1172" i="3"/>
  <c r="L926" i="1"/>
  <c r="O922" i="1"/>
  <c r="O926" i="1"/>
  <c r="L401" i="3" l="1"/>
  <c r="AA948" i="1"/>
  <c r="Z948" i="1"/>
  <c r="Z949" i="1"/>
  <c r="C94" i="5"/>
  <c r="C97" i="5" s="1"/>
  <c r="X836" i="1"/>
  <c r="B38" i="11"/>
  <c r="D37" i="11" s="1"/>
  <c r="T833" i="1" s="1"/>
  <c r="O401" i="3"/>
  <c r="O397" i="3"/>
  <c r="N348" i="1"/>
  <c r="N1219" i="3" s="1"/>
  <c r="N1150" i="3"/>
  <c r="I287" i="1"/>
  <c r="I1158" i="3" s="1"/>
  <c r="D949" i="3"/>
  <c r="H316" i="1"/>
  <c r="H1187" i="3" s="1"/>
  <c r="P1150" i="3"/>
  <c r="D300" i="1"/>
  <c r="D1171" i="3" s="1"/>
  <c r="I1317" i="3"/>
  <c r="D447" i="1"/>
  <c r="D1317" i="3" s="1"/>
  <c r="I276" i="1"/>
  <c r="D276" i="1" s="1"/>
  <c r="D1147" i="3" s="1"/>
  <c r="P12" i="1"/>
  <c r="D342" i="1"/>
  <c r="D1213" i="3" s="1"/>
  <c r="N341" i="1"/>
  <c r="D320" i="1"/>
  <c r="D1191" i="3" s="1"/>
  <c r="N286" i="1"/>
  <c r="O1157" i="3"/>
  <c r="F296" i="1"/>
  <c r="D296" i="1" s="1"/>
  <c r="D1167" i="3" s="1"/>
  <c r="L1187" i="3"/>
  <c r="I316" i="1"/>
  <c r="I1187" i="3" s="1"/>
  <c r="D356" i="1"/>
  <c r="D1227" i="3" s="1"/>
  <c r="L1186" i="3"/>
  <c r="I315" i="1"/>
  <c r="T635" i="1"/>
  <c r="V635" i="1" s="1"/>
  <c r="D927" i="3"/>
  <c r="F294" i="1"/>
  <c r="H304" i="1"/>
  <c r="H1175" i="3" s="1"/>
  <c r="D946" i="3"/>
  <c r="L313" i="1"/>
  <c r="D941" i="3"/>
  <c r="L308" i="1"/>
  <c r="H305" i="1"/>
  <c r="H301" i="1"/>
  <c r="D942" i="3"/>
  <c r="L309" i="1"/>
  <c r="D947" i="3"/>
  <c r="L314" i="1"/>
  <c r="H1170" i="3"/>
  <c r="D299" i="1"/>
  <c r="D1170" i="3" s="1"/>
  <c r="D944" i="3"/>
  <c r="L311" i="1"/>
  <c r="D936" i="3"/>
  <c r="H303" i="1"/>
  <c r="L312" i="1"/>
  <c r="D945" i="3"/>
  <c r="L1154" i="3"/>
  <c r="F283" i="1"/>
  <c r="H283" i="1"/>
  <c r="O283" i="1"/>
  <c r="P283" i="1"/>
  <c r="D916" i="3"/>
  <c r="I285" i="1"/>
  <c r="I1156" i="3" s="1"/>
  <c r="D334" i="1"/>
  <c r="D1205" i="3" s="1"/>
  <c r="P1152" i="3"/>
  <c r="F1152" i="3"/>
  <c r="L1152" i="3"/>
  <c r="N281" i="1"/>
  <c r="N1152" i="3" s="1"/>
  <c r="O1152" i="3"/>
  <c r="H306" i="1"/>
  <c r="H1177" i="3" s="1"/>
  <c r="F1218" i="3"/>
  <c r="N347" i="1"/>
  <c r="N1218" i="3" s="1"/>
  <c r="O1218" i="3"/>
  <c r="P1218" i="3"/>
  <c r="N1217" i="3"/>
  <c r="I346" i="1"/>
  <c r="L1218" i="3"/>
  <c r="H1218" i="3"/>
  <c r="I1204" i="3"/>
  <c r="D333" i="1"/>
  <c r="D1204" i="3" s="1"/>
  <c r="N292" i="1"/>
  <c r="O1163" i="3"/>
  <c r="D355" i="1"/>
  <c r="D1226" i="3" s="1"/>
  <c r="O280" i="1"/>
  <c r="D913" i="3"/>
  <c r="P280" i="1"/>
  <c r="F291" i="1"/>
  <c r="D924" i="3"/>
  <c r="O291" i="1"/>
  <c r="D279" i="1"/>
  <c r="D1150" i="3" s="1"/>
  <c r="I1150" i="3"/>
  <c r="N1148" i="3"/>
  <c r="I277" i="1"/>
  <c r="I290" i="1"/>
  <c r="N1161" i="3"/>
  <c r="P948" i="1"/>
  <c r="O948" i="1"/>
  <c r="P949" i="1"/>
  <c r="O949" i="1"/>
  <c r="I348" i="1" l="1"/>
  <c r="I1219" i="3" s="1"/>
  <c r="D36" i="11"/>
  <c r="T832" i="1" s="1"/>
  <c r="D35" i="11"/>
  <c r="T831" i="1" s="1"/>
  <c r="D287" i="1"/>
  <c r="D1158" i="3" s="1"/>
  <c r="I1147" i="3"/>
  <c r="Q12" i="1"/>
  <c r="D285" i="1"/>
  <c r="D1156" i="3" s="1"/>
  <c r="N1212" i="3"/>
  <c r="I341" i="1"/>
  <c r="N1157" i="3"/>
  <c r="I286" i="1"/>
  <c r="F1167" i="3"/>
  <c r="F1154" i="3"/>
  <c r="D306" i="1"/>
  <c r="D1177" i="3" s="1"/>
  <c r="D316" i="1"/>
  <c r="D1187" i="3" s="1"/>
  <c r="D304" i="1"/>
  <c r="D1175" i="3" s="1"/>
  <c r="D315" i="1"/>
  <c r="D1186" i="3" s="1"/>
  <c r="I1186" i="3"/>
  <c r="D294" i="1"/>
  <c r="D1165" i="3" s="1"/>
  <c r="F1165" i="3"/>
  <c r="H1174" i="3"/>
  <c r="D303" i="1"/>
  <c r="D1174" i="3" s="1"/>
  <c r="I311" i="1"/>
  <c r="L1182" i="3"/>
  <c r="I314" i="1"/>
  <c r="L1185" i="3"/>
  <c r="L1180" i="3"/>
  <c r="I309" i="1"/>
  <c r="H1176" i="3"/>
  <c r="D305" i="1"/>
  <c r="D1176" i="3" s="1"/>
  <c r="L1183" i="3"/>
  <c r="I312" i="1"/>
  <c r="H1172" i="3"/>
  <c r="D301" i="1"/>
  <c r="D1172" i="3" s="1"/>
  <c r="I308" i="1"/>
  <c r="L1179" i="3"/>
  <c r="L1184" i="3"/>
  <c r="I313" i="1"/>
  <c r="H1154" i="3"/>
  <c r="O1154" i="3"/>
  <c r="N283" i="1"/>
  <c r="P1154" i="3"/>
  <c r="I347" i="1"/>
  <c r="I1218" i="3" s="1"/>
  <c r="I281" i="1"/>
  <c r="D346" i="1"/>
  <c r="D1217" i="3" s="1"/>
  <c r="I1217" i="3"/>
  <c r="I292" i="1"/>
  <c r="N1163" i="3"/>
  <c r="P1151" i="3"/>
  <c r="O1151" i="3"/>
  <c r="N280" i="1"/>
  <c r="I1148" i="3"/>
  <c r="D277" i="1"/>
  <c r="D1148" i="3" s="1"/>
  <c r="O1162" i="3"/>
  <c r="N291" i="1"/>
  <c r="F1162" i="3"/>
  <c r="I1161" i="3"/>
  <c r="D290" i="1"/>
  <c r="D1161" i="3" s="1"/>
  <c r="P922" i="1"/>
  <c r="P926" i="1"/>
  <c r="Q922" i="1"/>
  <c r="Q926" i="1"/>
  <c r="P401" i="3" l="1"/>
  <c r="P397" i="3"/>
  <c r="D348" i="1"/>
  <c r="D1219" i="3" s="1"/>
  <c r="N926" i="1"/>
  <c r="N922" i="1"/>
  <c r="R12" i="1"/>
  <c r="S12" i="1" s="1"/>
  <c r="T12" i="1" s="1"/>
  <c r="U12" i="1" s="1"/>
  <c r="V12" i="1" s="1"/>
  <c r="W12" i="1" s="1"/>
  <c r="X12" i="1" s="1"/>
  <c r="Y12" i="1" s="1"/>
  <c r="I1212" i="3"/>
  <c r="D341" i="1"/>
  <c r="D1212" i="3" s="1"/>
  <c r="I1157" i="3"/>
  <c r="D286" i="1"/>
  <c r="D1157" i="3" s="1"/>
  <c r="D347" i="1"/>
  <c r="D1218" i="3" s="1"/>
  <c r="D308" i="1"/>
  <c r="D1179" i="3" s="1"/>
  <c r="I1179" i="3"/>
  <c r="I1185" i="3"/>
  <c r="D314" i="1"/>
  <c r="D1185" i="3" s="1"/>
  <c r="D311" i="1"/>
  <c r="D1182" i="3" s="1"/>
  <c r="I1182" i="3"/>
  <c r="D313" i="1"/>
  <c r="D1184" i="3" s="1"/>
  <c r="I1184" i="3"/>
  <c r="D312" i="1"/>
  <c r="D1183" i="3" s="1"/>
  <c r="I1183" i="3"/>
  <c r="D309" i="1"/>
  <c r="D1180" i="3" s="1"/>
  <c r="I1180" i="3"/>
  <c r="N1154" i="3"/>
  <c r="I283" i="1"/>
  <c r="I1152" i="3"/>
  <c r="D281" i="1"/>
  <c r="D1152" i="3" s="1"/>
  <c r="I1163" i="3"/>
  <c r="D292" i="1"/>
  <c r="D1163" i="3" s="1"/>
  <c r="I280" i="1"/>
  <c r="N1151" i="3"/>
  <c r="N1162" i="3"/>
  <c r="I291" i="1"/>
  <c r="I926" i="1" l="1"/>
  <c r="N401" i="3"/>
  <c r="I922" i="1"/>
  <c r="N397" i="3"/>
  <c r="D283" i="1"/>
  <c r="D1154" i="3" s="1"/>
  <c r="I1154" i="3"/>
  <c r="I1151" i="3"/>
  <c r="D280" i="1"/>
  <c r="D1151" i="3" s="1"/>
  <c r="D291" i="1"/>
  <c r="D1162" i="3" s="1"/>
  <c r="I1162" i="3"/>
  <c r="D926" i="1" l="1"/>
  <c r="D401" i="3" s="1"/>
  <c r="I401" i="3"/>
  <c r="D922" i="1"/>
  <c r="D397" i="3" s="1"/>
  <c r="I397" i="3"/>
  <c r="D410" i="3"/>
  <c r="D734" i="3" l="1"/>
  <c r="F626" i="3" l="1"/>
  <c r="F625" i="3"/>
  <c r="D579" i="1" l="1"/>
  <c r="D55" i="3" s="1"/>
  <c r="D688" i="3"/>
  <c r="F763" i="3" l="1"/>
  <c r="F318" i="3" l="1"/>
  <c r="P399" i="3" l="1"/>
  <c r="O399" i="3"/>
  <c r="F399" i="3" l="1"/>
  <c r="D229" i="3" l="1"/>
  <c r="O423" i="3" l="1"/>
  <c r="P424" i="3"/>
  <c r="O424" i="3"/>
  <c r="P423" i="3"/>
  <c r="N293" i="3" l="1"/>
  <c r="L841" i="1"/>
  <c r="L697" i="1"/>
  <c r="F775" i="1"/>
  <c r="Q888" i="1"/>
  <c r="L632" i="1"/>
  <c r="F696" i="1"/>
  <c r="O988" i="1"/>
  <c r="P628" i="1"/>
  <c r="F693" i="1"/>
  <c r="H1208" i="1"/>
  <c r="P612" i="1"/>
  <c r="F1086" i="1"/>
  <c r="F927" i="1"/>
  <c r="P651" i="1"/>
  <c r="L711" i="1"/>
  <c r="H625" i="1"/>
  <c r="F819" i="1"/>
  <c r="L695" i="1"/>
  <c r="L763" i="1"/>
  <c r="F688" i="1"/>
  <c r="H606" i="1"/>
  <c r="F712" i="1"/>
  <c r="P634" i="1"/>
  <c r="H603" i="1"/>
  <c r="F1215" i="1"/>
  <c r="O889" i="1"/>
  <c r="F652" i="1"/>
  <c r="F653" i="1"/>
  <c r="F702" i="1"/>
  <c r="H769" i="1"/>
  <c r="H608" i="1"/>
  <c r="P867" i="1"/>
  <c r="O987" i="1"/>
  <c r="P618" i="1"/>
  <c r="L1312" i="1"/>
  <c r="L927" i="1"/>
  <c r="F621" i="1"/>
  <c r="L701" i="1"/>
  <c r="F695" i="1"/>
  <c r="Q645" i="1"/>
  <c r="P630" i="1"/>
  <c r="O883" i="1"/>
  <c r="O871" i="1"/>
  <c r="O762" i="1"/>
  <c r="O1064" i="1"/>
  <c r="O816" i="1"/>
  <c r="F659" i="1"/>
  <c r="Q706" i="1"/>
  <c r="Q711" i="1"/>
  <c r="Q868" i="1"/>
  <c r="F722" i="1"/>
  <c r="P988" i="1"/>
  <c r="H815" i="1"/>
  <c r="Q1427" i="1"/>
  <c r="F763" i="1"/>
  <c r="P819" i="1"/>
  <c r="L705" i="1"/>
  <c r="P912" i="1"/>
  <c r="H920" i="1"/>
  <c r="H890" i="1"/>
  <c r="F911" i="1"/>
  <c r="H673" i="1"/>
  <c r="L1084" i="1"/>
  <c r="Q613" i="1"/>
  <c r="H867" i="1"/>
  <c r="O1084" i="1"/>
  <c r="Q1314" i="1"/>
  <c r="H702" i="1"/>
  <c r="F616" i="1"/>
  <c r="F648" i="1"/>
  <c r="Q629" i="1"/>
  <c r="F868" i="1"/>
  <c r="F612" i="1"/>
  <c r="L1128" i="1"/>
  <c r="F720" i="1"/>
  <c r="P1263" i="1"/>
  <c r="F1094" i="1"/>
  <c r="P683" i="1"/>
  <c r="H705" i="1"/>
  <c r="Q701" i="1"/>
  <c r="Q927" i="1"/>
  <c r="Q784" i="1"/>
  <c r="O618" i="1"/>
  <c r="P1313" i="1"/>
  <c r="P658" i="1"/>
  <c r="P620" i="1"/>
  <c r="H607" i="1"/>
  <c r="O720" i="1"/>
  <c r="H1064" i="1"/>
  <c r="F670" i="1"/>
  <c r="P615" i="1"/>
  <c r="H659" i="1"/>
  <c r="L725" i="1"/>
  <c r="F1117" i="1"/>
  <c r="H1138" i="1"/>
  <c r="H670" i="1"/>
  <c r="Q807" i="1"/>
  <c r="F713" i="1"/>
  <c r="O628" i="1"/>
  <c r="L607" i="1"/>
  <c r="L722" i="1"/>
  <c r="P1128" i="1"/>
  <c r="F662" i="1"/>
  <c r="O702" i="1"/>
  <c r="F1049" i="1"/>
  <c r="P865" i="1"/>
  <c r="Q1312" i="1"/>
  <c r="O670" i="1"/>
  <c r="H719" i="1"/>
  <c r="O929" i="1"/>
  <c r="Q1269" i="1"/>
  <c r="F658" i="1"/>
  <c r="L649" i="1"/>
  <c r="O1128" i="1"/>
  <c r="Q726" i="1"/>
  <c r="F719" i="1"/>
  <c r="F694" i="1"/>
  <c r="O867" i="1"/>
  <c r="Q948" i="1"/>
  <c r="L696" i="1"/>
  <c r="F711" i="1"/>
  <c r="F871" i="1"/>
  <c r="P928" i="1"/>
  <c r="Q769" i="1"/>
  <c r="O625" i="1"/>
  <c r="F920" i="1"/>
  <c r="L1138" i="1"/>
  <c r="H1312" i="1"/>
  <c r="O939" i="1"/>
  <c r="L668" i="1"/>
  <c r="F1313" i="1"/>
  <c r="L614" i="1"/>
  <c r="P627" i="1"/>
  <c r="O841" i="1"/>
  <c r="L1065" i="1"/>
  <c r="Q1430" i="1"/>
  <c r="F668" i="1"/>
  <c r="H1116" i="1"/>
  <c r="O1116" i="1"/>
  <c r="Q1215" i="1"/>
  <c r="Q1123" i="1"/>
  <c r="Q1083" i="1"/>
  <c r="O1049" i="1"/>
  <c r="L645" i="1"/>
  <c r="F1064" i="1"/>
  <c r="L1269" i="1"/>
  <c r="L1058" i="1"/>
  <c r="P687" i="1"/>
  <c r="H1123" i="1"/>
  <c r="Q697" i="1"/>
  <c r="O774" i="1"/>
  <c r="P669" i="1"/>
  <c r="H627" i="1"/>
  <c r="H888" i="1"/>
  <c r="H633" i="1"/>
  <c r="L949" i="1"/>
  <c r="P1064" i="1"/>
  <c r="P859" i="1"/>
  <c r="Q663" i="1"/>
  <c r="O718" i="1"/>
  <c r="L1095" i="1"/>
  <c r="O1083" i="1"/>
  <c r="L708" i="1"/>
  <c r="O974" i="1"/>
  <c r="O649" i="1"/>
  <c r="F948" i="1"/>
  <c r="P889" i="1"/>
  <c r="P1117" i="1"/>
  <c r="Q974" i="1"/>
  <c r="P697" i="1"/>
  <c r="L694" i="1"/>
  <c r="P909" i="1"/>
  <c r="O1315" i="1"/>
  <c r="H594" i="1"/>
  <c r="P646" i="1"/>
  <c r="H948" i="1"/>
  <c r="Q1085" i="1"/>
  <c r="O687" i="1"/>
  <c r="Q889" i="1"/>
  <c r="O711" i="1"/>
  <c r="L1122" i="1"/>
  <c r="L988" i="1"/>
  <c r="F1128" i="1"/>
  <c r="Q695" i="1"/>
  <c r="Q643" i="1"/>
  <c r="F614" i="1"/>
  <c r="F1099" i="1"/>
  <c r="P1096" i="1"/>
  <c r="P763" i="1"/>
  <c r="P1057" i="1"/>
  <c r="H1227" i="1"/>
  <c r="O829" i="1"/>
  <c r="P841" i="1"/>
  <c r="L928" i="1"/>
  <c r="L718" i="1"/>
  <c r="F909" i="1"/>
  <c r="H1137" i="1"/>
  <c r="F683" i="1"/>
  <c r="O695" i="1"/>
  <c r="P663" i="1"/>
  <c r="P816" i="1"/>
  <c r="P808" i="1"/>
  <c r="Q696" i="1"/>
  <c r="Q685" i="1"/>
  <c r="F1084" i="1"/>
  <c r="F663" i="1"/>
  <c r="H652" i="1"/>
  <c r="L644" i="1"/>
  <c r="H617" i="1"/>
  <c r="Q702" i="1"/>
  <c r="Q608" i="1"/>
  <c r="L1096" i="1"/>
  <c r="Q720" i="1"/>
  <c r="H658" i="1"/>
  <c r="Q634" i="1"/>
  <c r="P1315" i="1"/>
  <c r="P1227" i="1"/>
  <c r="F1122" i="1"/>
  <c r="P648" i="1"/>
  <c r="L883" i="1"/>
  <c r="H1314" i="1"/>
  <c r="L1208" i="1"/>
  <c r="Q604" i="1"/>
  <c r="Q988" i="1"/>
  <c r="Q693" i="1"/>
  <c r="P619" i="1"/>
  <c r="H1096" i="1"/>
  <c r="H651" i="1"/>
  <c r="L987" i="1"/>
  <c r="L1050" i="1"/>
  <c r="L769" i="1"/>
  <c r="O1123" i="1"/>
  <c r="O921" i="1"/>
  <c r="F1269" i="1"/>
  <c r="H1050" i="1"/>
  <c r="F630" i="1"/>
  <c r="O696" i="1"/>
  <c r="H668" i="1"/>
  <c r="P1311" i="1"/>
  <c r="Q1099" i="1"/>
  <c r="H819" i="1"/>
  <c r="F748" i="1"/>
  <c r="H909" i="1"/>
  <c r="H648" i="1"/>
  <c r="Q783" i="1"/>
  <c r="P606" i="1"/>
  <c r="P686" i="1"/>
  <c r="Q925" i="1"/>
  <c r="L865" i="1"/>
  <c r="L615" i="1"/>
  <c r="F1227" i="1"/>
  <c r="Q605" i="1"/>
  <c r="P1065" i="1"/>
  <c r="H613" i="1"/>
  <c r="O1215" i="1"/>
  <c r="P991" i="1"/>
  <c r="O747" i="1"/>
  <c r="H632" i="1"/>
  <c r="O1311" i="1"/>
  <c r="O1236" i="1"/>
  <c r="F691" i="1"/>
  <c r="P815" i="1"/>
  <c r="P829" i="1"/>
  <c r="O848" i="1"/>
  <c r="Q690" i="1"/>
  <c r="L714" i="1"/>
  <c r="O690" i="1"/>
  <c r="O657" i="1"/>
  <c r="P701" i="1"/>
  <c r="P682" i="1"/>
  <c r="O602" i="1"/>
  <c r="H912" i="1"/>
  <c r="L783" i="1"/>
  <c r="Q1420" i="1"/>
  <c r="P923" i="1"/>
  <c r="Q601" i="1"/>
  <c r="L602" i="1"/>
  <c r="Q704" i="1"/>
  <c r="H620" i="1"/>
  <c r="Q672" i="1"/>
  <c r="Q1050" i="1"/>
  <c r="Q1209" i="1"/>
  <c r="F661" i="1"/>
  <c r="O652" i="1"/>
  <c r="H749" i="1"/>
  <c r="H1122" i="1"/>
  <c r="Q632" i="1"/>
  <c r="Q662" i="1"/>
  <c r="H1051" i="1"/>
  <c r="Q600" i="1"/>
  <c r="P652" i="1"/>
  <c r="H645" i="1"/>
  <c r="P607" i="1"/>
  <c r="P966" i="1"/>
  <c r="O659" i="1"/>
  <c r="L659" i="1"/>
  <c r="O865" i="1"/>
  <c r="L653" i="1"/>
  <c r="F762" i="1"/>
  <c r="F1312" i="1"/>
  <c r="H616" i="1"/>
  <c r="P1312" i="1"/>
  <c r="L1057" i="1"/>
  <c r="H949" i="1"/>
  <c r="F643" i="1"/>
  <c r="L605" i="1"/>
  <c r="O1263" i="1"/>
  <c r="H718" i="1"/>
  <c r="H614" i="1"/>
  <c r="Q1096" i="1"/>
  <c r="Q650" i="1"/>
  <c r="P685" i="1"/>
  <c r="L1311" i="1"/>
  <c r="F709" i="1"/>
  <c r="O1101" i="1"/>
  <c r="Q614" i="1"/>
  <c r="O1312" i="1"/>
  <c r="L775" i="1"/>
  <c r="L921" i="1"/>
  <c r="L1209" i="1"/>
  <c r="L867" i="1"/>
  <c r="L682" i="1"/>
  <c r="H762" i="1"/>
  <c r="H703" i="1"/>
  <c r="F726" i="1"/>
  <c r="P925" i="1"/>
  <c r="F912" i="1"/>
  <c r="Q1422" i="1"/>
  <c r="H829" i="1"/>
  <c r="Q1270" i="1"/>
  <c r="Q651" i="1"/>
  <c r="F607" i="1"/>
  <c r="L912" i="1"/>
  <c r="O1138" i="1"/>
  <c r="Q653" i="1"/>
  <c r="Q1263" i="1"/>
  <c r="H688" i="1"/>
  <c r="P643" i="1"/>
  <c r="O768" i="1"/>
  <c r="P629" i="1"/>
  <c r="L768" i="1"/>
  <c r="Q787" i="1"/>
  <c r="O1122" i="1"/>
  <c r="F682" i="1"/>
  <c r="L652" i="1"/>
  <c r="O991" i="1"/>
  <c r="H713" i="1"/>
  <c r="P696" i="1"/>
  <c r="F1123" i="1"/>
  <c r="H1313" i="1"/>
  <c r="P1137" i="1"/>
  <c r="H1085" i="1"/>
  <c r="P1051" i="1"/>
  <c r="P1049" i="1"/>
  <c r="Q1137" i="1"/>
  <c r="P688" i="1"/>
  <c r="F815" i="1"/>
  <c r="P673" i="1"/>
  <c r="O651" i="1"/>
  <c r="F701" i="1"/>
  <c r="H631" i="1"/>
  <c r="H1084" i="1"/>
  <c r="O783" i="1"/>
  <c r="L815" i="1"/>
  <c r="H1270" i="1"/>
  <c r="L940" i="1"/>
  <c r="L1313" i="1"/>
  <c r="O1051" i="1"/>
  <c r="Q615" i="1"/>
  <c r="Q594" i="1"/>
  <c r="O912" i="1"/>
  <c r="Q867" i="1"/>
  <c r="Q1116" i="1"/>
  <c r="H865" i="1"/>
  <c r="Q1101" i="1"/>
  <c r="H644" i="1"/>
  <c r="O703" i="1"/>
  <c r="F816" i="1"/>
  <c r="F860" i="1"/>
  <c r="F1137" i="1"/>
  <c r="Q763" i="1"/>
  <c r="L617" i="1"/>
  <c r="Q1095" i="1"/>
  <c r="H701" i="1"/>
  <c r="Q627" i="1"/>
  <c r="O860" i="1"/>
  <c r="O684" i="1"/>
  <c r="P631" i="1"/>
  <c r="L646" i="1"/>
  <c r="O685" i="1"/>
  <c r="P987" i="1"/>
  <c r="Q660" i="1"/>
  <c r="Q924" i="1"/>
  <c r="P659" i="1"/>
  <c r="P664" i="1"/>
  <c r="H911" i="1"/>
  <c r="F686" i="1"/>
  <c r="P662" i="1"/>
  <c r="F1096" i="1"/>
  <c r="H883" i="1"/>
  <c r="Q991" i="1"/>
  <c r="O920" i="1"/>
  <c r="O658" i="1"/>
  <c r="P594" i="1"/>
  <c r="L634" i="1"/>
  <c r="F883" i="1"/>
  <c r="L685" i="1"/>
  <c r="L762" i="1"/>
  <c r="Q718" i="1"/>
  <c r="F865" i="1"/>
  <c r="F888" i="1"/>
  <c r="H602" i="1"/>
  <c r="O693" i="1"/>
  <c r="F723" i="1"/>
  <c r="Q1057" i="1"/>
  <c r="O1270" i="1"/>
  <c r="L816" i="1"/>
  <c r="P649" i="1"/>
  <c r="F629" i="1"/>
  <c r="L673" i="1"/>
  <c r="O669" i="1"/>
  <c r="L704" i="1"/>
  <c r="F619" i="1"/>
  <c r="F749" i="1"/>
  <c r="H816" i="1"/>
  <c r="L787" i="1"/>
  <c r="L650" i="1"/>
  <c r="O787" i="1"/>
  <c r="P660" i="1"/>
  <c r="F660" i="1"/>
  <c r="H1101" i="1"/>
  <c r="H925" i="1"/>
  <c r="Q657" i="1"/>
  <c r="L703" i="1"/>
  <c r="Q714" i="1"/>
  <c r="P748" i="1"/>
  <c r="L808" i="1"/>
  <c r="Q929" i="1"/>
  <c r="H687" i="1"/>
  <c r="Q721" i="1"/>
  <c r="L663" i="1"/>
  <c r="Q658" i="1"/>
  <c r="O925" i="1"/>
  <c r="L1227" i="1"/>
  <c r="F718" i="1"/>
  <c r="F725" i="1"/>
  <c r="O608" i="1"/>
  <c r="O653" i="1"/>
  <c r="L860" i="1"/>
  <c r="H929" i="1"/>
  <c r="Q911" i="1"/>
  <c r="L1083" i="1"/>
  <c r="P1099" i="1"/>
  <c r="L660" i="1"/>
  <c r="Q626" i="1"/>
  <c r="O594" i="1"/>
  <c r="F703" i="1"/>
  <c r="F625" i="1"/>
  <c r="O749" i="1"/>
  <c r="O663" i="1"/>
  <c r="P600" i="1"/>
  <c r="P920" i="1"/>
  <c r="Q1049" i="1"/>
  <c r="F697" i="1"/>
  <c r="L618" i="1"/>
  <c r="O923" i="1"/>
  <c r="F1116" i="1"/>
  <c r="Q647" i="1"/>
  <c r="P602" i="1"/>
  <c r="Q966" i="1"/>
  <c r="Q815" i="1"/>
  <c r="F768" i="1"/>
  <c r="P871" i="1"/>
  <c r="H690" i="1"/>
  <c r="O1313" i="1"/>
  <c r="L819" i="1"/>
  <c r="H747" i="1"/>
  <c r="Q909" i="1"/>
  <c r="Q774" i="1"/>
  <c r="L613" i="1"/>
  <c r="Q713" i="1"/>
  <c r="O600" i="1"/>
  <c r="H726" i="1"/>
  <c r="F867" i="1"/>
  <c r="P868" i="1"/>
  <c r="H693" i="1"/>
  <c r="L643" i="1"/>
  <c r="H634" i="1"/>
  <c r="Q644" i="1"/>
  <c r="H1269" i="1"/>
  <c r="F769" i="1"/>
  <c r="P603" i="1"/>
  <c r="L726" i="1"/>
  <c r="O673" i="1"/>
  <c r="P704" i="1"/>
  <c r="L669" i="1"/>
  <c r="P774" i="1"/>
  <c r="P1209" i="1"/>
  <c r="L688" i="1"/>
  <c r="O627" i="1"/>
  <c r="L1263" i="1"/>
  <c r="L670" i="1"/>
  <c r="L601" i="1"/>
  <c r="Q923" i="1"/>
  <c r="O1086" i="1"/>
  <c r="Q649" i="1"/>
  <c r="P768" i="1"/>
  <c r="H871" i="1"/>
  <c r="P927" i="1"/>
  <c r="P724" i="1"/>
  <c r="Q921" i="1"/>
  <c r="Q619" i="1"/>
  <c r="L621" i="1"/>
  <c r="O629" i="1"/>
  <c r="F988" i="1"/>
  <c r="F974" i="1"/>
  <c r="H708" i="1"/>
  <c r="L620" i="1"/>
  <c r="L691" i="1"/>
  <c r="P719" i="1"/>
  <c r="Q1208" i="1"/>
  <c r="P1082" i="1"/>
  <c r="L889" i="1"/>
  <c r="F1057" i="1"/>
  <c r="P1050" i="1"/>
  <c r="Q686" i="1"/>
  <c r="P645" i="1"/>
  <c r="P1084" i="1"/>
  <c r="P650" i="1"/>
  <c r="P601" i="1"/>
  <c r="O604" i="1"/>
  <c r="O646" i="1"/>
  <c r="F807" i="1"/>
  <c r="L633" i="1"/>
  <c r="P1270" i="1"/>
  <c r="L991" i="1"/>
  <c r="F704" i="1"/>
  <c r="L603" i="1"/>
  <c r="Q668" i="1"/>
  <c r="F687" i="1"/>
  <c r="H600" i="1"/>
  <c r="O726" i="1"/>
  <c r="Q683" i="1"/>
  <c r="P890" i="1"/>
  <c r="O630" i="1"/>
  <c r="P1236" i="1"/>
  <c r="F829" i="1"/>
  <c r="O648" i="1"/>
  <c r="H1263" i="1"/>
  <c r="H605" i="1"/>
  <c r="P695" i="1"/>
  <c r="F714" i="1"/>
  <c r="O722" i="1"/>
  <c r="Q723" i="1"/>
  <c r="L1314" i="1"/>
  <c r="Q1428" i="1"/>
  <c r="L859" i="1"/>
  <c r="O643" i="1"/>
  <c r="F671" i="1"/>
  <c r="H643" i="1"/>
  <c r="L966" i="1"/>
  <c r="L909" i="1"/>
  <c r="H1117" i="1"/>
  <c r="P723" i="1"/>
  <c r="Q1117" i="1"/>
  <c r="F1051" i="1"/>
  <c r="L929" i="1"/>
  <c r="H940" i="1"/>
  <c r="Q616" i="1"/>
  <c r="O1129" i="1"/>
  <c r="H939" i="1"/>
  <c r="L974" i="1"/>
  <c r="F787" i="1"/>
  <c r="F808" i="1"/>
  <c r="O645" i="1"/>
  <c r="H991" i="1"/>
  <c r="O1095" i="1"/>
  <c r="H663" i="1"/>
  <c r="Q620" i="1"/>
  <c r="O664" i="1"/>
  <c r="L627" i="1"/>
  <c r="F685" i="1"/>
  <c r="P706" i="1"/>
  <c r="O706" i="1"/>
  <c r="O614" i="1"/>
  <c r="F987" i="1"/>
  <c r="H691" i="1"/>
  <c r="P1269" i="1"/>
  <c r="F673" i="1"/>
  <c r="H1315" i="1"/>
  <c r="F646" i="1"/>
  <c r="L1117" i="1"/>
  <c r="F939" i="1"/>
  <c r="Q928" i="1"/>
  <c r="H724" i="1"/>
  <c r="L672" i="1"/>
  <c r="L1085" i="1"/>
  <c r="Q883" i="1"/>
  <c r="F690" i="1"/>
  <c r="P775" i="1"/>
  <c r="L747" i="1"/>
  <c r="P888" i="1"/>
  <c r="H696" i="1"/>
  <c r="H683" i="1"/>
  <c r="O606" i="1"/>
  <c r="Q719" i="1"/>
  <c r="O927" i="1"/>
  <c r="O705" i="1"/>
  <c r="H1057" i="1"/>
  <c r="Q1064" i="1"/>
  <c r="P769" i="1"/>
  <c r="P1123" i="1"/>
  <c r="O704" i="1"/>
  <c r="Q691" i="1"/>
  <c r="F724" i="1"/>
  <c r="F657" i="1"/>
  <c r="P1083" i="1"/>
  <c r="O724" i="1"/>
  <c r="Q705" i="1"/>
  <c r="Q890" i="1"/>
  <c r="H721" i="1"/>
  <c r="F705" i="1"/>
  <c r="L924" i="1"/>
  <c r="Q607" i="1"/>
  <c r="F1083" i="1"/>
  <c r="P725" i="1"/>
  <c r="P633" i="1"/>
  <c r="F890" i="1"/>
  <c r="F708" i="1"/>
  <c r="O775" i="1"/>
  <c r="O661" i="1"/>
  <c r="H695" i="1"/>
  <c r="H774" i="1"/>
  <c r="F647" i="1"/>
  <c r="L686" i="1"/>
  <c r="L1094" i="1"/>
  <c r="P749" i="1"/>
  <c r="L1236" i="1"/>
  <c r="L619" i="1"/>
  <c r="F783" i="1"/>
  <c r="P608" i="1"/>
  <c r="P690" i="1"/>
  <c r="O1209" i="1"/>
  <c r="L687" i="1"/>
  <c r="Q670" i="1"/>
  <c r="H763" i="1"/>
  <c r="F613" i="1"/>
  <c r="P1215" i="1"/>
  <c r="Q1129" i="1"/>
  <c r="H1215" i="1"/>
  <c r="Q684" i="1"/>
  <c r="H966" i="1"/>
  <c r="L1049" i="1"/>
  <c r="O612" i="1"/>
  <c r="F633" i="1"/>
  <c r="L625" i="1"/>
  <c r="F632" i="1"/>
  <c r="P632" i="1"/>
  <c r="H684" i="1"/>
  <c r="O769" i="1"/>
  <c r="F1095" i="1"/>
  <c r="H660" i="1"/>
  <c r="H723" i="1"/>
  <c r="Q628" i="1"/>
  <c r="F1101" i="1"/>
  <c r="O868" i="1"/>
  <c r="O1314" i="1"/>
  <c r="H650" i="1"/>
  <c r="O712" i="1"/>
  <c r="H685" i="1"/>
  <c r="Q725" i="1"/>
  <c r="Q1086" i="1"/>
  <c r="O723" i="1"/>
  <c r="H1082" i="1"/>
  <c r="F608" i="1"/>
  <c r="Q1426" i="1"/>
  <c r="H629" i="1"/>
  <c r="L723" i="1"/>
  <c r="P702" i="1"/>
  <c r="O671" i="1"/>
  <c r="F1138" i="1"/>
  <c r="H615" i="1"/>
  <c r="F784" i="1"/>
  <c r="Q775" i="1"/>
  <c r="O1065" i="1"/>
  <c r="H1058" i="1"/>
  <c r="Q688" i="1"/>
  <c r="Q694" i="1"/>
  <c r="F928" i="1"/>
  <c r="O607" i="1"/>
  <c r="Q724" i="1"/>
  <c r="Q673" i="1"/>
  <c r="H604" i="1"/>
  <c r="F859" i="1"/>
  <c r="F1236" i="1"/>
  <c r="P670" i="1"/>
  <c r="O709" i="1"/>
  <c r="P705" i="1"/>
  <c r="F602" i="1"/>
  <c r="H748" i="1"/>
  <c r="P708" i="1"/>
  <c r="H784" i="1"/>
  <c r="Q1051" i="1"/>
  <c r="O1269" i="1"/>
  <c r="L651" i="1"/>
  <c r="L829" i="1"/>
  <c r="O633" i="1"/>
  <c r="O808" i="1"/>
  <c r="Q606" i="1"/>
  <c r="Q631" i="1"/>
  <c r="L657" i="1"/>
  <c r="L1123" i="1"/>
  <c r="O672" i="1"/>
  <c r="P720" i="1"/>
  <c r="H657" i="1"/>
  <c r="F606" i="1"/>
  <c r="H868" i="1"/>
  <c r="H988" i="1"/>
  <c r="Q748" i="1"/>
  <c r="L721" i="1"/>
  <c r="O650" i="1"/>
  <c r="L848" i="1"/>
  <c r="H808" i="1"/>
  <c r="Q671" i="1"/>
  <c r="O701" i="1"/>
  <c r="O613" i="1"/>
  <c r="Q1425" i="1"/>
  <c r="P1116" i="1"/>
  <c r="H1094" i="1"/>
  <c r="O1117" i="1"/>
  <c r="L749" i="1"/>
  <c r="H974" i="1"/>
  <c r="H859" i="1"/>
  <c r="Q749" i="1"/>
  <c r="P974" i="1"/>
  <c r="Q652" i="1"/>
  <c r="Q648" i="1"/>
  <c r="Q949" i="1"/>
  <c r="P911" i="1"/>
  <c r="H647" i="1"/>
  <c r="F618" i="1"/>
  <c r="P1101" i="1"/>
  <c r="Q1429" i="1"/>
  <c r="H860" i="1"/>
  <c r="H653" i="1"/>
  <c r="P709" i="1"/>
  <c r="Q829" i="1"/>
  <c r="H1236" i="1"/>
  <c r="H682" i="1"/>
  <c r="F601" i="1"/>
  <c r="Q912" i="1"/>
  <c r="F649" i="1"/>
  <c r="L671" i="1"/>
  <c r="Q808" i="1"/>
  <c r="F605" i="1"/>
  <c r="F669" i="1"/>
  <c r="F628" i="1"/>
  <c r="O601" i="1"/>
  <c r="F617" i="1"/>
  <c r="P921" i="1"/>
  <c r="F645" i="1"/>
  <c r="P712" i="1"/>
  <c r="Q708" i="1"/>
  <c r="H626" i="1"/>
  <c r="O966" i="1"/>
  <c r="P1086" i="1"/>
  <c r="P722" i="1"/>
  <c r="L1129" i="1"/>
  <c r="Q1058" i="1"/>
  <c r="Q621" i="1"/>
  <c r="Q841" i="1"/>
  <c r="H848" i="1"/>
  <c r="Q625" i="1"/>
  <c r="H807" i="1"/>
  <c r="H646" i="1"/>
  <c r="O708" i="1"/>
  <c r="O634" i="1"/>
  <c r="Q709" i="1"/>
  <c r="F966" i="1"/>
  <c r="O694" i="1"/>
  <c r="F620" i="1"/>
  <c r="O719" i="1"/>
  <c r="H1129" i="1"/>
  <c r="O603" i="1"/>
  <c r="O697" i="1"/>
  <c r="H662" i="1"/>
  <c r="L712" i="1"/>
  <c r="H697" i="1"/>
  <c r="O668" i="1"/>
  <c r="F940" i="1"/>
  <c r="O605" i="1"/>
  <c r="F721" i="1"/>
  <c r="P668" i="1"/>
  <c r="H649" i="1"/>
  <c r="F1065" i="1"/>
  <c r="H928" i="1"/>
  <c r="F848" i="1"/>
  <c r="P718" i="1"/>
  <c r="F921" i="1"/>
  <c r="L868" i="1"/>
  <c r="O617" i="1"/>
  <c r="F1209" i="1"/>
  <c r="F603" i="1"/>
  <c r="Q819" i="1"/>
  <c r="L628" i="1"/>
  <c r="L720" i="1"/>
  <c r="Q1236" i="1"/>
  <c r="P644" i="1"/>
  <c r="O660" i="1"/>
  <c r="H630" i="1"/>
  <c r="P653" i="1"/>
  <c r="P605" i="1"/>
  <c r="P684" i="1"/>
  <c r="Q602" i="1"/>
  <c r="F615" i="1"/>
  <c r="Q722" i="1"/>
  <c r="F747" i="1"/>
  <c r="P614" i="1"/>
  <c r="O784" i="1"/>
  <c r="Q664" i="1"/>
  <c r="L939" i="1"/>
  <c r="F1315" i="1"/>
  <c r="O1050" i="1"/>
  <c r="L948" i="1"/>
  <c r="L1099" i="1"/>
  <c r="F1263" i="1"/>
  <c r="L719" i="1"/>
  <c r="P714" i="1"/>
  <c r="O1057" i="1"/>
  <c r="L604" i="1"/>
  <c r="O1082" i="1"/>
  <c r="H619" i="1"/>
  <c r="H725" i="1"/>
  <c r="Q1421" i="1"/>
  <c r="P691" i="1"/>
  <c r="Q646" i="1"/>
  <c r="L1086" i="1"/>
  <c r="F672" i="1"/>
  <c r="P848" i="1"/>
  <c r="Q816" i="1"/>
  <c r="L871" i="1"/>
  <c r="P1208" i="1"/>
  <c r="O928" i="1"/>
  <c r="H1311" i="1"/>
  <c r="Q1424" i="1"/>
  <c r="H1099" i="1"/>
  <c r="H889" i="1"/>
  <c r="F604" i="1"/>
  <c r="Q1122" i="1"/>
  <c r="L706" i="1"/>
  <c r="F1314" i="1"/>
  <c r="P621" i="1"/>
  <c r="O1096" i="1"/>
  <c r="Q1065" i="1"/>
  <c r="L631" i="1"/>
  <c r="P703" i="1"/>
  <c r="L713" i="1"/>
  <c r="L784" i="1"/>
  <c r="H787" i="1"/>
  <c r="P1138" i="1"/>
  <c r="L709" i="1"/>
  <c r="O688" i="1"/>
  <c r="H612" i="1"/>
  <c r="O615" i="1"/>
  <c r="L1315" i="1"/>
  <c r="Q633" i="1"/>
  <c r="L629" i="1"/>
  <c r="H694" i="1"/>
  <c r="L684" i="1"/>
  <c r="L690" i="1"/>
  <c r="F706" i="1"/>
  <c r="L748" i="1"/>
  <c r="H775" i="1"/>
  <c r="L1051" i="1"/>
  <c r="L616" i="1"/>
  <c r="P626" i="1"/>
  <c r="Q1128" i="1"/>
  <c r="F651" i="1"/>
  <c r="O616" i="1"/>
  <c r="P657" i="1"/>
  <c r="O911" i="1"/>
  <c r="Q703" i="1"/>
  <c r="L1116" i="1"/>
  <c r="Q920" i="1"/>
  <c r="O909" i="1"/>
  <c r="F664" i="1"/>
  <c r="Q871" i="1"/>
  <c r="Q669" i="1"/>
  <c r="O819" i="1"/>
  <c r="O748" i="1"/>
  <c r="Q687" i="1"/>
  <c r="P883" i="1"/>
  <c r="P713" i="1"/>
  <c r="Q1313" i="1"/>
  <c r="Q1423" i="1"/>
  <c r="O626" i="1"/>
  <c r="O888" i="1"/>
  <c r="P747" i="1"/>
  <c r="F634" i="1"/>
  <c r="P726" i="1"/>
  <c r="F650" i="1"/>
  <c r="H1065" i="1"/>
  <c r="P1122" i="1"/>
  <c r="F631" i="1"/>
  <c r="O859" i="1"/>
  <c r="L702" i="1"/>
  <c r="H1086" i="1"/>
  <c r="L662" i="1"/>
  <c r="O763" i="1"/>
  <c r="L925" i="1"/>
  <c r="O725" i="1"/>
  <c r="L608" i="1"/>
  <c r="O632" i="1"/>
  <c r="H923" i="1"/>
  <c r="L774" i="1"/>
  <c r="Q630" i="1"/>
  <c r="H618" i="1"/>
  <c r="P617" i="1"/>
  <c r="L1137" i="1"/>
  <c r="H927" i="1"/>
  <c r="H768" i="1"/>
  <c r="P616" i="1"/>
  <c r="Q1138" i="1"/>
  <c r="H661" i="1"/>
  <c r="Q1311" i="1"/>
  <c r="F1085" i="1"/>
  <c r="O721" i="1"/>
  <c r="Q848" i="1"/>
  <c r="F627" i="1"/>
  <c r="P604" i="1"/>
  <c r="O1208" i="1"/>
  <c r="H714" i="1"/>
  <c r="P787" i="1"/>
  <c r="P1058" i="1"/>
  <c r="F1129" i="1"/>
  <c r="L1101" i="1"/>
  <c r="L911" i="1"/>
  <c r="P783" i="1"/>
  <c r="P807" i="1"/>
  <c r="P613" i="1"/>
  <c r="P625" i="1"/>
  <c r="Q939" i="1"/>
  <c r="Q865" i="1"/>
  <c r="P647" i="1"/>
  <c r="P693" i="1"/>
  <c r="H987" i="1"/>
  <c r="H711" i="1"/>
  <c r="H1128" i="1"/>
  <c r="Q612" i="1"/>
  <c r="O1058" i="1"/>
  <c r="Q1227" i="1"/>
  <c r="Q987" i="1"/>
  <c r="L600" i="1"/>
  <c r="O1099" i="1"/>
  <c r="O621" i="1"/>
  <c r="F644" i="1"/>
  <c r="P939" i="1"/>
  <c r="P784" i="1"/>
  <c r="H621" i="1"/>
  <c r="F949" i="1"/>
  <c r="L693" i="1"/>
  <c r="L661" i="1"/>
  <c r="H783" i="1"/>
  <c r="O631" i="1"/>
  <c r="O662" i="1"/>
  <c r="F774" i="1"/>
  <c r="Q661" i="1"/>
  <c r="L647" i="1"/>
  <c r="H1049" i="1"/>
  <c r="Q762" i="1"/>
  <c r="O691" i="1"/>
  <c r="Q617" i="1"/>
  <c r="L658" i="1"/>
  <c r="H601" i="1"/>
  <c r="H628" i="1"/>
  <c r="Q1315" i="1"/>
  <c r="L594" i="1"/>
  <c r="H686" i="1"/>
  <c r="L626" i="1"/>
  <c r="O807" i="1"/>
  <c r="H706" i="1"/>
  <c r="O890" i="1"/>
  <c r="P762" i="1"/>
  <c r="P1314" i="1"/>
  <c r="P1129" i="1"/>
  <c r="Q618" i="1"/>
  <c r="L648" i="1"/>
  <c r="L920" i="1"/>
  <c r="H921" i="1"/>
  <c r="L606" i="1"/>
  <c r="L724" i="1"/>
  <c r="F626" i="1"/>
  <c r="O713" i="1"/>
  <c r="P661" i="1"/>
  <c r="L807" i="1"/>
  <c r="P711" i="1"/>
  <c r="F1050" i="1"/>
  <c r="O714" i="1"/>
  <c r="L1064" i="1"/>
  <c r="P671" i="1"/>
  <c r="O686" i="1"/>
  <c r="O644" i="1"/>
  <c r="F991" i="1"/>
  <c r="O683" i="1"/>
  <c r="F684" i="1"/>
  <c r="P672" i="1"/>
  <c r="O619" i="1"/>
  <c r="F1311" i="1"/>
  <c r="H672" i="1"/>
  <c r="L612" i="1"/>
  <c r="O647" i="1"/>
  <c r="Q1431" i="1"/>
  <c r="O1227" i="1"/>
  <c r="O682" i="1"/>
  <c r="H720" i="1"/>
  <c r="H722" i="1"/>
  <c r="O815" i="1"/>
  <c r="Q712" i="1"/>
  <c r="H709" i="1"/>
  <c r="H924" i="1"/>
  <c r="H671" i="1"/>
  <c r="F1270" i="1"/>
  <c r="H712" i="1"/>
  <c r="Q659" i="1"/>
  <c r="F600" i="1"/>
  <c r="P694" i="1"/>
  <c r="L630" i="1"/>
  <c r="Q603" i="1"/>
  <c r="O620" i="1"/>
  <c r="O1137" i="1"/>
  <c r="H841" i="1"/>
  <c r="P1095" i="1"/>
  <c r="H664" i="1"/>
  <c r="L1215" i="1"/>
  <c r="Q1082" i="1"/>
  <c r="Q859" i="1"/>
  <c r="L888" i="1"/>
  <c r="P929" i="1"/>
  <c r="P721" i="1"/>
  <c r="H669" i="1"/>
  <c r="Q682" i="1"/>
  <c r="Q1084" i="1"/>
  <c r="P860" i="1"/>
  <c r="Q860" i="1"/>
  <c r="L664" i="1"/>
  <c r="F1058" i="1"/>
  <c r="Q747" i="1"/>
  <c r="H704" i="1"/>
  <c r="Q768" i="1"/>
  <c r="L890" i="1"/>
  <c r="L1270" i="1"/>
  <c r="L683" i="1"/>
  <c r="L1082" i="1"/>
  <c r="L158" i="3" l="1"/>
  <c r="L741" i="3"/>
  <c r="L365" i="3"/>
  <c r="L562" i="1"/>
  <c r="H179" i="3"/>
  <c r="F533" i="3"/>
  <c r="L139" i="3"/>
  <c r="Q143" i="1"/>
  <c r="Q391" i="1" s="1"/>
  <c r="P335" i="3"/>
  <c r="P143" i="1"/>
  <c r="Q155" i="1"/>
  <c r="Q403" i="1" s="1"/>
  <c r="Q698" i="1"/>
  <c r="H144" i="3"/>
  <c r="P196" i="3"/>
  <c r="P404" i="3"/>
  <c r="L363" i="3"/>
  <c r="L560" i="1"/>
  <c r="L686" i="3"/>
  <c r="L577" i="1"/>
  <c r="H139" i="3"/>
  <c r="P566" i="3"/>
  <c r="H316" i="3"/>
  <c r="O608" i="3"/>
  <c r="N1137" i="1"/>
  <c r="N620" i="1"/>
  <c r="N95" i="3" s="1"/>
  <c r="O95" i="3"/>
  <c r="L105" i="3"/>
  <c r="P158" i="1"/>
  <c r="P169" i="3"/>
  <c r="F135" i="1"/>
  <c r="F123" i="1"/>
  <c r="F75" i="3"/>
  <c r="F609" i="1"/>
  <c r="H187" i="3"/>
  <c r="F741" i="3"/>
  <c r="H146" i="3"/>
  <c r="H399" i="3"/>
  <c r="H710" i="1"/>
  <c r="H185" i="3" s="1"/>
  <c r="H184" i="3"/>
  <c r="O290" i="3"/>
  <c r="N815" i="1"/>
  <c r="H197" i="3"/>
  <c r="H195" i="3"/>
  <c r="O155" i="1"/>
  <c r="O157" i="3"/>
  <c r="N682" i="1"/>
  <c r="N157" i="3" s="1"/>
  <c r="O698" i="1"/>
  <c r="O698" i="3"/>
  <c r="N1227" i="1"/>
  <c r="N698" i="3" s="1"/>
  <c r="N647" i="1"/>
  <c r="N122" i="3" s="1"/>
  <c r="O122" i="3"/>
  <c r="L125" i="1"/>
  <c r="L622" i="1"/>
  <c r="L87" i="3"/>
  <c r="H147" i="3"/>
  <c r="F779" i="3"/>
  <c r="F1317" i="1"/>
  <c r="N619" i="1"/>
  <c r="N94" i="3" s="1"/>
  <c r="O94" i="3"/>
  <c r="P147" i="3"/>
  <c r="F159" i="3"/>
  <c r="N683" i="1"/>
  <c r="N158" i="3" s="1"/>
  <c r="O158" i="3"/>
  <c r="F466" i="3"/>
  <c r="N644" i="1"/>
  <c r="N119" i="3" s="1"/>
  <c r="O119" i="3"/>
  <c r="O161" i="3"/>
  <c r="N686" i="1"/>
  <c r="N161" i="3" s="1"/>
  <c r="P146" i="3"/>
  <c r="L539" i="3"/>
  <c r="L167" i="1"/>
  <c r="O189" i="3"/>
  <c r="N714" i="1"/>
  <c r="F525" i="3"/>
  <c r="P186" i="3"/>
  <c r="L282" i="3"/>
  <c r="P136" i="3"/>
  <c r="N713" i="1"/>
  <c r="N188" i="3" s="1"/>
  <c r="O188" i="3"/>
  <c r="F101" i="3"/>
  <c r="L199" i="3"/>
  <c r="L81" i="3"/>
  <c r="H396" i="3"/>
  <c r="L930" i="1"/>
  <c r="L395" i="3"/>
  <c r="L123" i="3"/>
  <c r="P600" i="3"/>
  <c r="P782" i="3"/>
  <c r="P237" i="3"/>
  <c r="N890" i="1"/>
  <c r="N365" i="3" s="1"/>
  <c r="O365" i="3"/>
  <c r="O562" i="1"/>
  <c r="H181" i="3"/>
  <c r="N807" i="1"/>
  <c r="N282" i="3" s="1"/>
  <c r="O282" i="3"/>
  <c r="L101" i="3"/>
  <c r="H161" i="3"/>
  <c r="L133" i="1"/>
  <c r="L69" i="3"/>
  <c r="H103" i="3"/>
  <c r="H76" i="3"/>
  <c r="L133" i="3"/>
  <c r="O692" i="1"/>
  <c r="O166" i="3"/>
  <c r="N691" i="1"/>
  <c r="H524" i="3"/>
  <c r="H161" i="1"/>
  <c r="L122" i="3"/>
  <c r="F249" i="3"/>
  <c r="N662" i="1"/>
  <c r="O137" i="3"/>
  <c r="O106" i="3"/>
  <c r="N631" i="1"/>
  <c r="N106" i="3" s="1"/>
  <c r="H258" i="3"/>
  <c r="L136" i="3"/>
  <c r="L168" i="3"/>
  <c r="F424" i="3"/>
  <c r="H96" i="3"/>
  <c r="P259" i="3"/>
  <c r="P414" i="3"/>
  <c r="F119" i="3"/>
  <c r="O96" i="3"/>
  <c r="N621" i="1"/>
  <c r="N96" i="3" s="1"/>
  <c r="N1099" i="1"/>
  <c r="N570" i="3" s="1"/>
  <c r="O570" i="3"/>
  <c r="L609" i="1"/>
  <c r="L75" i="3"/>
  <c r="L123" i="1"/>
  <c r="L135" i="1"/>
  <c r="O533" i="3"/>
  <c r="N1058" i="1"/>
  <c r="N533" i="3" s="1"/>
  <c r="Q622" i="1"/>
  <c r="Q153" i="1" s="1"/>
  <c r="Q401" i="1" s="1"/>
  <c r="Q125" i="1"/>
  <c r="Q373" i="1" s="1"/>
  <c r="H599" i="3"/>
  <c r="H186" i="3"/>
  <c r="H462" i="3"/>
  <c r="P168" i="3"/>
  <c r="P122" i="3"/>
  <c r="P126" i="1"/>
  <c r="P635" i="1"/>
  <c r="P100" i="3"/>
  <c r="P88" i="3"/>
  <c r="P282" i="3"/>
  <c r="P258" i="3"/>
  <c r="L913" i="1"/>
  <c r="L386" i="3"/>
  <c r="L210" i="1"/>
  <c r="L572" i="3"/>
  <c r="F600" i="3"/>
  <c r="P533" i="3"/>
  <c r="P262" i="3"/>
  <c r="H189" i="3"/>
  <c r="O679" i="3"/>
  <c r="N1208" i="1"/>
  <c r="N679" i="3" s="1"/>
  <c r="P79" i="3"/>
  <c r="F102" i="3"/>
  <c r="Q554" i="1"/>
  <c r="N721" i="1"/>
  <c r="N196" i="3" s="1"/>
  <c r="O196" i="3"/>
  <c r="Q1317" i="1"/>
  <c r="H136" i="3"/>
  <c r="P91" i="3"/>
  <c r="H243" i="3"/>
  <c r="H402" i="3"/>
  <c r="L608" i="3"/>
  <c r="P92" i="3"/>
  <c r="H93" i="3"/>
  <c r="L249" i="3"/>
  <c r="H398" i="3"/>
  <c r="O107" i="3"/>
  <c r="N632" i="1"/>
  <c r="N107" i="3" s="1"/>
  <c r="L83" i="3"/>
  <c r="N725" i="1"/>
  <c r="N200" i="3" s="1"/>
  <c r="O200" i="3"/>
  <c r="L400" i="3"/>
  <c r="O238" i="3"/>
  <c r="N763" i="1"/>
  <c r="N238" i="3" s="1"/>
  <c r="L137" i="3"/>
  <c r="H557" i="3"/>
  <c r="L177" i="3"/>
  <c r="N859" i="1"/>
  <c r="N334" i="3" s="1"/>
  <c r="O334" i="3"/>
  <c r="F106" i="3"/>
  <c r="P593" i="3"/>
  <c r="H540" i="3"/>
  <c r="F125" i="3"/>
  <c r="P201" i="3"/>
  <c r="F109" i="3"/>
  <c r="P222" i="3"/>
  <c r="O363" i="3"/>
  <c r="N888" i="1"/>
  <c r="N363" i="3" s="1"/>
  <c r="O560" i="1"/>
  <c r="O101" i="3"/>
  <c r="N626" i="1"/>
  <c r="N101" i="3" s="1"/>
  <c r="P188" i="3"/>
  <c r="P358" i="3"/>
  <c r="Q156" i="1"/>
  <c r="Q404" i="1" s="1"/>
  <c r="O223" i="3"/>
  <c r="N748" i="1"/>
  <c r="N223" i="3" s="1"/>
  <c r="N819" i="1"/>
  <c r="N294" i="3" s="1"/>
  <c r="O294" i="3"/>
  <c r="F139" i="3"/>
  <c r="O384" i="3"/>
  <c r="N909" i="1"/>
  <c r="N384" i="3" s="1"/>
  <c r="Q930" i="1"/>
  <c r="L587" i="3"/>
  <c r="N911" i="1"/>
  <c r="N386" i="3" s="1"/>
  <c r="O913" i="1"/>
  <c r="O386" i="3"/>
  <c r="P665" i="1"/>
  <c r="P132" i="3"/>
  <c r="O91" i="3"/>
  <c r="N616" i="1"/>
  <c r="F126" i="3"/>
  <c r="P101" i="3"/>
  <c r="L91" i="3"/>
  <c r="L526" i="3"/>
  <c r="H250" i="3"/>
  <c r="L223" i="3"/>
  <c r="F181" i="3"/>
  <c r="L165" i="3"/>
  <c r="L159" i="3"/>
  <c r="H158" i="1"/>
  <c r="H169" i="3"/>
  <c r="L104" i="3"/>
  <c r="L783" i="3"/>
  <c r="N615" i="1"/>
  <c r="N90" i="3" s="1"/>
  <c r="O90" i="3"/>
  <c r="H87" i="3"/>
  <c r="H622" i="1"/>
  <c r="H125" i="1"/>
  <c r="N688" i="1"/>
  <c r="N163" i="3" s="1"/>
  <c r="O163" i="3"/>
  <c r="L184" i="3"/>
  <c r="L710" i="1"/>
  <c r="P609" i="3"/>
  <c r="H262" i="3"/>
  <c r="L259" i="3"/>
  <c r="L188" i="3"/>
  <c r="P178" i="3"/>
  <c r="L106" i="3"/>
  <c r="I631" i="1"/>
  <c r="I106" i="3" s="1"/>
  <c r="O567" i="3"/>
  <c r="N1096" i="1"/>
  <c r="N567" i="3" s="1"/>
  <c r="P96" i="3"/>
  <c r="F782" i="3"/>
  <c r="L181" i="3"/>
  <c r="F79" i="3"/>
  <c r="H561" i="1"/>
  <c r="H37" i="3" s="1"/>
  <c r="H364" i="3"/>
  <c r="H570" i="3"/>
  <c r="H1317" i="1"/>
  <c r="H785" i="3" s="1"/>
  <c r="H779" i="3"/>
  <c r="N928" i="1"/>
  <c r="N403" i="3" s="1"/>
  <c r="O403" i="3"/>
  <c r="P679" i="3"/>
  <c r="L346" i="3"/>
  <c r="P554" i="1"/>
  <c r="P30" i="3" s="1"/>
  <c r="P323" i="3"/>
  <c r="F147" i="3"/>
  <c r="L557" i="3"/>
  <c r="P692" i="1"/>
  <c r="P166" i="3"/>
  <c r="H200" i="3"/>
  <c r="H94" i="3"/>
  <c r="N1082" i="1"/>
  <c r="I1082" i="1" s="1"/>
  <c r="L79" i="3"/>
  <c r="O532" i="3"/>
  <c r="O162" i="1"/>
  <c r="N1057" i="1"/>
  <c r="P189" i="3"/>
  <c r="L194" i="3"/>
  <c r="F734" i="3"/>
  <c r="L570" i="3"/>
  <c r="L423" i="3"/>
  <c r="N1050" i="1"/>
  <c r="N525" i="3" s="1"/>
  <c r="O525" i="3"/>
  <c r="F783" i="3"/>
  <c r="L414" i="3"/>
  <c r="N784" i="1"/>
  <c r="N259" i="3" s="1"/>
  <c r="O259" i="3"/>
  <c r="P89" i="3"/>
  <c r="F222" i="3"/>
  <c r="F90" i="3"/>
  <c r="P159" i="3"/>
  <c r="P80" i="3"/>
  <c r="P128" i="3"/>
  <c r="H105" i="3"/>
  <c r="O135" i="3"/>
  <c r="N660" i="1"/>
  <c r="P119" i="3"/>
  <c r="L195" i="3"/>
  <c r="L103" i="3"/>
  <c r="F78" i="3"/>
  <c r="F680" i="3"/>
  <c r="O92" i="3"/>
  <c r="N617" i="1"/>
  <c r="N92" i="3" s="1"/>
  <c r="L343" i="3"/>
  <c r="F396" i="3"/>
  <c r="P727" i="1"/>
  <c r="P193" i="3"/>
  <c r="F554" i="1"/>
  <c r="F30" i="3" s="1"/>
  <c r="F323" i="3"/>
  <c r="H403" i="3"/>
  <c r="F540" i="3"/>
  <c r="H124" i="3"/>
  <c r="P143" i="3"/>
  <c r="P674" i="1"/>
  <c r="P149" i="3" s="1"/>
  <c r="F196" i="3"/>
  <c r="N605" i="1"/>
  <c r="N80" i="3" s="1"/>
  <c r="O80" i="3"/>
  <c r="F415" i="3"/>
  <c r="O674" i="1"/>
  <c r="O143" i="3"/>
  <c r="N668" i="1"/>
  <c r="N143" i="3" s="1"/>
  <c r="H172" i="3"/>
  <c r="L187" i="3"/>
  <c r="H137" i="3"/>
  <c r="N697" i="1"/>
  <c r="N172" i="3" s="1"/>
  <c r="O172" i="3"/>
  <c r="O78" i="3"/>
  <c r="N603" i="1"/>
  <c r="N78" i="3" s="1"/>
  <c r="H600" i="3"/>
  <c r="N719" i="1"/>
  <c r="N194" i="3" s="1"/>
  <c r="O194" i="3"/>
  <c r="F95" i="3"/>
  <c r="O158" i="1"/>
  <c r="N694" i="1"/>
  <c r="N169" i="3" s="1"/>
  <c r="O169" i="3"/>
  <c r="F441" i="3"/>
  <c r="Q710" i="1"/>
  <c r="N634" i="1"/>
  <c r="N109" i="3" s="1"/>
  <c r="O109" i="3"/>
  <c r="O183" i="3"/>
  <c r="N708" i="1"/>
  <c r="H121" i="3"/>
  <c r="H282" i="3"/>
  <c r="Q635" i="1"/>
  <c r="Q126" i="1"/>
  <c r="Q374" i="1" s="1"/>
  <c r="H554" i="1"/>
  <c r="H30" i="3" s="1"/>
  <c r="H323" i="3"/>
  <c r="L600" i="3"/>
  <c r="P197" i="3"/>
  <c r="P557" i="3"/>
  <c r="O441" i="3"/>
  <c r="N966" i="1"/>
  <c r="N441" i="3" s="1"/>
  <c r="H101" i="3"/>
  <c r="P187" i="3"/>
  <c r="F120" i="3"/>
  <c r="P396" i="3"/>
  <c r="F92" i="3"/>
  <c r="N601" i="1"/>
  <c r="N76" i="3" s="1"/>
  <c r="O76" i="3"/>
  <c r="F103" i="3"/>
  <c r="F144" i="3"/>
  <c r="F80" i="3"/>
  <c r="Q178" i="1"/>
  <c r="Q426" i="1" s="1"/>
  <c r="L146" i="3"/>
  <c r="F124" i="3"/>
  <c r="F76" i="3"/>
  <c r="H155" i="1"/>
  <c r="H698" i="1"/>
  <c r="H157" i="3"/>
  <c r="H707" i="3"/>
  <c r="Q551" i="1"/>
  <c r="P710" i="1"/>
  <c r="P185" i="3" s="1"/>
  <c r="P184" i="3"/>
  <c r="H128" i="3"/>
  <c r="H335" i="3"/>
  <c r="P572" i="3"/>
  <c r="P210" i="1"/>
  <c r="F93" i="3"/>
  <c r="H122" i="3"/>
  <c r="P386" i="3"/>
  <c r="P913" i="1"/>
  <c r="N949" i="1"/>
  <c r="N424" i="3" s="1"/>
  <c r="P449" i="3"/>
  <c r="H334" i="3"/>
  <c r="H449" i="3"/>
  <c r="L224" i="3"/>
  <c r="N1117" i="1"/>
  <c r="N588" i="3" s="1"/>
  <c r="O588" i="3"/>
  <c r="H565" i="3"/>
  <c r="P587" i="3"/>
  <c r="N613" i="1"/>
  <c r="N88" i="3" s="1"/>
  <c r="O88" i="3"/>
  <c r="O715" i="1"/>
  <c r="O176" i="3"/>
  <c r="N701" i="1"/>
  <c r="N176" i="3" s="1"/>
  <c r="H178" i="1"/>
  <c r="H283" i="3"/>
  <c r="L554" i="1"/>
  <c r="L323" i="3"/>
  <c r="N650" i="1"/>
  <c r="N125" i="3" s="1"/>
  <c r="O125" i="3"/>
  <c r="L196" i="3"/>
  <c r="H463" i="3"/>
  <c r="H989" i="1"/>
  <c r="H464" i="3" s="1"/>
  <c r="H343" i="3"/>
  <c r="F81" i="3"/>
  <c r="H132" i="3"/>
  <c r="H665" i="1"/>
  <c r="P195" i="3"/>
  <c r="O147" i="3"/>
  <c r="N672" i="1"/>
  <c r="N147" i="3" s="1"/>
  <c r="L594" i="3"/>
  <c r="L665" i="1"/>
  <c r="L132" i="3"/>
  <c r="O178" i="1"/>
  <c r="N808" i="1"/>
  <c r="O283" i="3"/>
  <c r="N633" i="1"/>
  <c r="N108" i="3" s="1"/>
  <c r="O108" i="3"/>
  <c r="L551" i="1"/>
  <c r="L304" i="3"/>
  <c r="L126" i="3"/>
  <c r="O740" i="3"/>
  <c r="N1269" i="1"/>
  <c r="N740" i="3" s="1"/>
  <c r="H259" i="3"/>
  <c r="P183" i="3"/>
  <c r="H223" i="3"/>
  <c r="F77" i="3"/>
  <c r="P180" i="3"/>
  <c r="N709" i="1"/>
  <c r="N184" i="3" s="1"/>
  <c r="O710" i="1"/>
  <c r="O184" i="3"/>
  <c r="P145" i="3"/>
  <c r="F707" i="3"/>
  <c r="F334" i="3"/>
  <c r="H79" i="3"/>
  <c r="N607" i="1"/>
  <c r="N82" i="3" s="1"/>
  <c r="O82" i="3"/>
  <c r="F403" i="3"/>
  <c r="Q158" i="1"/>
  <c r="Q406" i="1" s="1"/>
  <c r="H533" i="3"/>
  <c r="N1065" i="1"/>
  <c r="N540" i="3" s="1"/>
  <c r="O540" i="3"/>
  <c r="F259" i="3"/>
  <c r="H90" i="3"/>
  <c r="F609" i="3"/>
  <c r="N671" i="1"/>
  <c r="N146" i="3" s="1"/>
  <c r="O146" i="3"/>
  <c r="P177" i="3"/>
  <c r="L198" i="3"/>
  <c r="H104" i="3"/>
  <c r="F83" i="3"/>
  <c r="O198" i="3"/>
  <c r="N723" i="1"/>
  <c r="N198" i="3" s="1"/>
  <c r="H147" i="1"/>
  <c r="H160" i="3"/>
  <c r="N712" i="1"/>
  <c r="N187" i="3" s="1"/>
  <c r="O187" i="3"/>
  <c r="H125" i="3"/>
  <c r="N1314" i="1"/>
  <c r="N782" i="3" s="1"/>
  <c r="O782" i="3"/>
  <c r="O343" i="3"/>
  <c r="N868" i="1"/>
  <c r="F572" i="3"/>
  <c r="F210" i="1"/>
  <c r="H198" i="3"/>
  <c r="H135" i="3"/>
  <c r="F566" i="3"/>
  <c r="O244" i="3"/>
  <c r="N769" i="1"/>
  <c r="N244" i="3" s="1"/>
  <c r="H159" i="3"/>
  <c r="P107" i="3"/>
  <c r="F107" i="3"/>
  <c r="L100" i="3"/>
  <c r="L635" i="1"/>
  <c r="L126" i="1"/>
  <c r="F108" i="3"/>
  <c r="N612" i="1"/>
  <c r="N87" i="3" s="1"/>
  <c r="O622" i="1"/>
  <c r="O125" i="1"/>
  <c r="O87" i="3"/>
  <c r="L524" i="3"/>
  <c r="L161" i="1"/>
  <c r="H441" i="3"/>
  <c r="H577" i="1"/>
  <c r="H53" i="3" s="1"/>
  <c r="H686" i="3"/>
  <c r="P577" i="1"/>
  <c r="P53" i="3" s="1"/>
  <c r="P686" i="3"/>
  <c r="F88" i="3"/>
  <c r="H238" i="3"/>
  <c r="L162" i="3"/>
  <c r="L156" i="1"/>
  <c r="N1209" i="1"/>
  <c r="N680" i="3" s="1"/>
  <c r="O680" i="3"/>
  <c r="P165" i="3"/>
  <c r="P83" i="3"/>
  <c r="F258" i="3"/>
  <c r="L94" i="3"/>
  <c r="L707" i="3"/>
  <c r="P224" i="3"/>
  <c r="L565" i="3"/>
  <c r="L1097" i="1"/>
  <c r="L568" i="3" s="1"/>
  <c r="L161" i="3"/>
  <c r="F122" i="3"/>
  <c r="H249" i="3"/>
  <c r="H159" i="1"/>
  <c r="H170" i="3"/>
  <c r="N661" i="1"/>
  <c r="N136" i="3" s="1"/>
  <c r="O136" i="3"/>
  <c r="N775" i="1"/>
  <c r="O250" i="3"/>
  <c r="F183" i="3"/>
  <c r="F562" i="1"/>
  <c r="F38" i="3" s="1"/>
  <c r="F365" i="3"/>
  <c r="P108" i="3"/>
  <c r="P200" i="3"/>
  <c r="L399" i="3"/>
  <c r="F180" i="3"/>
  <c r="H196" i="3"/>
  <c r="Q562" i="1"/>
  <c r="N724" i="1"/>
  <c r="N199" i="3" s="1"/>
  <c r="O199" i="3"/>
  <c r="F132" i="3"/>
  <c r="F665" i="1"/>
  <c r="F199" i="3"/>
  <c r="Q692" i="1"/>
  <c r="O179" i="3"/>
  <c r="N704" i="1"/>
  <c r="N179" i="3" s="1"/>
  <c r="P594" i="3"/>
  <c r="P244" i="3"/>
  <c r="Q167" i="1"/>
  <c r="Q415" i="1" s="1"/>
  <c r="H162" i="1"/>
  <c r="H532" i="3"/>
  <c r="O180" i="3"/>
  <c r="N705" i="1"/>
  <c r="N180" i="3" s="1"/>
  <c r="N927" i="1"/>
  <c r="O402" i="3"/>
  <c r="O81" i="3"/>
  <c r="N606" i="1"/>
  <c r="N81" i="3" s="1"/>
  <c r="H158" i="3"/>
  <c r="H171" i="3"/>
  <c r="H157" i="1"/>
  <c r="P560" i="1"/>
  <c r="P36" i="3" s="1"/>
  <c r="P363" i="3"/>
  <c r="L222" i="3"/>
  <c r="P250" i="3"/>
  <c r="F165" i="3"/>
  <c r="L147" i="3"/>
  <c r="H199" i="3"/>
  <c r="F414" i="3"/>
  <c r="L588" i="3"/>
  <c r="F121" i="3"/>
  <c r="H783" i="3"/>
  <c r="F148" i="3"/>
  <c r="P740" i="3"/>
  <c r="H166" i="3"/>
  <c r="H692" i="1"/>
  <c r="F462" i="3"/>
  <c r="N614" i="1"/>
  <c r="N89" i="3" s="1"/>
  <c r="O89" i="3"/>
  <c r="N706" i="1"/>
  <c r="N181" i="3" s="1"/>
  <c r="O181" i="3"/>
  <c r="P181" i="3"/>
  <c r="F160" i="3"/>
  <c r="F147" i="1"/>
  <c r="L102" i="3"/>
  <c r="N664" i="1"/>
  <c r="N139" i="3" s="1"/>
  <c r="O139" i="3"/>
  <c r="H138" i="3"/>
  <c r="N1095" i="1"/>
  <c r="N566" i="3" s="1"/>
  <c r="O566" i="3"/>
  <c r="H466" i="3"/>
  <c r="O120" i="3"/>
  <c r="N645" i="1"/>
  <c r="N120" i="3" s="1"/>
  <c r="F178" i="1"/>
  <c r="F283" i="3"/>
  <c r="F262" i="3"/>
  <c r="L449" i="3"/>
  <c r="H414" i="3"/>
  <c r="N1129" i="1"/>
  <c r="N600" i="3" s="1"/>
  <c r="O600" i="3"/>
  <c r="H415" i="3"/>
  <c r="L404" i="3"/>
  <c r="F526" i="3"/>
  <c r="P198" i="3"/>
  <c r="H588" i="3"/>
  <c r="L384" i="3"/>
  <c r="L441" i="3"/>
  <c r="H118" i="3"/>
  <c r="H654" i="1"/>
  <c r="F146" i="3"/>
  <c r="N643" i="1"/>
  <c r="N118" i="3" s="1"/>
  <c r="O118" i="3"/>
  <c r="O654" i="1"/>
  <c r="L334" i="3"/>
  <c r="L782" i="3"/>
  <c r="N722" i="1"/>
  <c r="N197" i="3" s="1"/>
  <c r="O197" i="3"/>
  <c r="F189" i="3"/>
  <c r="P159" i="1"/>
  <c r="P170" i="3"/>
  <c r="H80" i="3"/>
  <c r="H734" i="3"/>
  <c r="H580" i="1"/>
  <c r="H56" i="3" s="1"/>
  <c r="N648" i="1"/>
  <c r="N123" i="3" s="1"/>
  <c r="O123" i="3"/>
  <c r="F304" i="3"/>
  <c r="F551" i="1"/>
  <c r="F27" i="3" s="1"/>
  <c r="P707" i="3"/>
  <c r="O105" i="3"/>
  <c r="N630" i="1"/>
  <c r="N105" i="3" s="1"/>
  <c r="P365" i="3"/>
  <c r="P562" i="1"/>
  <c r="P38" i="3" s="1"/>
  <c r="O201" i="3"/>
  <c r="N726" i="1"/>
  <c r="N201" i="3" s="1"/>
  <c r="H609" i="1"/>
  <c r="H135" i="1"/>
  <c r="H75" i="3"/>
  <c r="H123" i="1"/>
  <c r="H1004" i="3" s="1"/>
  <c r="F156" i="1"/>
  <c r="F162" i="3"/>
  <c r="Q674" i="1"/>
  <c r="L78" i="3"/>
  <c r="F179" i="3"/>
  <c r="L466" i="3"/>
  <c r="P741" i="3"/>
  <c r="L108" i="3"/>
  <c r="F282" i="3"/>
  <c r="N646" i="1"/>
  <c r="N121" i="3" s="1"/>
  <c r="O121" i="3"/>
  <c r="N604" i="1"/>
  <c r="N79" i="3" s="1"/>
  <c r="O79" i="3"/>
  <c r="P76" i="3"/>
  <c r="P125" i="3"/>
  <c r="P120" i="3"/>
  <c r="P525" i="3"/>
  <c r="F532" i="3"/>
  <c r="F162" i="1"/>
  <c r="L561" i="1"/>
  <c r="L364" i="3"/>
  <c r="P194" i="3"/>
  <c r="L692" i="1"/>
  <c r="L166" i="3"/>
  <c r="L95" i="3"/>
  <c r="I620" i="1"/>
  <c r="H183" i="3"/>
  <c r="F449" i="3"/>
  <c r="F463" i="3"/>
  <c r="F989" i="1"/>
  <c r="O104" i="3"/>
  <c r="N629" i="1"/>
  <c r="L96" i="3"/>
  <c r="P199" i="3"/>
  <c r="P402" i="3"/>
  <c r="H346" i="3"/>
  <c r="P243" i="3"/>
  <c r="O557" i="3"/>
  <c r="N1086" i="1"/>
  <c r="N557" i="3" s="1"/>
  <c r="L76" i="3"/>
  <c r="L145" i="3"/>
  <c r="L734" i="3"/>
  <c r="O102" i="3"/>
  <c r="N627" i="1"/>
  <c r="N102" i="3" s="1"/>
  <c r="L163" i="3"/>
  <c r="P680" i="3"/>
  <c r="P249" i="3"/>
  <c r="L144" i="3"/>
  <c r="P179" i="3"/>
  <c r="O148" i="3"/>
  <c r="N673" i="1"/>
  <c r="N148" i="3" s="1"/>
  <c r="L201" i="3"/>
  <c r="P78" i="3"/>
  <c r="F244" i="3"/>
  <c r="H740" i="3"/>
  <c r="H109" i="3"/>
  <c r="L654" i="1"/>
  <c r="L118" i="3"/>
  <c r="H168" i="3"/>
  <c r="P343" i="3"/>
  <c r="F342" i="3"/>
  <c r="H201" i="3"/>
  <c r="O123" i="1"/>
  <c r="O75" i="3"/>
  <c r="O609" i="1"/>
  <c r="O135" i="1"/>
  <c r="N600" i="1"/>
  <c r="N75" i="3" s="1"/>
  <c r="L88" i="3"/>
  <c r="H222" i="3"/>
  <c r="L294" i="3"/>
  <c r="O781" i="3"/>
  <c r="N1313" i="1"/>
  <c r="N781" i="3" s="1"/>
  <c r="H165" i="3"/>
  <c r="P346" i="3"/>
  <c r="F243" i="3"/>
  <c r="P77" i="3"/>
  <c r="F587" i="3"/>
  <c r="O398" i="3"/>
  <c r="N923" i="1"/>
  <c r="L93" i="3"/>
  <c r="F172" i="3"/>
  <c r="Q161" i="1"/>
  <c r="Q409" i="1" s="1"/>
  <c r="P930" i="1"/>
  <c r="P395" i="3"/>
  <c r="P75" i="3"/>
  <c r="P135" i="1"/>
  <c r="P609" i="1"/>
  <c r="P123" i="1"/>
  <c r="O138" i="3"/>
  <c r="N663" i="1"/>
  <c r="N138" i="3" s="1"/>
  <c r="N749" i="1"/>
  <c r="N224" i="3" s="1"/>
  <c r="O224" i="3"/>
  <c r="F126" i="1"/>
  <c r="F635" i="1"/>
  <c r="F100" i="3"/>
  <c r="F178" i="3"/>
  <c r="O133" i="1"/>
  <c r="O69" i="3"/>
  <c r="N594" i="1"/>
  <c r="N69" i="3" s="1"/>
  <c r="L135" i="3"/>
  <c r="P570" i="3"/>
  <c r="Q913" i="1"/>
  <c r="Q917" i="1" s="1"/>
  <c r="H404" i="3"/>
  <c r="L335" i="3"/>
  <c r="O128" i="3"/>
  <c r="N653" i="1"/>
  <c r="O83" i="3"/>
  <c r="N608" i="1"/>
  <c r="N83" i="3" s="1"/>
  <c r="F200" i="3"/>
  <c r="F193" i="3"/>
  <c r="F727" i="1"/>
  <c r="L698" i="3"/>
  <c r="N925" i="1"/>
  <c r="N400" i="3" s="1"/>
  <c r="O400" i="3"/>
  <c r="L138" i="3"/>
  <c r="H162" i="3"/>
  <c r="H156" i="1"/>
  <c r="H1037" i="3" s="1"/>
  <c r="L283" i="3"/>
  <c r="L178" i="1"/>
  <c r="P223" i="3"/>
  <c r="L178" i="3"/>
  <c r="Q665" i="1"/>
  <c r="H400" i="3"/>
  <c r="H572" i="3"/>
  <c r="H210" i="1"/>
  <c r="H1091" i="3" s="1"/>
  <c r="F135" i="3"/>
  <c r="P135" i="3"/>
  <c r="O262" i="3"/>
  <c r="N787" i="1"/>
  <c r="N262" i="3" s="1"/>
  <c r="L125" i="3"/>
  <c r="L262" i="3"/>
  <c r="H291" i="3"/>
  <c r="F224" i="3"/>
  <c r="F94" i="3"/>
  <c r="L179" i="3"/>
  <c r="O144" i="3"/>
  <c r="N669" i="1"/>
  <c r="L148" i="3"/>
  <c r="F104" i="3"/>
  <c r="P124" i="3"/>
  <c r="L291" i="3"/>
  <c r="O741" i="3"/>
  <c r="N1270" i="1"/>
  <c r="N741" i="3" s="1"/>
  <c r="Q162" i="1"/>
  <c r="Q410" i="1" s="1"/>
  <c r="F198" i="3"/>
  <c r="N693" i="1"/>
  <c r="N168" i="3" s="1"/>
  <c r="O168" i="3"/>
  <c r="H77" i="3"/>
  <c r="F363" i="3"/>
  <c r="F560" i="1"/>
  <c r="F36" i="3" s="1"/>
  <c r="F340" i="3"/>
  <c r="Q727" i="1"/>
  <c r="L237" i="3"/>
  <c r="L147" i="1"/>
  <c r="L160" i="3"/>
  <c r="F358" i="3"/>
  <c r="L109" i="3"/>
  <c r="P69" i="3"/>
  <c r="P133" i="1"/>
  <c r="O133" i="3"/>
  <c r="N658" i="1"/>
  <c r="N133" i="3" s="1"/>
  <c r="O395" i="3"/>
  <c r="O930" i="1"/>
  <c r="N920" i="1"/>
  <c r="N395" i="3" s="1"/>
  <c r="H358" i="3"/>
  <c r="F567" i="3"/>
  <c r="P137" i="3"/>
  <c r="F161" i="3"/>
  <c r="H386" i="3"/>
  <c r="H913" i="1"/>
  <c r="P139" i="3"/>
  <c r="P134" i="3"/>
  <c r="N924" i="1"/>
  <c r="P462" i="3"/>
  <c r="O147" i="1"/>
  <c r="N685" i="1"/>
  <c r="N160" i="3" s="1"/>
  <c r="O160" i="3"/>
  <c r="L121" i="3"/>
  <c r="P106" i="3"/>
  <c r="O159" i="3"/>
  <c r="N684" i="1"/>
  <c r="N159" i="3" s="1"/>
  <c r="O335" i="3"/>
  <c r="N860" i="1"/>
  <c r="N335" i="3" s="1"/>
  <c r="O143" i="1"/>
  <c r="H715" i="1"/>
  <c r="H176" i="3"/>
  <c r="L92" i="3"/>
  <c r="F608" i="3"/>
  <c r="F335" i="3"/>
  <c r="F291" i="3"/>
  <c r="O178" i="3"/>
  <c r="N703" i="1"/>
  <c r="N178" i="3" s="1"/>
  <c r="H119" i="3"/>
  <c r="Q210" i="1"/>
  <c r="Q458" i="1" s="1"/>
  <c r="H340" i="3"/>
  <c r="O387" i="3"/>
  <c r="N912" i="1"/>
  <c r="N387" i="3" s="1"/>
  <c r="Q133" i="1"/>
  <c r="Q381" i="1" s="1"/>
  <c r="N1051" i="1"/>
  <c r="N526" i="3" s="1"/>
  <c r="O526" i="3"/>
  <c r="L781" i="3"/>
  <c r="L415" i="3"/>
  <c r="H741" i="3"/>
  <c r="L290" i="3"/>
  <c r="O258" i="3"/>
  <c r="N783" i="1"/>
  <c r="N258" i="3" s="1"/>
  <c r="H106" i="3"/>
  <c r="F715" i="1"/>
  <c r="F176" i="3"/>
  <c r="O126" i="3"/>
  <c r="N651" i="1"/>
  <c r="N126" i="3" s="1"/>
  <c r="P148" i="3"/>
  <c r="F290" i="3"/>
  <c r="P163" i="3"/>
  <c r="P161" i="1"/>
  <c r="P524" i="3"/>
  <c r="P526" i="3"/>
  <c r="P608" i="3"/>
  <c r="H781" i="3"/>
  <c r="F594" i="3"/>
  <c r="P157" i="1"/>
  <c r="P171" i="3"/>
  <c r="H188" i="3"/>
  <c r="O466" i="3"/>
  <c r="N991" i="1"/>
  <c r="N466" i="3" s="1"/>
  <c r="L127" i="3"/>
  <c r="F698" i="1"/>
  <c r="F157" i="3"/>
  <c r="F155" i="1"/>
  <c r="O593" i="3"/>
  <c r="N1122" i="1"/>
  <c r="N593" i="3" s="1"/>
  <c r="L243" i="3"/>
  <c r="P104" i="3"/>
  <c r="N768" i="1"/>
  <c r="O243" i="3"/>
  <c r="P654" i="1"/>
  <c r="P118" i="3"/>
  <c r="H163" i="3"/>
  <c r="N1138" i="1"/>
  <c r="N609" i="3" s="1"/>
  <c r="O609" i="3"/>
  <c r="L387" i="3"/>
  <c r="F82" i="3"/>
  <c r="H304" i="3"/>
  <c r="H551" i="1"/>
  <c r="H27" i="3" s="1"/>
  <c r="F387" i="3"/>
  <c r="P400" i="3"/>
  <c r="F201" i="3"/>
  <c r="H178" i="3"/>
  <c r="H237" i="3"/>
  <c r="L157" i="3"/>
  <c r="L698" i="1"/>
  <c r="L155" i="1"/>
  <c r="L342" i="3"/>
  <c r="L680" i="3"/>
  <c r="L396" i="3"/>
  <c r="L250" i="3"/>
  <c r="O780" i="3"/>
  <c r="N1312" i="1"/>
  <c r="O210" i="1"/>
  <c r="O572" i="3"/>
  <c r="N1101" i="1"/>
  <c r="N572" i="3" s="1"/>
  <c r="F184" i="3"/>
  <c r="F710" i="1"/>
  <c r="F185" i="3" s="1"/>
  <c r="L1317" i="1"/>
  <c r="L785" i="3" s="1"/>
  <c r="L779" i="3"/>
  <c r="P147" i="1"/>
  <c r="P160" i="3"/>
  <c r="H89" i="3"/>
  <c r="H727" i="1"/>
  <c r="H193" i="3"/>
  <c r="N1263" i="1"/>
  <c r="N734" i="3" s="1"/>
  <c r="O734" i="3"/>
  <c r="L80" i="3"/>
  <c r="F654" i="1"/>
  <c r="F118" i="3"/>
  <c r="H424" i="3"/>
  <c r="L162" i="1"/>
  <c r="L532" i="3"/>
  <c r="P780" i="3"/>
  <c r="H91" i="3"/>
  <c r="F780" i="3"/>
  <c r="F237" i="3"/>
  <c r="L128" i="3"/>
  <c r="N865" i="1"/>
  <c r="N340" i="3" s="1"/>
  <c r="O340" i="3"/>
  <c r="L134" i="3"/>
  <c r="N659" i="1"/>
  <c r="N134" i="3" s="1"/>
  <c r="O134" i="3"/>
  <c r="P441" i="3"/>
  <c r="P82" i="3"/>
  <c r="H120" i="3"/>
  <c r="P127" i="3"/>
  <c r="Q135" i="1"/>
  <c r="Q383" i="1" s="1"/>
  <c r="Q123" i="1"/>
  <c r="Q372" i="1" s="1"/>
  <c r="Q609" i="1"/>
  <c r="Q152" i="1" s="1"/>
  <c r="Q400" i="1" s="1"/>
  <c r="H526" i="3"/>
  <c r="H593" i="3"/>
  <c r="H224" i="3"/>
  <c r="O127" i="3"/>
  <c r="N652" i="1"/>
  <c r="N127" i="3" s="1"/>
  <c r="F136" i="3"/>
  <c r="H95" i="3"/>
  <c r="L77" i="3"/>
  <c r="P398" i="3"/>
  <c r="Q1433" i="1"/>
  <c r="L258" i="3"/>
  <c r="H387" i="3"/>
  <c r="N602" i="1"/>
  <c r="N77" i="3" s="1"/>
  <c r="O77" i="3"/>
  <c r="P155" i="1"/>
  <c r="P698" i="1"/>
  <c r="P157" i="3"/>
  <c r="P715" i="1"/>
  <c r="P176" i="3"/>
  <c r="O132" i="3"/>
  <c r="N657" i="1"/>
  <c r="N132" i="3" s="1"/>
  <c r="O665" i="1"/>
  <c r="O165" i="3"/>
  <c r="N690" i="1"/>
  <c r="N165" i="3" s="1"/>
  <c r="L189" i="3"/>
  <c r="N848" i="1"/>
  <c r="N323" i="3" s="1"/>
  <c r="O554" i="1"/>
  <c r="O323" i="3"/>
  <c r="P551" i="1"/>
  <c r="P27" i="3" s="1"/>
  <c r="P304" i="3"/>
  <c r="P290" i="3"/>
  <c r="F692" i="1"/>
  <c r="F166" i="3"/>
  <c r="O707" i="3"/>
  <c r="N1236" i="1"/>
  <c r="N707" i="3" s="1"/>
  <c r="O1317" i="1"/>
  <c r="O785" i="3" s="1"/>
  <c r="N1311" i="1"/>
  <c r="I1311" i="1" s="1"/>
  <c r="O779" i="3"/>
  <c r="H107" i="3"/>
  <c r="O222" i="3"/>
  <c r="N747" i="1"/>
  <c r="N222" i="3" s="1"/>
  <c r="P466" i="3"/>
  <c r="O577" i="1"/>
  <c r="O686" i="3"/>
  <c r="N1215" i="1"/>
  <c r="N686" i="3" s="1"/>
  <c r="H88" i="3"/>
  <c r="P540" i="3"/>
  <c r="F698" i="3"/>
  <c r="L90" i="3"/>
  <c r="L340" i="3"/>
  <c r="P161" i="3"/>
  <c r="P81" i="3"/>
  <c r="H123" i="3"/>
  <c r="H384" i="3"/>
  <c r="F223" i="3"/>
  <c r="H294" i="3"/>
  <c r="P779" i="3"/>
  <c r="P1317" i="1"/>
  <c r="P785" i="3" s="1"/>
  <c r="H143" i="3"/>
  <c r="H674" i="1"/>
  <c r="H149" i="3" s="1"/>
  <c r="N696" i="1"/>
  <c r="O171" i="3"/>
  <c r="O157" i="1"/>
  <c r="F105" i="3"/>
  <c r="H525" i="3"/>
  <c r="F740" i="3"/>
  <c r="O396" i="3"/>
  <c r="N921" i="1"/>
  <c r="N396" i="3" s="1"/>
  <c r="O594" i="3"/>
  <c r="N1123" i="1"/>
  <c r="N594" i="3" s="1"/>
  <c r="L244" i="3"/>
  <c r="L525" i="3"/>
  <c r="L462" i="3"/>
  <c r="H126" i="3"/>
  <c r="H567" i="3"/>
  <c r="P94" i="3"/>
  <c r="L679" i="3"/>
  <c r="H782" i="3"/>
  <c r="L358" i="3"/>
  <c r="P123" i="3"/>
  <c r="F593" i="3"/>
  <c r="P698" i="3"/>
  <c r="P783" i="3"/>
  <c r="H133" i="3"/>
  <c r="L567" i="3"/>
  <c r="H92" i="3"/>
  <c r="L119" i="3"/>
  <c r="H127" i="3"/>
  <c r="F138" i="3"/>
  <c r="Q147" i="1"/>
  <c r="Q395" i="1" s="1"/>
  <c r="Q157" i="1"/>
  <c r="Q405" i="1" s="1"/>
  <c r="P178" i="1"/>
  <c r="P283" i="3"/>
  <c r="P291" i="3"/>
  <c r="P138" i="3"/>
  <c r="O170" i="3"/>
  <c r="O159" i="1"/>
  <c r="N695" i="1"/>
  <c r="N170" i="3" s="1"/>
  <c r="F158" i="3"/>
  <c r="H608" i="3"/>
  <c r="F384" i="3"/>
  <c r="L193" i="3"/>
  <c r="L727" i="1"/>
  <c r="L403" i="3"/>
  <c r="P316" i="3"/>
  <c r="O304" i="3"/>
  <c r="N829" i="1"/>
  <c r="O551" i="1"/>
  <c r="H698" i="3"/>
  <c r="P532" i="3"/>
  <c r="P162" i="1"/>
  <c r="P238" i="3"/>
  <c r="P567" i="3"/>
  <c r="F570" i="3"/>
  <c r="F89" i="3"/>
  <c r="Q654" i="1"/>
  <c r="Q159" i="1"/>
  <c r="Q407" i="1" s="1"/>
  <c r="F599" i="3"/>
  <c r="L989" i="1"/>
  <c r="L463" i="3"/>
  <c r="L593" i="3"/>
  <c r="O186" i="3"/>
  <c r="N711" i="1"/>
  <c r="N186" i="3" s="1"/>
  <c r="Q561" i="1"/>
  <c r="N687" i="1"/>
  <c r="N162" i="3" s="1"/>
  <c r="O162" i="3"/>
  <c r="O156" i="1"/>
  <c r="H423" i="3"/>
  <c r="P121" i="3"/>
  <c r="H133" i="1"/>
  <c r="H69" i="3"/>
  <c r="N1315" i="1"/>
  <c r="N783" i="3" s="1"/>
  <c r="O783" i="3"/>
  <c r="P384" i="3"/>
  <c r="L158" i="1"/>
  <c r="L169" i="3"/>
  <c r="P172" i="3"/>
  <c r="P588" i="3"/>
  <c r="P364" i="3"/>
  <c r="P561" i="1"/>
  <c r="P37" i="3" s="1"/>
  <c r="F423" i="3"/>
  <c r="N649" i="1"/>
  <c r="O124" i="3"/>
  <c r="O449" i="3"/>
  <c r="N974" i="1"/>
  <c r="N449" i="3" s="1"/>
  <c r="L183" i="3"/>
  <c r="N1083" i="1"/>
  <c r="I1083" i="1" s="1"/>
  <c r="L566" i="3"/>
  <c r="O727" i="1"/>
  <c r="O193" i="3"/>
  <c r="N718" i="1"/>
  <c r="P334" i="3"/>
  <c r="P539" i="3"/>
  <c r="P167" i="1"/>
  <c r="L424" i="3"/>
  <c r="H108" i="3"/>
  <c r="H363" i="3"/>
  <c r="H560" i="1"/>
  <c r="H36" i="3" s="1"/>
  <c r="H102" i="3"/>
  <c r="P144" i="3"/>
  <c r="O249" i="3"/>
  <c r="N774" i="1"/>
  <c r="N249" i="3" s="1"/>
  <c r="H594" i="3"/>
  <c r="P162" i="3"/>
  <c r="P156" i="1"/>
  <c r="L533" i="3"/>
  <c r="L740" i="3"/>
  <c r="F539" i="3"/>
  <c r="F167" i="1"/>
  <c r="L120" i="3"/>
  <c r="N1049" i="1"/>
  <c r="N524" i="3" s="1"/>
  <c r="O524" i="3"/>
  <c r="O161" i="1"/>
  <c r="Q577" i="1"/>
  <c r="N1116" i="1"/>
  <c r="O587" i="3"/>
  <c r="H587" i="3"/>
  <c r="F143" i="3"/>
  <c r="F674" i="1"/>
  <c r="L540" i="3"/>
  <c r="O316" i="3"/>
  <c r="N841" i="1"/>
  <c r="N316" i="3" s="1"/>
  <c r="P102" i="3"/>
  <c r="L89" i="3"/>
  <c r="F781" i="3"/>
  <c r="L674" i="1"/>
  <c r="L143" i="3"/>
  <c r="O414" i="3"/>
  <c r="N939" i="1"/>
  <c r="N414" i="3" s="1"/>
  <c r="H780" i="3"/>
  <c r="L609" i="3"/>
  <c r="F395" i="3"/>
  <c r="N625" i="1"/>
  <c r="N100" i="3" s="1"/>
  <c r="O126" i="1"/>
  <c r="O635" i="1"/>
  <c r="O100" i="3"/>
  <c r="P403" i="3"/>
  <c r="F346" i="3"/>
  <c r="F186" i="3"/>
  <c r="L171" i="3"/>
  <c r="L157" i="1"/>
  <c r="N948" i="1"/>
  <c r="N423" i="3" s="1"/>
  <c r="N867" i="1"/>
  <c r="N342" i="3" s="1"/>
  <c r="O342" i="3"/>
  <c r="F169" i="3"/>
  <c r="F158" i="1"/>
  <c r="F194" i="3"/>
  <c r="N1128" i="1"/>
  <c r="N599" i="3" s="1"/>
  <c r="O599" i="3"/>
  <c r="L124" i="3"/>
  <c r="F133" i="3"/>
  <c r="O404" i="3"/>
  <c r="N929" i="1"/>
  <c r="N404" i="3" s="1"/>
  <c r="H194" i="3"/>
  <c r="N670" i="1"/>
  <c r="N145" i="3" s="1"/>
  <c r="O145" i="3"/>
  <c r="P340" i="3"/>
  <c r="F161" i="1"/>
  <c r="F524" i="3"/>
  <c r="N702" i="1"/>
  <c r="N177" i="3" s="1"/>
  <c r="O177" i="3"/>
  <c r="F137" i="3"/>
  <c r="P599" i="3"/>
  <c r="L197" i="3"/>
  <c r="L82" i="3"/>
  <c r="N628" i="1"/>
  <c r="N103" i="3" s="1"/>
  <c r="O103" i="3"/>
  <c r="F188" i="3"/>
  <c r="H145" i="3"/>
  <c r="H609" i="3"/>
  <c r="F588" i="3"/>
  <c r="L200" i="3"/>
  <c r="H134" i="3"/>
  <c r="P90" i="3"/>
  <c r="F145" i="3"/>
  <c r="H167" i="1"/>
  <c r="H1048" i="3" s="1"/>
  <c r="H539" i="3"/>
  <c r="N720" i="1"/>
  <c r="N195" i="3" s="1"/>
  <c r="O195" i="3"/>
  <c r="H82" i="3"/>
  <c r="P95" i="3"/>
  <c r="P133" i="3"/>
  <c r="P781" i="3"/>
  <c r="N618" i="1"/>
  <c r="N93" i="3" s="1"/>
  <c r="O93" i="3"/>
  <c r="Q715" i="1"/>
  <c r="Q174" i="1" s="1"/>
  <c r="Q422" i="1" s="1"/>
  <c r="H180" i="3"/>
  <c r="P158" i="3"/>
  <c r="F565" i="3"/>
  <c r="F1097" i="1"/>
  <c r="F568" i="3" s="1"/>
  <c r="P734" i="3"/>
  <c r="F195" i="3"/>
  <c r="L599" i="3"/>
  <c r="F622" i="1"/>
  <c r="F125" i="1"/>
  <c r="F87" i="3"/>
  <c r="F343" i="3"/>
  <c r="F123" i="3"/>
  <c r="F91" i="3"/>
  <c r="H177" i="3"/>
  <c r="N1084" i="1"/>
  <c r="I1084" i="1" s="1"/>
  <c r="D1084" i="1" s="1"/>
  <c r="H342" i="3"/>
  <c r="H148" i="3"/>
  <c r="F913" i="1"/>
  <c r="F386" i="3"/>
  <c r="H365" i="3"/>
  <c r="H562" i="1"/>
  <c r="H38" i="3" s="1"/>
  <c r="H930" i="1"/>
  <c r="H395" i="3"/>
  <c r="P387" i="3"/>
  <c r="L180" i="3"/>
  <c r="P294" i="3"/>
  <c r="F238" i="3"/>
  <c r="H290" i="3"/>
  <c r="P989" i="1"/>
  <c r="P464" i="3" s="1"/>
  <c r="P463" i="3"/>
  <c r="F197" i="3"/>
  <c r="F134" i="3"/>
  <c r="N816" i="1"/>
  <c r="N291" i="3" s="1"/>
  <c r="O291" i="3"/>
  <c r="O167" i="1"/>
  <c r="O539" i="3"/>
  <c r="N1064" i="1"/>
  <c r="N539" i="3" s="1"/>
  <c r="N762" i="1"/>
  <c r="N237" i="3" s="1"/>
  <c r="O237" i="3"/>
  <c r="O346" i="3"/>
  <c r="N871" i="1"/>
  <c r="N346" i="3" s="1"/>
  <c r="N883" i="1"/>
  <c r="N358" i="3" s="1"/>
  <c r="O358" i="3"/>
  <c r="P105" i="3"/>
  <c r="F170" i="3"/>
  <c r="F159" i="1"/>
  <c r="L176" i="3"/>
  <c r="L715" i="1"/>
  <c r="F96" i="3"/>
  <c r="L402" i="3"/>
  <c r="L780" i="3"/>
  <c r="P93" i="3"/>
  <c r="O462" i="3"/>
  <c r="N987" i="1"/>
  <c r="N462" i="3" s="1"/>
  <c r="P342" i="3"/>
  <c r="H83" i="3"/>
  <c r="H244" i="3"/>
  <c r="F177" i="3"/>
  <c r="F128" i="3"/>
  <c r="F127" i="3"/>
  <c r="N889" i="1"/>
  <c r="N364" i="3" s="1"/>
  <c r="O364" i="3"/>
  <c r="O561" i="1"/>
  <c r="F577" i="1"/>
  <c r="F686" i="3"/>
  <c r="H78" i="3"/>
  <c r="P109" i="3"/>
  <c r="F187" i="3"/>
  <c r="H81" i="3"/>
  <c r="F163" i="3"/>
  <c r="L238" i="3"/>
  <c r="L159" i="1"/>
  <c r="L170" i="3"/>
  <c r="F294" i="3"/>
  <c r="H126" i="1"/>
  <c r="H635" i="1"/>
  <c r="H100" i="3"/>
  <c r="L186" i="3"/>
  <c r="P126" i="3"/>
  <c r="F402" i="3"/>
  <c r="F557" i="3"/>
  <c r="P87" i="3"/>
  <c r="P622" i="1"/>
  <c r="P125" i="1"/>
  <c r="H679" i="3"/>
  <c r="F168" i="3"/>
  <c r="P103" i="3"/>
  <c r="N988" i="1"/>
  <c r="O989" i="1"/>
  <c r="O464" i="3" s="1"/>
  <c r="O463" i="3"/>
  <c r="F157" i="1"/>
  <c r="F171" i="3"/>
  <c r="L107" i="3"/>
  <c r="Q560" i="1"/>
  <c r="F250" i="3"/>
  <c r="L172" i="3"/>
  <c r="L316" i="3"/>
  <c r="Q1059" i="1"/>
  <c r="Q793" i="1"/>
  <c r="Q1151" i="1"/>
  <c r="Q943" i="1"/>
  <c r="Q938" i="1"/>
  <c r="Q947" i="1"/>
  <c r="Q950" i="1"/>
  <c r="Q942" i="1"/>
  <c r="Q941" i="1"/>
  <c r="Q944" i="1"/>
  <c r="Q946" i="1"/>
  <c r="Q963" i="1"/>
  <c r="Q959" i="1"/>
  <c r="Q960" i="1"/>
  <c r="Q958" i="1"/>
  <c r="Q965" i="1"/>
  <c r="Q956" i="1"/>
  <c r="Q961" i="1"/>
  <c r="Q964" i="1"/>
  <c r="Q957" i="1"/>
  <c r="Q967" i="1"/>
  <c r="Q1023" i="1"/>
  <c r="Q1034" i="1"/>
  <c r="Q1143" i="1"/>
  <c r="Q1175" i="1"/>
  <c r="Q1022" i="1"/>
  <c r="Q1021" i="1"/>
  <c r="Q1033" i="1"/>
  <c r="Q1032" i="1"/>
  <c r="Q1264" i="1"/>
  <c r="Q1026" i="1"/>
  <c r="Q1038" i="1"/>
  <c r="Q1066" i="1"/>
  <c r="Q1268" i="1"/>
  <c r="Q1161" i="1"/>
  <c r="Q1282" i="1"/>
  <c r="Q1184" i="1"/>
  <c r="Q1115" i="1"/>
  <c r="Q761" i="1"/>
  <c r="Q1027" i="1"/>
  <c r="Q1127" i="1"/>
  <c r="Q773" i="1"/>
  <c r="Q1163" i="1"/>
  <c r="Q1186" i="1"/>
  <c r="Q1037" i="1"/>
  <c r="Q1025" i="1"/>
  <c r="Q1185" i="1"/>
  <c r="Q1162" i="1"/>
  <c r="Q1121" i="1"/>
  <c r="Q767" i="1"/>
  <c r="Q1024" i="1"/>
  <c r="Q1035" i="1"/>
  <c r="Q1052" i="1"/>
  <c r="Q1220" i="1"/>
  <c r="Q806" i="1"/>
  <c r="Q858" i="1"/>
  <c r="I1209" i="1" l="1"/>
  <c r="I680" i="3" s="1"/>
  <c r="I633" i="1"/>
  <c r="I108" i="3" s="1"/>
  <c r="I605" i="1"/>
  <c r="I80" i="3" s="1"/>
  <c r="I928" i="1"/>
  <c r="D928" i="1" s="1"/>
  <c r="D403" i="3" s="1"/>
  <c r="I650" i="1"/>
  <c r="I125" i="3" s="1"/>
  <c r="I1117" i="1"/>
  <c r="I588" i="3" s="1"/>
  <c r="I672" i="1"/>
  <c r="I147" i="3" s="1"/>
  <c r="I697" i="1"/>
  <c r="I172" i="3" s="1"/>
  <c r="I695" i="1"/>
  <c r="I170" i="3" s="1"/>
  <c r="I865" i="1"/>
  <c r="I340" i="3" s="1"/>
  <c r="I682" i="1"/>
  <c r="I157" i="3" s="1"/>
  <c r="I646" i="1"/>
  <c r="I121" i="3" s="1"/>
  <c r="I726" i="1"/>
  <c r="I619" i="1"/>
  <c r="I94" i="3" s="1"/>
  <c r="I1058" i="1"/>
  <c r="I533" i="3" s="1"/>
  <c r="I603" i="1"/>
  <c r="I78" i="3" s="1"/>
  <c r="I966" i="1"/>
  <c r="I441" i="3" s="1"/>
  <c r="I713" i="1"/>
  <c r="D713" i="1" s="1"/>
  <c r="D188" i="3" s="1"/>
  <c r="I647" i="1"/>
  <c r="I1138" i="1"/>
  <c r="I609" i="3" s="1"/>
  <c r="I663" i="1"/>
  <c r="I138" i="3" s="1"/>
  <c r="I613" i="1"/>
  <c r="I88" i="3" s="1"/>
  <c r="I632" i="1"/>
  <c r="D632" i="1" s="1"/>
  <c r="D107" i="3" s="1"/>
  <c r="I645" i="1"/>
  <c r="D645" i="1" s="1"/>
  <c r="D120" i="3" s="1"/>
  <c r="I1096" i="1"/>
  <c r="I567" i="3" s="1"/>
  <c r="I783" i="1"/>
  <c r="I258" i="3" s="1"/>
  <c r="I602" i="1"/>
  <c r="I77" i="3" s="1"/>
  <c r="I621" i="1"/>
  <c r="I96" i="3" s="1"/>
  <c r="I748" i="1"/>
  <c r="I223" i="3" s="1"/>
  <c r="I607" i="1"/>
  <c r="I82" i="3" s="1"/>
  <c r="I668" i="1"/>
  <c r="I143" i="3" s="1"/>
  <c r="I1050" i="1"/>
  <c r="I525" i="3" s="1"/>
  <c r="Q160" i="1"/>
  <c r="Q408" i="1" s="1"/>
  <c r="I693" i="1"/>
  <c r="I705" i="1"/>
  <c r="D705" i="1" s="1"/>
  <c r="D180" i="3" s="1"/>
  <c r="I643" i="1"/>
  <c r="I118" i="3" s="1"/>
  <c r="I614" i="1"/>
  <c r="D614" i="1" s="1"/>
  <c r="D89" i="3" s="1"/>
  <c r="I703" i="1"/>
  <c r="D703" i="1" s="1"/>
  <c r="D178" i="3" s="1"/>
  <c r="I711" i="1"/>
  <c r="I186" i="3" s="1"/>
  <c r="I722" i="1"/>
  <c r="D722" i="1" s="1"/>
  <c r="I1065" i="1"/>
  <c r="I540" i="3" s="1"/>
  <c r="I949" i="1"/>
  <c r="I424" i="3" s="1"/>
  <c r="I1095" i="1"/>
  <c r="I566" i="3" s="1"/>
  <c r="I987" i="1"/>
  <c r="I462" i="3" s="1"/>
  <c r="I769" i="1"/>
  <c r="I244" i="3" s="1"/>
  <c r="I688" i="1"/>
  <c r="D672" i="1"/>
  <c r="D147" i="3" s="1"/>
  <c r="I920" i="1"/>
  <c r="I395" i="3" s="1"/>
  <c r="I701" i="1"/>
  <c r="D701" i="1" s="1"/>
  <c r="D176" i="3" s="1"/>
  <c r="I725" i="1"/>
  <c r="I200" i="3" s="1"/>
  <c r="I694" i="1"/>
  <c r="I169" i="3" s="1"/>
  <c r="I1122" i="1"/>
  <c r="D1122" i="1" s="1"/>
  <c r="D593" i="3" s="1"/>
  <c r="I1049" i="1"/>
  <c r="I807" i="1"/>
  <c r="I1269" i="1"/>
  <c r="I740" i="3" s="1"/>
  <c r="I615" i="1"/>
  <c r="I90" i="3" s="1"/>
  <c r="I912" i="1"/>
  <c r="I387" i="3" s="1"/>
  <c r="I601" i="1"/>
  <c r="D601" i="1" s="1"/>
  <c r="D76" i="3" s="1"/>
  <c r="I1314" i="1"/>
  <c r="I782" i="3" s="1"/>
  <c r="I909" i="1"/>
  <c r="I1099" i="1"/>
  <c r="D631" i="1"/>
  <c r="D106" i="3" s="1"/>
  <c r="I702" i="1"/>
  <c r="D702" i="1" s="1"/>
  <c r="D177" i="3" s="1"/>
  <c r="I606" i="1"/>
  <c r="I81" i="3" s="1"/>
  <c r="I888" i="1"/>
  <c r="D888" i="1" s="1"/>
  <c r="D363" i="3" s="1"/>
  <c r="I841" i="1"/>
  <c r="I316" i="3" s="1"/>
  <c r="I763" i="1"/>
  <c r="I238" i="3" s="1"/>
  <c r="I1128" i="1"/>
  <c r="I599" i="3" s="1"/>
  <c r="I644" i="1"/>
  <c r="I119" i="3" s="1"/>
  <c r="I1208" i="1"/>
  <c r="I679" i="3" s="1"/>
  <c r="I659" i="1"/>
  <c r="D659" i="1" s="1"/>
  <c r="D134" i="3" s="1"/>
  <c r="I867" i="1"/>
  <c r="I342" i="3" s="1"/>
  <c r="I617" i="1"/>
  <c r="I92" i="3" s="1"/>
  <c r="I634" i="1"/>
  <c r="I109" i="3" s="1"/>
  <c r="I819" i="1"/>
  <c r="D819" i="1" s="1"/>
  <c r="D294" i="3" s="1"/>
  <c r="I686" i="1"/>
  <c r="D686" i="1" s="1"/>
  <c r="D161" i="3" s="1"/>
  <c r="I651" i="1"/>
  <c r="I126" i="3" s="1"/>
  <c r="I1129" i="1"/>
  <c r="I706" i="1"/>
  <c r="D706" i="1" s="1"/>
  <c r="D181" i="3" s="1"/>
  <c r="I600" i="1"/>
  <c r="I75" i="3" s="1"/>
  <c r="I630" i="1"/>
  <c r="I1313" i="1"/>
  <c r="I762" i="1"/>
  <c r="I237" i="3" s="1"/>
  <c r="I673" i="1"/>
  <c r="I704" i="1"/>
  <c r="I179" i="3" s="1"/>
  <c r="I1227" i="1"/>
  <c r="I698" i="3" s="1"/>
  <c r="I859" i="1"/>
  <c r="I334" i="3" s="1"/>
  <c r="I721" i="1"/>
  <c r="I890" i="1"/>
  <c r="I365" i="3" s="1"/>
  <c r="Q861" i="1"/>
  <c r="Q141" i="1"/>
  <c r="Q389" i="1" s="1"/>
  <c r="Q809" i="1"/>
  <c r="Q200" i="1"/>
  <c r="Q448" i="1" s="1"/>
  <c r="Q770" i="1"/>
  <c r="Q1124" i="1"/>
  <c r="Q776" i="1"/>
  <c r="Q1130" i="1"/>
  <c r="Q764" i="1"/>
  <c r="Q1118" i="1"/>
  <c r="Q1188" i="1"/>
  <c r="Q1165" i="1"/>
  <c r="Q204" i="1"/>
  <c r="Q452" i="1" s="1"/>
  <c r="Q182" i="1"/>
  <c r="Q430" i="1" s="1"/>
  <c r="Q183" i="1"/>
  <c r="Q431" i="1" s="1"/>
  <c r="Q962" i="1"/>
  <c r="Q968" i="1"/>
  <c r="Q951" i="1"/>
  <c r="Q181" i="1"/>
  <c r="Q429" i="1" s="1"/>
  <c r="Q202" i="1"/>
  <c r="Q450" i="1" s="1"/>
  <c r="P97" i="3"/>
  <c r="P153" i="1"/>
  <c r="O37" i="3"/>
  <c r="N561" i="1"/>
  <c r="N37" i="3" s="1"/>
  <c r="P410" i="1"/>
  <c r="P1043" i="3"/>
  <c r="O149" i="3"/>
  <c r="N674" i="1"/>
  <c r="N149" i="3" s="1"/>
  <c r="N91" i="3"/>
  <c r="I616" i="1"/>
  <c r="N166" i="3"/>
  <c r="I691" i="1"/>
  <c r="H405" i="3"/>
  <c r="F388" i="3"/>
  <c r="F917" i="1"/>
  <c r="F149" i="3"/>
  <c r="N587" i="3"/>
  <c r="I1116" i="1"/>
  <c r="P1036" i="3"/>
  <c r="P403" i="1"/>
  <c r="N780" i="3"/>
  <c r="I1312" i="1"/>
  <c r="L1059" i="3"/>
  <c r="L426" i="1"/>
  <c r="F1007" i="3"/>
  <c r="D620" i="1"/>
  <c r="D95" i="3" s="1"/>
  <c r="I95" i="3"/>
  <c r="N250" i="3"/>
  <c r="I775" i="1"/>
  <c r="H1040" i="3"/>
  <c r="O1006" i="3"/>
  <c r="N125" i="1"/>
  <c r="N1006" i="3" s="1"/>
  <c r="I848" i="1"/>
  <c r="H1059" i="3"/>
  <c r="H426" i="1"/>
  <c r="P1091" i="3"/>
  <c r="P458" i="1"/>
  <c r="P1328" i="3" s="1"/>
  <c r="N532" i="3"/>
  <c r="I1057" i="1"/>
  <c r="I784" i="1"/>
  <c r="H1039" i="3"/>
  <c r="L84" i="3"/>
  <c r="L152" i="1"/>
  <c r="N562" i="1"/>
  <c r="N38" i="3" s="1"/>
  <c r="O38" i="3"/>
  <c r="L1048" i="3"/>
  <c r="P1024" i="3"/>
  <c r="N304" i="3"/>
  <c r="I829" i="1"/>
  <c r="N171" i="3"/>
  <c r="I696" i="1"/>
  <c r="I921" i="1"/>
  <c r="N128" i="3"/>
  <c r="I653" i="1"/>
  <c r="O84" i="3"/>
  <c r="N609" i="1"/>
  <c r="N84" i="3" s="1"/>
  <c r="O152" i="1"/>
  <c r="N463" i="3"/>
  <c r="I988" i="1"/>
  <c r="N167" i="1"/>
  <c r="N1048" i="3" s="1"/>
  <c r="O1048" i="3"/>
  <c r="O415" i="1"/>
  <c r="N124" i="3"/>
  <c r="I649" i="1"/>
  <c r="Q127" i="1"/>
  <c r="Q375" i="1" s="1"/>
  <c r="Q145" i="1"/>
  <c r="Q393" i="1" s="1"/>
  <c r="Q676" i="1"/>
  <c r="F1036" i="3"/>
  <c r="I687" i="1"/>
  <c r="N343" i="3"/>
  <c r="I868" i="1"/>
  <c r="H1028" i="3"/>
  <c r="L146" i="1"/>
  <c r="L128" i="1"/>
  <c r="L140" i="3"/>
  <c r="L129" i="1"/>
  <c r="N183" i="3"/>
  <c r="I708" i="1"/>
  <c r="N135" i="3"/>
  <c r="I660" i="1"/>
  <c r="I719" i="1"/>
  <c r="P154" i="1"/>
  <c r="P637" i="1"/>
  <c r="P110" i="3"/>
  <c r="N137" i="3"/>
  <c r="I662" i="1"/>
  <c r="F1004" i="3"/>
  <c r="N608" i="3"/>
  <c r="I1137" i="1"/>
  <c r="L173" i="1"/>
  <c r="L173" i="3"/>
  <c r="L131" i="1"/>
  <c r="L167" i="3"/>
  <c r="L160" i="1"/>
  <c r="F153" i="1"/>
  <c r="F97" i="3"/>
  <c r="N635" i="1"/>
  <c r="N110" i="3" s="1"/>
  <c r="O154" i="1"/>
  <c r="O637" i="1"/>
  <c r="O110" i="3"/>
  <c r="P404" i="1"/>
  <c r="P1037" i="3"/>
  <c r="N193" i="3"/>
  <c r="I718" i="1"/>
  <c r="L464" i="3"/>
  <c r="I779" i="3"/>
  <c r="D1311" i="1"/>
  <c r="N243" i="3"/>
  <c r="I768" i="1"/>
  <c r="O1024" i="3"/>
  <c r="N143" i="1"/>
  <c r="N399" i="3"/>
  <c r="I924" i="1"/>
  <c r="N144" i="3"/>
  <c r="I669" i="1"/>
  <c r="N104" i="3"/>
  <c r="I629" i="1"/>
  <c r="L37" i="3"/>
  <c r="N402" i="3"/>
  <c r="I927" i="1"/>
  <c r="L27" i="3"/>
  <c r="N283" i="3"/>
  <c r="I808" i="1"/>
  <c r="L1091" i="3"/>
  <c r="N189" i="3"/>
  <c r="I714" i="1"/>
  <c r="L97" i="3"/>
  <c r="L153" i="1"/>
  <c r="N290" i="3"/>
  <c r="I815" i="1"/>
  <c r="L1040" i="3"/>
  <c r="L407" i="1"/>
  <c r="F53" i="3"/>
  <c r="F1040" i="3"/>
  <c r="F1006" i="3"/>
  <c r="L1038" i="3"/>
  <c r="L405" i="1"/>
  <c r="O1042" i="3"/>
  <c r="N161" i="1"/>
  <c r="N1042" i="3" s="1"/>
  <c r="H381" i="1"/>
  <c r="H1014" i="3"/>
  <c r="O27" i="3"/>
  <c r="N551" i="1"/>
  <c r="N27" i="3" s="1"/>
  <c r="P1059" i="3"/>
  <c r="I883" i="1"/>
  <c r="O53" i="3"/>
  <c r="N577" i="1"/>
  <c r="N53" i="3" s="1"/>
  <c r="N554" i="1"/>
  <c r="N30" i="3" s="1"/>
  <c r="O30" i="3"/>
  <c r="P173" i="3"/>
  <c r="P173" i="1"/>
  <c r="P131" i="1"/>
  <c r="H175" i="1"/>
  <c r="H729" i="1"/>
  <c r="H202" i="3"/>
  <c r="O1091" i="3"/>
  <c r="O458" i="1"/>
  <c r="N210" i="1"/>
  <c r="N1091" i="3" s="1"/>
  <c r="L1036" i="3"/>
  <c r="I652" i="1"/>
  <c r="H190" i="3"/>
  <c r="H174" i="1"/>
  <c r="H917" i="1"/>
  <c r="H388" i="3"/>
  <c r="O405" i="3"/>
  <c r="N930" i="1"/>
  <c r="N405" i="3" s="1"/>
  <c r="P381" i="1"/>
  <c r="P1014" i="3"/>
  <c r="L1028" i="3"/>
  <c r="D865" i="1"/>
  <c r="D340" i="3" s="1"/>
  <c r="Q128" i="1"/>
  <c r="Q376" i="1" s="1"/>
  <c r="Q146" i="1"/>
  <c r="Q394" i="1" s="1"/>
  <c r="Q129" i="1"/>
  <c r="Q377" i="1" s="1"/>
  <c r="F202" i="3"/>
  <c r="F729" i="1"/>
  <c r="F175" i="1"/>
  <c r="O381" i="1"/>
  <c r="N133" i="1"/>
  <c r="N1014" i="3" s="1"/>
  <c r="O1014" i="3"/>
  <c r="F110" i="3"/>
  <c r="F154" i="1"/>
  <c r="F637" i="1"/>
  <c r="P1016" i="3"/>
  <c r="I618" i="1"/>
  <c r="O1016" i="3"/>
  <c r="N135" i="1"/>
  <c r="N1016" i="3" s="1"/>
  <c r="I670" i="1"/>
  <c r="F464" i="3"/>
  <c r="I929" i="1"/>
  <c r="I404" i="3" s="1"/>
  <c r="I974" i="1"/>
  <c r="I627" i="1"/>
  <c r="F140" i="3"/>
  <c r="F128" i="1"/>
  <c r="F129" i="1"/>
  <c r="F146" i="1"/>
  <c r="D633" i="1"/>
  <c r="D108" i="3" s="1"/>
  <c r="L110" i="3"/>
  <c r="L637" i="1"/>
  <c r="L154" i="1"/>
  <c r="O174" i="1"/>
  <c r="O190" i="3"/>
  <c r="N715" i="1"/>
  <c r="N190" i="3" s="1"/>
  <c r="I749" i="1"/>
  <c r="P917" i="1"/>
  <c r="P932" i="1" s="1"/>
  <c r="P388" i="3"/>
  <c r="I712" i="1"/>
  <c r="P202" i="3"/>
  <c r="P175" i="1"/>
  <c r="P729" i="1"/>
  <c r="I628" i="1"/>
  <c r="I948" i="1"/>
  <c r="I604" i="1"/>
  <c r="H153" i="1"/>
  <c r="H97" i="3"/>
  <c r="I1315" i="1"/>
  <c r="I690" i="1"/>
  <c r="P128" i="1"/>
  <c r="P146" i="1"/>
  <c r="P1027" i="3" s="1"/>
  <c r="P129" i="1"/>
  <c r="P140" i="3"/>
  <c r="I925" i="1"/>
  <c r="I400" i="3" s="1"/>
  <c r="I608" i="1"/>
  <c r="L917" i="1"/>
  <c r="L932" i="1" s="1"/>
  <c r="L388" i="3"/>
  <c r="I658" i="1"/>
  <c r="I594" i="1"/>
  <c r="I69" i="3" s="1"/>
  <c r="I626" i="1"/>
  <c r="I1064" i="1"/>
  <c r="F785" i="3"/>
  <c r="P1039" i="3"/>
  <c r="I664" i="1"/>
  <c r="I1270" i="1"/>
  <c r="H154" i="1"/>
  <c r="H110" i="3"/>
  <c r="H637" i="1"/>
  <c r="L190" i="3"/>
  <c r="L174" i="1"/>
  <c r="F1039" i="3"/>
  <c r="O1007" i="3"/>
  <c r="N126" i="1"/>
  <c r="N1007" i="3" s="1"/>
  <c r="L149" i="3"/>
  <c r="P1048" i="3"/>
  <c r="P415" i="1"/>
  <c r="N779" i="3"/>
  <c r="N1317" i="1"/>
  <c r="N785" i="3" s="1"/>
  <c r="O140" i="3"/>
  <c r="N665" i="1"/>
  <c r="N140" i="3" s="1"/>
  <c r="O146" i="1"/>
  <c r="O129" i="1"/>
  <c r="O128" i="1"/>
  <c r="P174" i="1"/>
  <c r="P190" i="3"/>
  <c r="L1043" i="3"/>
  <c r="F127" i="1"/>
  <c r="F129" i="3"/>
  <c r="F676" i="1"/>
  <c r="F145" i="1"/>
  <c r="P1038" i="3"/>
  <c r="P405" i="1"/>
  <c r="P1042" i="3"/>
  <c r="F174" i="1"/>
  <c r="F190" i="3"/>
  <c r="I685" i="1"/>
  <c r="I816" i="1"/>
  <c r="Q168" i="1"/>
  <c r="Q416" i="1" s="1"/>
  <c r="Q170" i="1"/>
  <c r="Q418" i="1" s="1"/>
  <c r="P1004" i="3"/>
  <c r="I923" i="1"/>
  <c r="N398" i="3"/>
  <c r="I1263" i="1"/>
  <c r="I734" i="3" s="1"/>
  <c r="I991" i="1"/>
  <c r="H1016" i="3"/>
  <c r="F1028" i="3"/>
  <c r="H167" i="3"/>
  <c r="H160" i="1"/>
  <c r="H1043" i="3"/>
  <c r="L404" i="1"/>
  <c r="L1037" i="3"/>
  <c r="L1042" i="3"/>
  <c r="O153" i="1"/>
  <c r="N622" i="1"/>
  <c r="N97" i="3" s="1"/>
  <c r="O97" i="3"/>
  <c r="I625" i="1"/>
  <c r="O1059" i="3"/>
  <c r="N178" i="1"/>
  <c r="N1059" i="3" s="1"/>
  <c r="I1123" i="1"/>
  <c r="H173" i="1"/>
  <c r="H173" i="3"/>
  <c r="H131" i="1"/>
  <c r="I671" i="1"/>
  <c r="Q154" i="1"/>
  <c r="Q402" i="1" s="1"/>
  <c r="Q637" i="1"/>
  <c r="Q136" i="1" s="1"/>
  <c r="Q384" i="1" s="1"/>
  <c r="O1039" i="3"/>
  <c r="N158" i="1"/>
  <c r="N1039" i="3" s="1"/>
  <c r="I720" i="1"/>
  <c r="O1043" i="3"/>
  <c r="N162" i="1"/>
  <c r="N1043" i="3" s="1"/>
  <c r="O410" i="1"/>
  <c r="P167" i="3"/>
  <c r="P160" i="1"/>
  <c r="I871" i="1"/>
  <c r="I709" i="1"/>
  <c r="I684" i="1"/>
  <c r="I1051" i="1"/>
  <c r="O388" i="3"/>
  <c r="N913" i="1"/>
  <c r="N388" i="3" s="1"/>
  <c r="O917" i="1"/>
  <c r="Q932" i="1"/>
  <c r="Q569" i="1" s="1"/>
  <c r="O36" i="3"/>
  <c r="N560" i="1"/>
  <c r="N36" i="3" s="1"/>
  <c r="I774" i="1"/>
  <c r="I911" i="1"/>
  <c r="P1007" i="3"/>
  <c r="L1016" i="3"/>
  <c r="L381" i="1"/>
  <c r="L1014" i="3"/>
  <c r="L1006" i="3"/>
  <c r="O1036" i="3"/>
  <c r="N155" i="1"/>
  <c r="N1036" i="3" s="1"/>
  <c r="F1016" i="3"/>
  <c r="I1215" i="1"/>
  <c r="L36" i="3"/>
  <c r="L38" i="3"/>
  <c r="I683" i="1"/>
  <c r="F1038" i="3"/>
  <c r="P1006" i="3"/>
  <c r="H1007" i="3"/>
  <c r="F1042" i="3"/>
  <c r="F1048" i="3"/>
  <c r="O729" i="1"/>
  <c r="O202" i="3"/>
  <c r="O175" i="1"/>
  <c r="N727" i="1"/>
  <c r="N202" i="3" s="1"/>
  <c r="L1039" i="3"/>
  <c r="O404" i="1"/>
  <c r="O1037" i="3"/>
  <c r="N156" i="1"/>
  <c r="N1037" i="3" s="1"/>
  <c r="L202" i="3"/>
  <c r="L729" i="1"/>
  <c r="L175" i="1"/>
  <c r="O1040" i="3"/>
  <c r="O407" i="1"/>
  <c r="N159" i="1"/>
  <c r="N1040" i="3" s="1"/>
  <c r="O405" i="1"/>
  <c r="O1038" i="3"/>
  <c r="N157" i="1"/>
  <c r="N1038" i="3" s="1"/>
  <c r="F167" i="3"/>
  <c r="F160" i="1"/>
  <c r="P395" i="1"/>
  <c r="P1028" i="3"/>
  <c r="P145" i="1"/>
  <c r="P127" i="1"/>
  <c r="P676" i="1"/>
  <c r="P129" i="3"/>
  <c r="F173" i="3"/>
  <c r="F173" i="1"/>
  <c r="F131" i="1"/>
  <c r="O1028" i="3"/>
  <c r="N147" i="1"/>
  <c r="N1028" i="3" s="1"/>
  <c r="O395" i="1"/>
  <c r="Q729" i="1"/>
  <c r="Q175" i="1"/>
  <c r="Q423" i="1" s="1"/>
  <c r="I787" i="1"/>
  <c r="I860" i="1"/>
  <c r="P84" i="3"/>
  <c r="P152" i="1"/>
  <c r="P405" i="3"/>
  <c r="O1004" i="3"/>
  <c r="N123" i="1"/>
  <c r="N1004" i="3" s="1"/>
  <c r="L127" i="1"/>
  <c r="L129" i="3"/>
  <c r="L145" i="1"/>
  <c r="L676" i="1"/>
  <c r="I889" i="1"/>
  <c r="I364" i="3" s="1"/>
  <c r="F1043" i="3"/>
  <c r="F1037" i="3"/>
  <c r="H152" i="1"/>
  <c r="H84" i="3"/>
  <c r="P407" i="1"/>
  <c r="P1040" i="3"/>
  <c r="O676" i="1"/>
  <c r="O145" i="1"/>
  <c r="O129" i="3"/>
  <c r="O127" i="1"/>
  <c r="N654" i="1"/>
  <c r="N129" i="3" s="1"/>
  <c r="H145" i="1"/>
  <c r="H127" i="1"/>
  <c r="H676" i="1"/>
  <c r="H129" i="3"/>
  <c r="F426" i="1"/>
  <c r="F1059" i="3"/>
  <c r="I747" i="1"/>
  <c r="H1038" i="3"/>
  <c r="I1236" i="1"/>
  <c r="L1007" i="3"/>
  <c r="F1091" i="3"/>
  <c r="I723" i="1"/>
  <c r="O185" i="3"/>
  <c r="N710" i="1"/>
  <c r="N185" i="3" s="1"/>
  <c r="I657" i="1"/>
  <c r="H129" i="1"/>
  <c r="H146" i="1"/>
  <c r="H140" i="3"/>
  <c r="H128" i="1"/>
  <c r="L30" i="3"/>
  <c r="H1036" i="3"/>
  <c r="I939" i="1"/>
  <c r="I1086" i="1"/>
  <c r="L185" i="3"/>
  <c r="H1006" i="3"/>
  <c r="I1101" i="1"/>
  <c r="L1004" i="3"/>
  <c r="I661" i="1"/>
  <c r="H1042" i="3"/>
  <c r="O167" i="3"/>
  <c r="O160" i="1"/>
  <c r="N692" i="1"/>
  <c r="N167" i="3" s="1"/>
  <c r="I648" i="1"/>
  <c r="L405" i="3"/>
  <c r="I724" i="1"/>
  <c r="I612" i="1"/>
  <c r="O173" i="1"/>
  <c r="O131" i="1"/>
  <c r="N698" i="1"/>
  <c r="N173" i="3" s="1"/>
  <c r="O173" i="3"/>
  <c r="F84" i="3"/>
  <c r="F152" i="1"/>
  <c r="L53" i="3"/>
  <c r="Q173" i="1"/>
  <c r="Q421" i="1" s="1"/>
  <c r="Q131" i="1"/>
  <c r="Q379" i="1" s="1"/>
  <c r="D293" i="3"/>
  <c r="Q1036" i="1"/>
  <c r="P1035" i="1"/>
  <c r="P1024" i="1"/>
  <c r="H793" i="1"/>
  <c r="H1151" i="1"/>
  <c r="P793" i="1"/>
  <c r="P1151" i="1"/>
  <c r="P1025" i="1"/>
  <c r="P1037" i="1"/>
  <c r="Q940" i="1"/>
  <c r="Q1094" i="1"/>
  <c r="P1027" i="1"/>
  <c r="Q1142" i="1"/>
  <c r="Q1174" i="1"/>
  <c r="Q1197" i="1"/>
  <c r="O1066" i="1"/>
  <c r="O793" i="1"/>
  <c r="O1151" i="1"/>
  <c r="Q1334" i="1"/>
  <c r="Q1326" i="1"/>
  <c r="Q1332" i="1"/>
  <c r="Q1338" i="1"/>
  <c r="Q1322" i="1"/>
  <c r="Q1337" i="1"/>
  <c r="Q1336" i="1"/>
  <c r="Q1333" i="1"/>
  <c r="Q1329" i="1"/>
  <c r="Q1330" i="1"/>
  <c r="Q1344" i="1"/>
  <c r="Q1341" i="1"/>
  <c r="Q1325" i="1"/>
  <c r="Q1327" i="1"/>
  <c r="Q1320" i="1"/>
  <c r="Q1340" i="1"/>
  <c r="Q1335" i="1"/>
  <c r="Q1328" i="1"/>
  <c r="Q992" i="1"/>
  <c r="Q1331" i="1"/>
  <c r="Q1233" i="1"/>
  <c r="Q1321" i="1"/>
  <c r="Q1339" i="1"/>
  <c r="Q1323" i="1"/>
  <c r="Q1324" i="1"/>
  <c r="Q880" i="1"/>
  <c r="Q831" i="1"/>
  <c r="Q1342" i="1"/>
  <c r="Q1343" i="1"/>
  <c r="L1027" i="1"/>
  <c r="Q814" i="1"/>
  <c r="Q866" i="1"/>
  <c r="P1066" i="1"/>
  <c r="L1024" i="1"/>
  <c r="L1035" i="1"/>
  <c r="L793" i="1"/>
  <c r="L1151" i="1"/>
  <c r="O1034" i="1"/>
  <c r="O1023" i="1"/>
  <c r="Q788" i="1"/>
  <c r="Q820" i="1"/>
  <c r="Q1399" i="1"/>
  <c r="Q1401" i="1"/>
  <c r="Q1398" i="1"/>
  <c r="Q1402" i="1"/>
  <c r="Q1400" i="1"/>
  <c r="P1059" i="1"/>
  <c r="H1264" i="1"/>
  <c r="O1059" i="1"/>
  <c r="Q1144" i="1"/>
  <c r="Q1412" i="1"/>
  <c r="Q1411" i="1"/>
  <c r="Q1408" i="1"/>
  <c r="Q1410" i="1"/>
  <c r="Q1409" i="1"/>
  <c r="Q1413" i="1"/>
  <c r="Q1407" i="1"/>
  <c r="P1032" i="1"/>
  <c r="P1021" i="1"/>
  <c r="P1022" i="1"/>
  <c r="P1033" i="1"/>
  <c r="L1264" i="1"/>
  <c r="Q813" i="1"/>
  <c r="Q812" i="1"/>
  <c r="Q1168" i="1"/>
  <c r="Q1223" i="1"/>
  <c r="Q1191" i="1"/>
  <c r="Q864" i="1"/>
  <c r="Q781" i="1"/>
  <c r="Q1135" i="1"/>
  <c r="L1037" i="1"/>
  <c r="L1025" i="1"/>
  <c r="Q1235" i="1"/>
  <c r="Q1169" i="1"/>
  <c r="Q1192" i="1"/>
  <c r="Q1224" i="1"/>
  <c r="Q1136" i="1"/>
  <c r="Q882" i="1"/>
  <c r="Q782" i="1"/>
  <c r="Q973" i="1"/>
  <c r="Q978" i="1"/>
  <c r="Q980" i="1"/>
  <c r="Q975" i="1"/>
  <c r="Q981" i="1"/>
  <c r="Q976" i="1"/>
  <c r="Q979" i="1"/>
  <c r="O1035" i="1"/>
  <c r="O1024" i="1"/>
  <c r="O1027" i="1"/>
  <c r="O1025" i="1"/>
  <c r="O1037" i="1"/>
  <c r="P1023" i="1"/>
  <c r="P1034" i="1"/>
  <c r="Q1234" i="1"/>
  <c r="Q881" i="1"/>
  <c r="F1264" i="1"/>
  <c r="D605" i="1" l="1"/>
  <c r="D80" i="3" s="1"/>
  <c r="I403" i="3"/>
  <c r="D650" i="1"/>
  <c r="D125" i="3" s="1"/>
  <c r="D695" i="1"/>
  <c r="D170" i="3" s="1"/>
  <c r="D1117" i="1"/>
  <c r="D588" i="3" s="1"/>
  <c r="D1128" i="1"/>
  <c r="D599" i="3" s="1"/>
  <c r="D643" i="1"/>
  <c r="D118" i="3" s="1"/>
  <c r="D697" i="1"/>
  <c r="D172" i="3" s="1"/>
  <c r="D646" i="1"/>
  <c r="D121" i="3" s="1"/>
  <c r="I134" i="3"/>
  <c r="I135" i="1"/>
  <c r="I1016" i="3" s="1"/>
  <c r="I107" i="3"/>
  <c r="D602" i="1"/>
  <c r="D77" i="3" s="1"/>
  <c r="D783" i="1"/>
  <c r="D258" i="3" s="1"/>
  <c r="D682" i="1"/>
  <c r="D157" i="3" s="1"/>
  <c r="D621" i="1"/>
  <c r="D96" i="3" s="1"/>
  <c r="D668" i="1"/>
  <c r="D143" i="3" s="1"/>
  <c r="D600" i="1"/>
  <c r="D75" i="3" s="1"/>
  <c r="I180" i="3"/>
  <c r="D711" i="1"/>
  <c r="D186" i="3" s="1"/>
  <c r="D1050" i="1"/>
  <c r="D525" i="3" s="1"/>
  <c r="I120" i="3"/>
  <c r="D1058" i="1"/>
  <c r="D533" i="3" s="1"/>
  <c r="D725" i="1"/>
  <c r="U725" i="1" s="1"/>
  <c r="I561" i="1"/>
  <c r="I37" i="3" s="1"/>
  <c r="D987" i="1"/>
  <c r="D462" i="3" s="1"/>
  <c r="D920" i="1"/>
  <c r="D395" i="3" s="1"/>
  <c r="D966" i="1"/>
  <c r="X966" i="1" s="1"/>
  <c r="D1096" i="1"/>
  <c r="X1096" i="1" s="1"/>
  <c r="I197" i="3"/>
  <c r="D1138" i="1"/>
  <c r="D609" i="3" s="1"/>
  <c r="D603" i="1"/>
  <c r="D78" i="3" s="1"/>
  <c r="I201" i="3"/>
  <c r="D726" i="1"/>
  <c r="I188" i="3"/>
  <c r="D615" i="1"/>
  <c r="D90" i="3" s="1"/>
  <c r="D607" i="1"/>
  <c r="D82" i="3" s="1"/>
  <c r="I560" i="1"/>
  <c r="D560" i="1" s="1"/>
  <c r="D36" i="3" s="1"/>
  <c r="D617" i="1"/>
  <c r="D92" i="3" s="1"/>
  <c r="I176" i="3"/>
  <c r="D663" i="1"/>
  <c r="D138" i="3" s="1"/>
  <c r="D619" i="1"/>
  <c r="D94" i="3" s="1"/>
  <c r="I178" i="3"/>
  <c r="D651" i="1"/>
  <c r="D126" i="3" s="1"/>
  <c r="I715" i="1"/>
  <c r="I190" i="3" s="1"/>
  <c r="D890" i="1"/>
  <c r="D562" i="1" s="1"/>
  <c r="D38" i="3" s="1"/>
  <c r="D613" i="1"/>
  <c r="D88" i="3" s="1"/>
  <c r="I177" i="3"/>
  <c r="I122" i="3"/>
  <c r="D647" i="1"/>
  <c r="D122" i="3" s="1"/>
  <c r="I1317" i="1"/>
  <c r="I785" i="3" s="1"/>
  <c r="D1314" i="1"/>
  <c r="X1314" i="1" s="1"/>
  <c r="D704" i="1"/>
  <c r="D179" i="3" s="1"/>
  <c r="D763" i="1"/>
  <c r="D238" i="3" s="1"/>
  <c r="D748" i="1"/>
  <c r="D223" i="3" s="1"/>
  <c r="I89" i="3"/>
  <c r="I593" i="3"/>
  <c r="I126" i="1"/>
  <c r="D126" i="1" s="1"/>
  <c r="D912" i="1"/>
  <c r="D387" i="3" s="1"/>
  <c r="D1269" i="1"/>
  <c r="D740" i="3" s="1"/>
  <c r="D762" i="1"/>
  <c r="D237" i="3" s="1"/>
  <c r="D769" i="1"/>
  <c r="D244" i="3" s="1"/>
  <c r="D859" i="1"/>
  <c r="D334" i="3" s="1"/>
  <c r="I294" i="3"/>
  <c r="D1065" i="1"/>
  <c r="X1065" i="1" s="1"/>
  <c r="I363" i="3"/>
  <c r="D1227" i="1"/>
  <c r="D698" i="3" s="1"/>
  <c r="D606" i="1"/>
  <c r="D81" i="3" s="1"/>
  <c r="D867" i="1"/>
  <c r="D342" i="3" s="1"/>
  <c r="I168" i="3"/>
  <c r="D693" i="1"/>
  <c r="D168" i="3" s="1"/>
  <c r="I157" i="1"/>
  <c r="I133" i="1"/>
  <c r="I1014" i="3" s="1"/>
  <c r="D634" i="1"/>
  <c r="D109" i="3" s="1"/>
  <c r="D694" i="1"/>
  <c r="D169" i="3" s="1"/>
  <c r="I163" i="3"/>
  <c r="D688" i="1"/>
  <c r="D163" i="3" s="1"/>
  <c r="D949" i="1"/>
  <c r="X949" i="1" s="1"/>
  <c r="I710" i="1"/>
  <c r="D710" i="1" s="1"/>
  <c r="I156" i="1"/>
  <c r="I1037" i="3" s="1"/>
  <c r="I196" i="3"/>
  <c r="D721" i="1"/>
  <c r="I554" i="1"/>
  <c r="I30" i="3" s="1"/>
  <c r="I562" i="1"/>
  <c r="I38" i="3" s="1"/>
  <c r="I167" i="1"/>
  <c r="I1048" i="3" s="1"/>
  <c r="I609" i="1"/>
  <c r="I84" i="3" s="1"/>
  <c r="I161" i="3"/>
  <c r="I178" i="1"/>
  <c r="I1059" i="3" s="1"/>
  <c r="I570" i="3"/>
  <c r="D1099" i="1"/>
  <c r="I577" i="1"/>
  <c r="I53" i="3" s="1"/>
  <c r="I161" i="1"/>
  <c r="I76" i="3"/>
  <c r="I635" i="1"/>
  <c r="I110" i="3" s="1"/>
  <c r="I155" i="1"/>
  <c r="I1036" i="3" s="1"/>
  <c r="I181" i="3"/>
  <c r="Q778" i="1"/>
  <c r="I781" i="3"/>
  <c r="D1313" i="1"/>
  <c r="I600" i="3"/>
  <c r="D1129" i="1"/>
  <c r="D600" i="3" s="1"/>
  <c r="I384" i="3"/>
  <c r="D909" i="1"/>
  <c r="D384" i="3" s="1"/>
  <c r="I282" i="3"/>
  <c r="D807" i="1"/>
  <c r="D282" i="3" s="1"/>
  <c r="I622" i="1"/>
  <c r="I97" i="3" s="1"/>
  <c r="I148" i="3"/>
  <c r="D673" i="1"/>
  <c r="D148" i="3" s="1"/>
  <c r="I674" i="1"/>
  <c r="I149" i="3" s="1"/>
  <c r="D644" i="1"/>
  <c r="D119" i="3" s="1"/>
  <c r="I147" i="1"/>
  <c r="I105" i="3"/>
  <c r="D630" i="1"/>
  <c r="D105" i="3" s="1"/>
  <c r="I524" i="3"/>
  <c r="D1049" i="1"/>
  <c r="D524" i="3" s="1"/>
  <c r="F735" i="3"/>
  <c r="P509" i="3"/>
  <c r="P498" i="3"/>
  <c r="O512" i="3"/>
  <c r="N1037" i="1"/>
  <c r="N512" i="3" s="1"/>
  <c r="N1025" i="1"/>
  <c r="N500" i="3" s="1"/>
  <c r="O500" i="3"/>
  <c r="N1027" i="1"/>
  <c r="N502" i="3" s="1"/>
  <c r="O502" i="3"/>
  <c r="O499" i="3"/>
  <c r="N1024" i="1"/>
  <c r="N499" i="3" s="1"/>
  <c r="N1035" i="1"/>
  <c r="N510" i="3" s="1"/>
  <c r="O510" i="3"/>
  <c r="Q185" i="1"/>
  <c r="Q433" i="1" s="1"/>
  <c r="Q184" i="1"/>
  <c r="Q432" i="1" s="1"/>
  <c r="Q982" i="1"/>
  <c r="Q977" i="1"/>
  <c r="L500" i="3"/>
  <c r="L512" i="3"/>
  <c r="Q1139" i="1"/>
  <c r="Q785" i="1"/>
  <c r="Q869" i="1"/>
  <c r="Q144" i="1"/>
  <c r="Q392" i="1" s="1"/>
  <c r="Q1194" i="1"/>
  <c r="Q1225" i="1"/>
  <c r="Q1171" i="1"/>
  <c r="Q817" i="1"/>
  <c r="Q142" i="1"/>
  <c r="Q390" i="1" s="1"/>
  <c r="L735" i="3"/>
  <c r="P508" i="3"/>
  <c r="P497" i="3"/>
  <c r="P496" i="3"/>
  <c r="P507" i="3"/>
  <c r="Q1415" i="1"/>
  <c r="Q205" i="1" s="1"/>
  <c r="Q453" i="1" s="1"/>
  <c r="N1059" i="1"/>
  <c r="N534" i="3" s="1"/>
  <c r="O534" i="3"/>
  <c r="O202" i="1"/>
  <c r="H735" i="3"/>
  <c r="P534" i="3"/>
  <c r="P202" i="1"/>
  <c r="Q203" i="1"/>
  <c r="Q451" i="1" s="1"/>
  <c r="Q201" i="1"/>
  <c r="Q449" i="1" s="1"/>
  <c r="Q1404" i="1"/>
  <c r="Q821" i="1"/>
  <c r="Q789" i="1"/>
  <c r="N1023" i="1"/>
  <c r="N498" i="3" s="1"/>
  <c r="O498" i="3"/>
  <c r="O509" i="3"/>
  <c r="N1034" i="1"/>
  <c r="N509" i="3" s="1"/>
  <c r="L622" i="3"/>
  <c r="L268" i="3"/>
  <c r="L510" i="3"/>
  <c r="L499" i="3"/>
  <c r="P541" i="3"/>
  <c r="P204" i="1"/>
  <c r="L502" i="3"/>
  <c r="Q1346" i="1"/>
  <c r="Q1348" i="1" s="1"/>
  <c r="O622" i="3"/>
  <c r="N1151" i="1"/>
  <c r="N622" i="3" s="1"/>
  <c r="N793" i="1"/>
  <c r="N268" i="3" s="1"/>
  <c r="O268" i="3"/>
  <c r="N1066" i="1"/>
  <c r="N541" i="3" s="1"/>
  <c r="O541" i="3"/>
  <c r="O204" i="1"/>
  <c r="Q1177" i="1"/>
  <c r="Q1145" i="1"/>
  <c r="P502" i="3"/>
  <c r="Q1097" i="1"/>
  <c r="Q180" i="1"/>
  <c r="Q428" i="1" s="1"/>
  <c r="Q945" i="1"/>
  <c r="Q953" i="1" s="1"/>
  <c r="P512" i="3"/>
  <c r="P500" i="3"/>
  <c r="P622" i="3"/>
  <c r="P268" i="3"/>
  <c r="H622" i="3"/>
  <c r="H268" i="3"/>
  <c r="P499" i="3"/>
  <c r="P510" i="3"/>
  <c r="P569" i="1"/>
  <c r="P45" i="3" s="1"/>
  <c r="P407" i="3"/>
  <c r="O1041" i="3"/>
  <c r="N160" i="1"/>
  <c r="N1041" i="3" s="1"/>
  <c r="D657" i="1"/>
  <c r="D132" i="3" s="1"/>
  <c r="I132" i="3"/>
  <c r="F1296" i="3"/>
  <c r="L1026" i="3"/>
  <c r="L1056" i="3"/>
  <c r="D540" i="3"/>
  <c r="I291" i="3"/>
  <c r="D816" i="1"/>
  <c r="D291" i="3" s="1"/>
  <c r="H1035" i="3"/>
  <c r="P1056" i="3"/>
  <c r="P423" i="1"/>
  <c r="H1055" i="3"/>
  <c r="I283" i="3"/>
  <c r="D808" i="1"/>
  <c r="D283" i="3" s="1"/>
  <c r="L1041" i="3"/>
  <c r="I396" i="3"/>
  <c r="D921" i="1"/>
  <c r="D396" i="3" s="1"/>
  <c r="I87" i="3"/>
  <c r="D612" i="1"/>
  <c r="D87" i="3" s="1"/>
  <c r="D1101" i="1"/>
  <c r="I572" i="3"/>
  <c r="I557" i="3"/>
  <c r="D1086" i="1"/>
  <c r="I222" i="3"/>
  <c r="D747" i="1"/>
  <c r="D222" i="3" s="1"/>
  <c r="O163" i="1"/>
  <c r="N676" i="1"/>
  <c r="N151" i="3" s="1"/>
  <c r="O151" i="3"/>
  <c r="O137" i="1"/>
  <c r="H1033" i="3"/>
  <c r="Q212" i="1"/>
  <c r="Q460" i="1" s="1"/>
  <c r="Q130" i="1"/>
  <c r="Q378" i="1" s="1"/>
  <c r="F1012" i="3"/>
  <c r="P151" i="3"/>
  <c r="P137" i="1"/>
  <c r="P163" i="1"/>
  <c r="P1266" i="3"/>
  <c r="F1041" i="3"/>
  <c r="O1276" i="3"/>
  <c r="N405" i="1"/>
  <c r="N1276" i="3" s="1"/>
  <c r="N407" i="1"/>
  <c r="N1278" i="3" s="1"/>
  <c r="O1278" i="3"/>
  <c r="L204" i="3"/>
  <c r="L212" i="1"/>
  <c r="L130" i="1"/>
  <c r="O1275" i="3"/>
  <c r="N404" i="1"/>
  <c r="N1275" i="3" s="1"/>
  <c r="D911" i="1"/>
  <c r="D386" i="3" s="1"/>
  <c r="I386" i="3"/>
  <c r="I346" i="3"/>
  <c r="D871" i="1"/>
  <c r="D346" i="3" s="1"/>
  <c r="H1054" i="3"/>
  <c r="H421" i="1"/>
  <c r="I100" i="3"/>
  <c r="D625" i="1"/>
  <c r="D100" i="3" s="1"/>
  <c r="H1041" i="3"/>
  <c r="D685" i="1"/>
  <c r="D160" i="3" s="1"/>
  <c r="I160" i="3"/>
  <c r="F1026" i="3"/>
  <c r="P422" i="1"/>
  <c r="P1055" i="3"/>
  <c r="D1270" i="1"/>
  <c r="D741" i="3" s="1"/>
  <c r="I741" i="3"/>
  <c r="L170" i="1"/>
  <c r="L172" i="1"/>
  <c r="L392" i="3"/>
  <c r="P1010" i="3"/>
  <c r="D1315" i="1"/>
  <c r="I783" i="3"/>
  <c r="I423" i="3"/>
  <c r="D948" i="1"/>
  <c r="I224" i="3"/>
  <c r="D749" i="1"/>
  <c r="D224" i="3" s="1"/>
  <c r="F1010" i="3"/>
  <c r="I102" i="3"/>
  <c r="D627" i="1"/>
  <c r="D102" i="3" s="1"/>
  <c r="F423" i="1"/>
  <c r="F1056" i="3"/>
  <c r="I358" i="3"/>
  <c r="D883" i="1"/>
  <c r="D358" i="3" s="1"/>
  <c r="L1276" i="3"/>
  <c r="I159" i="1"/>
  <c r="L1034" i="3"/>
  <c r="L1054" i="3"/>
  <c r="L421" i="1"/>
  <c r="D708" i="1"/>
  <c r="D183" i="3" s="1"/>
  <c r="I183" i="3"/>
  <c r="O1033" i="3"/>
  <c r="N152" i="1"/>
  <c r="N1033" i="3" s="1"/>
  <c r="I171" i="3"/>
  <c r="D696" i="1"/>
  <c r="D171" i="3" s="1"/>
  <c r="L1033" i="3"/>
  <c r="L1296" i="3"/>
  <c r="P1274" i="3"/>
  <c r="D1116" i="1"/>
  <c r="D587" i="3" s="1"/>
  <c r="I587" i="3"/>
  <c r="F170" i="1"/>
  <c r="F140" i="1"/>
  <c r="F172" i="1"/>
  <c r="F392" i="3"/>
  <c r="D691" i="1"/>
  <c r="D166" i="3" s="1"/>
  <c r="I166" i="3"/>
  <c r="Q970" i="1"/>
  <c r="I136" i="3"/>
  <c r="D661" i="1"/>
  <c r="D136" i="3" s="1"/>
  <c r="H1026" i="3"/>
  <c r="O130" i="1"/>
  <c r="O204" i="3"/>
  <c r="O212" i="1"/>
  <c r="N729" i="1"/>
  <c r="N204" i="3" s="1"/>
  <c r="I158" i="3"/>
  <c r="D683" i="1"/>
  <c r="D158" i="3" s="1"/>
  <c r="I184" i="3"/>
  <c r="D709" i="1"/>
  <c r="D184" i="3" s="1"/>
  <c r="N410" i="1"/>
  <c r="N1281" i="3" s="1"/>
  <c r="O1281" i="3"/>
  <c r="D626" i="1"/>
  <c r="D101" i="3" s="1"/>
  <c r="I101" i="3"/>
  <c r="D604" i="1"/>
  <c r="D79" i="3" s="1"/>
  <c r="I79" i="3"/>
  <c r="I402" i="3"/>
  <c r="D927" i="1"/>
  <c r="D402" i="3" s="1"/>
  <c r="I193" i="3"/>
  <c r="D718" i="1"/>
  <c r="O1035" i="3"/>
  <c r="N154" i="1"/>
  <c r="N1035" i="3" s="1"/>
  <c r="F1034" i="3"/>
  <c r="D1057" i="1"/>
  <c r="I532" i="3"/>
  <c r="H1296" i="3"/>
  <c r="P1281" i="3"/>
  <c r="I199" i="3"/>
  <c r="D724" i="1"/>
  <c r="I123" i="3"/>
  <c r="D648" i="1"/>
  <c r="D123" i="3" s="1"/>
  <c r="D939" i="1"/>
  <c r="I414" i="3"/>
  <c r="H1027" i="3"/>
  <c r="I707" i="3"/>
  <c r="D1236" i="1"/>
  <c r="D707" i="3" s="1"/>
  <c r="H151" i="3"/>
  <c r="H137" i="1"/>
  <c r="H163" i="1"/>
  <c r="O1008" i="3"/>
  <c r="N127" i="1"/>
  <c r="N1008" i="3" s="1"/>
  <c r="I654" i="1"/>
  <c r="L1008" i="3"/>
  <c r="I335" i="3"/>
  <c r="D860" i="1"/>
  <c r="D335" i="3" s="1"/>
  <c r="O1266" i="3"/>
  <c r="N395" i="1"/>
  <c r="N1266" i="3" s="1"/>
  <c r="F1054" i="3"/>
  <c r="P1008" i="3"/>
  <c r="O1056" i="3"/>
  <c r="N175" i="1"/>
  <c r="N1056" i="3" s="1"/>
  <c r="O423" i="1"/>
  <c r="I686" i="3"/>
  <c r="D1215" i="1"/>
  <c r="D686" i="3" s="1"/>
  <c r="I125" i="1"/>
  <c r="L1252" i="3"/>
  <c r="I249" i="3"/>
  <c r="D774" i="1"/>
  <c r="D249" i="3" s="1"/>
  <c r="D1051" i="1"/>
  <c r="D526" i="3" s="1"/>
  <c r="I526" i="3"/>
  <c r="P1041" i="3"/>
  <c r="D671" i="1"/>
  <c r="D146" i="3" s="1"/>
  <c r="I146" i="3"/>
  <c r="I594" i="3"/>
  <c r="D1123" i="1"/>
  <c r="D594" i="3" s="1"/>
  <c r="L1275" i="3"/>
  <c r="F151" i="3"/>
  <c r="F163" i="1"/>
  <c r="F137" i="1"/>
  <c r="I162" i="1"/>
  <c r="N128" i="1"/>
  <c r="N1009" i="3" s="1"/>
  <c r="O1009" i="3"/>
  <c r="P1285" i="3"/>
  <c r="L1055" i="3"/>
  <c r="L422" i="1"/>
  <c r="H136" i="1"/>
  <c r="H1017" i="3" s="1"/>
  <c r="H112" i="3"/>
  <c r="I139" i="3"/>
  <c r="D664" i="1"/>
  <c r="D139" i="3" s="1"/>
  <c r="I133" i="3"/>
  <c r="D658" i="1"/>
  <c r="D133" i="3" s="1"/>
  <c r="I83" i="3"/>
  <c r="D608" i="1"/>
  <c r="D83" i="3" s="1"/>
  <c r="I103" i="3"/>
  <c r="D628" i="1"/>
  <c r="D103" i="3" s="1"/>
  <c r="I187" i="3"/>
  <c r="D712" i="1"/>
  <c r="D187" i="3" s="1"/>
  <c r="F376" i="1"/>
  <c r="F1009" i="3"/>
  <c r="D974" i="1"/>
  <c r="I449" i="3"/>
  <c r="F204" i="3"/>
  <c r="F212" i="1"/>
  <c r="F130" i="1"/>
  <c r="I127" i="3"/>
  <c r="D652" i="1"/>
  <c r="D127" i="3" s="1"/>
  <c r="H130" i="1"/>
  <c r="H212" i="1"/>
  <c r="H204" i="3"/>
  <c r="P1012" i="3"/>
  <c r="L1278" i="3"/>
  <c r="D815" i="1"/>
  <c r="D290" i="3" s="1"/>
  <c r="I290" i="3"/>
  <c r="I210" i="1"/>
  <c r="I551" i="1"/>
  <c r="D669" i="1"/>
  <c r="D144" i="3" s="1"/>
  <c r="I144" i="3"/>
  <c r="I698" i="1"/>
  <c r="I608" i="3"/>
  <c r="D1137" i="1"/>
  <c r="D608" i="3" s="1"/>
  <c r="P136" i="1"/>
  <c r="P112" i="3"/>
  <c r="D719" i="1"/>
  <c r="I194" i="3"/>
  <c r="L1009" i="3"/>
  <c r="L376" i="1"/>
  <c r="I162" i="3"/>
  <c r="D687" i="1"/>
  <c r="D162" i="3" s="1"/>
  <c r="D649" i="1"/>
  <c r="D124" i="3" s="1"/>
  <c r="I124" i="3"/>
  <c r="D848" i="1"/>
  <c r="D323" i="3" s="1"/>
  <c r="I323" i="3"/>
  <c r="I250" i="3"/>
  <c r="D775" i="1"/>
  <c r="D250" i="3" s="1"/>
  <c r="D616" i="1"/>
  <c r="D91" i="3" s="1"/>
  <c r="I91" i="3"/>
  <c r="Q1132" i="1"/>
  <c r="O1054" i="3"/>
  <c r="L407" i="3"/>
  <c r="L569" i="1"/>
  <c r="H1009" i="3"/>
  <c r="N145" i="1"/>
  <c r="N1026" i="3" s="1"/>
  <c r="O1026" i="3"/>
  <c r="P1033" i="3"/>
  <c r="O1034" i="3"/>
  <c r="N153" i="1"/>
  <c r="N1034" i="3" s="1"/>
  <c r="D991" i="1"/>
  <c r="I466" i="3"/>
  <c r="F422" i="1"/>
  <c r="F1055" i="3"/>
  <c r="F1008" i="3"/>
  <c r="O1027" i="3"/>
  <c r="N146" i="1"/>
  <c r="N1027" i="3" s="1"/>
  <c r="D690" i="1"/>
  <c r="D165" i="3" s="1"/>
  <c r="I165" i="3"/>
  <c r="P170" i="1"/>
  <c r="P168" i="1"/>
  <c r="P392" i="3"/>
  <c r="O1055" i="3"/>
  <c r="N174" i="1"/>
  <c r="N1055" i="3" s="1"/>
  <c r="O422" i="1"/>
  <c r="L112" i="3"/>
  <c r="L136" i="1"/>
  <c r="F1027" i="3"/>
  <c r="F1035" i="3"/>
  <c r="N381" i="1"/>
  <c r="N1252" i="3" s="1"/>
  <c r="O1252" i="3"/>
  <c r="I104" i="3"/>
  <c r="D629" i="1"/>
  <c r="D104" i="3" s="1"/>
  <c r="I399" i="3"/>
  <c r="D924" i="1"/>
  <c r="D399" i="3" s="1"/>
  <c r="L1010" i="3"/>
  <c r="O1285" i="3"/>
  <c r="N415" i="1"/>
  <c r="N1285" i="3" s="1"/>
  <c r="I128" i="3"/>
  <c r="D653" i="1"/>
  <c r="D128" i="3" s="1"/>
  <c r="F1033" i="3"/>
  <c r="O1012" i="3"/>
  <c r="N131" i="1"/>
  <c r="N1012" i="3" s="1"/>
  <c r="I930" i="1"/>
  <c r="I405" i="3" s="1"/>
  <c r="I123" i="1"/>
  <c r="H1010" i="3"/>
  <c r="I198" i="3"/>
  <c r="D723" i="1"/>
  <c r="H1008" i="3"/>
  <c r="P1278" i="3"/>
  <c r="L137" i="1"/>
  <c r="L163" i="1"/>
  <c r="L151" i="3"/>
  <c r="I262" i="3"/>
  <c r="D787" i="1"/>
  <c r="D262" i="3" s="1"/>
  <c r="P1026" i="3"/>
  <c r="I727" i="1"/>
  <c r="I158" i="1"/>
  <c r="O932" i="1"/>
  <c r="N917" i="1"/>
  <c r="N392" i="3" s="1"/>
  <c r="O170" i="1"/>
  <c r="O392" i="3"/>
  <c r="O168" i="1"/>
  <c r="D684" i="1"/>
  <c r="D159" i="3" s="1"/>
  <c r="I159" i="3"/>
  <c r="D720" i="1"/>
  <c r="I195" i="3"/>
  <c r="H1012" i="3"/>
  <c r="H379" i="1"/>
  <c r="I398" i="3"/>
  <c r="D923" i="1"/>
  <c r="D398" i="3" s="1"/>
  <c r="P1276" i="3"/>
  <c r="O1010" i="3"/>
  <c r="N129" i="1"/>
  <c r="N1010" i="3" s="1"/>
  <c r="I539" i="3"/>
  <c r="D1064" i="1"/>
  <c r="I913" i="1"/>
  <c r="P1009" i="3"/>
  <c r="H1034" i="3"/>
  <c r="P212" i="1"/>
  <c r="P130" i="1"/>
  <c r="P1011" i="3" s="1"/>
  <c r="P204" i="3"/>
  <c r="L1035" i="3"/>
  <c r="I145" i="3"/>
  <c r="D670" i="1"/>
  <c r="D145" i="3" s="1"/>
  <c r="I93" i="3"/>
  <c r="D618" i="1"/>
  <c r="D93" i="3" s="1"/>
  <c r="F136" i="1"/>
  <c r="F112" i="3"/>
  <c r="P1252" i="3"/>
  <c r="H170" i="1"/>
  <c r="H392" i="3"/>
  <c r="H172" i="1"/>
  <c r="H169" i="1"/>
  <c r="O1328" i="3"/>
  <c r="N458" i="1"/>
  <c r="N1328" i="3" s="1"/>
  <c r="H423" i="1"/>
  <c r="H1056" i="3"/>
  <c r="N173" i="1"/>
  <c r="N1054" i="3" s="1"/>
  <c r="P1054" i="3"/>
  <c r="H1252" i="3"/>
  <c r="D714" i="1"/>
  <c r="D189" i="3" s="1"/>
  <c r="I189" i="3"/>
  <c r="N1024" i="3"/>
  <c r="I143" i="1"/>
  <c r="I243" i="3"/>
  <c r="D768" i="1"/>
  <c r="D243" i="3" s="1"/>
  <c r="D779" i="3"/>
  <c r="X1311" i="1"/>
  <c r="P1275" i="3"/>
  <c r="O112" i="3"/>
  <c r="O136" i="1"/>
  <c r="N637" i="1"/>
  <c r="N112" i="3" s="1"/>
  <c r="I692" i="1"/>
  <c r="L1012" i="3"/>
  <c r="L379" i="1"/>
  <c r="I137" i="3"/>
  <c r="D662" i="1"/>
  <c r="D137" i="3" s="1"/>
  <c r="P1035" i="3"/>
  <c r="I135" i="3"/>
  <c r="D660" i="1"/>
  <c r="D135" i="3" s="1"/>
  <c r="I665" i="1"/>
  <c r="L1027" i="3"/>
  <c r="D868" i="1"/>
  <c r="D343" i="3" s="1"/>
  <c r="I343" i="3"/>
  <c r="Q137" i="1"/>
  <c r="Q385" i="1" s="1"/>
  <c r="Q163" i="1"/>
  <c r="Q411" i="1" s="1"/>
  <c r="I463" i="3"/>
  <c r="D988" i="1"/>
  <c r="D463" i="3" s="1"/>
  <c r="D829" i="1"/>
  <c r="D304" i="3" s="1"/>
  <c r="I304" i="3"/>
  <c r="I259" i="3"/>
  <c r="D784" i="1"/>
  <c r="D259" i="3" s="1"/>
  <c r="D1312" i="1"/>
  <c r="I780" i="3"/>
  <c r="U722" i="1"/>
  <c r="D197" i="3"/>
  <c r="H932" i="1"/>
  <c r="P1034" i="3"/>
  <c r="Q1056" i="1"/>
  <c r="Q1063" i="1"/>
  <c r="Q1048" i="1"/>
  <c r="F1175" i="1"/>
  <c r="F1143" i="1"/>
  <c r="H820" i="1"/>
  <c r="H788" i="1"/>
  <c r="L788" i="1"/>
  <c r="L820" i="1"/>
  <c r="P1144" i="1"/>
  <c r="Q1228" i="1"/>
  <c r="Q872" i="1"/>
  <c r="Q1237" i="1"/>
  <c r="Q1198" i="1"/>
  <c r="Q884" i="1"/>
  <c r="F1144" i="1"/>
  <c r="L1142" i="1"/>
  <c r="L1197" i="1"/>
  <c r="L1174" i="1"/>
  <c r="O1144" i="1"/>
  <c r="L1175" i="1"/>
  <c r="L1143" i="1"/>
  <c r="L814" i="1"/>
  <c r="L866" i="1"/>
  <c r="Q1013" i="1"/>
  <c r="Q1009" i="1"/>
  <c r="Q1007" i="1"/>
  <c r="Q1361" i="1"/>
  <c r="Q1364" i="1"/>
  <c r="Q1000" i="1"/>
  <c r="Q1004" i="1"/>
  <c r="Q1355" i="1"/>
  <c r="Q1011" i="1"/>
  <c r="Q1357" i="1"/>
  <c r="Q1010" i="1"/>
  <c r="Q1362" i="1"/>
  <c r="Q1001" i="1"/>
  <c r="Q1365" i="1"/>
  <c r="Q1360" i="1"/>
  <c r="Q1006" i="1"/>
  <c r="Q1003" i="1"/>
  <c r="Q1002" i="1"/>
  <c r="Q1005" i="1"/>
  <c r="Q832" i="1"/>
  <c r="Q1356" i="1"/>
  <c r="Q1354" i="1"/>
  <c r="Q1014" i="1"/>
  <c r="Q1359" i="1"/>
  <c r="Q1363" i="1"/>
  <c r="Q1012" i="1"/>
  <c r="Q1358" i="1"/>
  <c r="O1175" i="1"/>
  <c r="O1143" i="1"/>
  <c r="Q1381" i="1"/>
  <c r="Q1039" i="1"/>
  <c r="Q1375" i="1"/>
  <c r="Q1029" i="1"/>
  <c r="Q1380" i="1"/>
  <c r="Q1387" i="1"/>
  <c r="Q1384" i="1"/>
  <c r="Q1388" i="1"/>
  <c r="Q1370" i="1"/>
  <c r="Q1383" i="1"/>
  <c r="Q1382" i="1"/>
  <c r="Q1374" i="1"/>
  <c r="Q1378" i="1"/>
  <c r="Q1373" i="1"/>
  <c r="Q1020" i="1"/>
  <c r="Q1031" i="1"/>
  <c r="Q1028" i="1"/>
  <c r="Q1376" i="1"/>
  <c r="Q1371" i="1"/>
  <c r="Q1377" i="1"/>
  <c r="Q1372" i="1"/>
  <c r="Q1386" i="1"/>
  <c r="Q1385" i="1"/>
  <c r="Q1379" i="1"/>
  <c r="Q833" i="1"/>
  <c r="H1144" i="1"/>
  <c r="H1174" i="1"/>
  <c r="H1197" i="1"/>
  <c r="H1142" i="1"/>
  <c r="P1143" i="1"/>
  <c r="P1175" i="1"/>
  <c r="F866" i="1"/>
  <c r="F814" i="1"/>
  <c r="D200" i="3" l="1"/>
  <c r="D135" i="1"/>
  <c r="D1016" i="3" s="1"/>
  <c r="D567" i="3"/>
  <c r="D715" i="1"/>
  <c r="D190" i="3" s="1"/>
  <c r="D441" i="3"/>
  <c r="I676" i="1"/>
  <c r="I151" i="3" s="1"/>
  <c r="D674" i="1"/>
  <c r="U674" i="1" s="1"/>
  <c r="I36" i="3"/>
  <c r="I1007" i="3"/>
  <c r="X1058" i="1"/>
  <c r="D365" i="3"/>
  <c r="D782" i="3"/>
  <c r="I154" i="1"/>
  <c r="I1035" i="3" s="1"/>
  <c r="I404" i="1"/>
  <c r="I1275" i="3" s="1"/>
  <c r="D1317" i="1"/>
  <c r="D785" i="3" s="1"/>
  <c r="I1035" i="1"/>
  <c r="I510" i="3" s="1"/>
  <c r="U726" i="1"/>
  <c r="D201" i="3"/>
  <c r="D156" i="1"/>
  <c r="D1037" i="3" s="1"/>
  <c r="I1024" i="1"/>
  <c r="I499" i="3" s="1"/>
  <c r="I1037" i="1"/>
  <c r="I512" i="3" s="1"/>
  <c r="D609" i="1"/>
  <c r="D84" i="3" s="1"/>
  <c r="D635" i="1"/>
  <c r="D110" i="3" s="1"/>
  <c r="O383" i="1"/>
  <c r="O1254" i="3" s="1"/>
  <c r="D167" i="1"/>
  <c r="D1048" i="3" s="1"/>
  <c r="I127" i="1"/>
  <c r="I1008" i="3" s="1"/>
  <c r="I405" i="1"/>
  <c r="I1276" i="3" s="1"/>
  <c r="D424" i="3"/>
  <c r="I185" i="3"/>
  <c r="D554" i="1"/>
  <c r="D30" i="3" s="1"/>
  <c r="P383" i="1"/>
  <c r="P1254" i="3" s="1"/>
  <c r="I1025" i="1"/>
  <c r="I500" i="3" s="1"/>
  <c r="I1038" i="3"/>
  <c r="D157" i="1"/>
  <c r="I146" i="1"/>
  <c r="I1027" i="3" s="1"/>
  <c r="I131" i="1"/>
  <c r="I1012" i="3" s="1"/>
  <c r="D577" i="1"/>
  <c r="D53" i="3" s="1"/>
  <c r="I407" i="1"/>
  <c r="I1278" i="3" s="1"/>
  <c r="D155" i="1"/>
  <c r="H403" i="1" s="1"/>
  <c r="D570" i="3"/>
  <c r="X1099" i="1"/>
  <c r="D196" i="3"/>
  <c r="U721" i="1"/>
  <c r="I1151" i="1"/>
  <c r="I622" i="3" s="1"/>
  <c r="X1313" i="1"/>
  <c r="D781" i="3"/>
  <c r="I1042" i="3"/>
  <c r="D161" i="1"/>
  <c r="D622" i="1"/>
  <c r="D97" i="3" s="1"/>
  <c r="D178" i="1"/>
  <c r="O426" i="1" s="1"/>
  <c r="I1027" i="1"/>
  <c r="I502" i="3" s="1"/>
  <c r="I1028" i="3"/>
  <c r="D147" i="1"/>
  <c r="F289" i="3"/>
  <c r="F341" i="3"/>
  <c r="P646" i="3"/>
  <c r="P614" i="3"/>
  <c r="H613" i="3"/>
  <c r="H668" i="3"/>
  <c r="H645" i="3"/>
  <c r="H615" i="3"/>
  <c r="Q196" i="1"/>
  <c r="Q444" i="1" s="1"/>
  <c r="Q1040" i="1"/>
  <c r="Q1030" i="1"/>
  <c r="Q1390" i="1"/>
  <c r="Q198" i="1" s="1"/>
  <c r="Q446" i="1" s="1"/>
  <c r="Q197" i="1"/>
  <c r="Q445" i="1" s="1"/>
  <c r="O614" i="3"/>
  <c r="N1143" i="1"/>
  <c r="N614" i="3" s="1"/>
  <c r="O646" i="3"/>
  <c r="N1175" i="1"/>
  <c r="N646" i="3" s="1"/>
  <c r="Q1367" i="1"/>
  <c r="Q194" i="1" s="1"/>
  <c r="Q442" i="1" s="1"/>
  <c r="Q186" i="1"/>
  <c r="Q434" i="1" s="1"/>
  <c r="Q189" i="1"/>
  <c r="Q437" i="1" s="1"/>
  <c r="Q188" i="1"/>
  <c r="Q436" i="1" s="1"/>
  <c r="Q187" i="1"/>
  <c r="Q435" i="1" s="1"/>
  <c r="Q190" i="1"/>
  <c r="Q438" i="1" s="1"/>
  <c r="Q191" i="1"/>
  <c r="Q439" i="1" s="1"/>
  <c r="Q192" i="1"/>
  <c r="Q440" i="1" s="1"/>
  <c r="Q193" i="1"/>
  <c r="Q441" i="1" s="1"/>
  <c r="Q989" i="1"/>
  <c r="N989" i="1" s="1"/>
  <c r="Q1015" i="1"/>
  <c r="L341" i="3"/>
  <c r="L289" i="3"/>
  <c r="L614" i="3"/>
  <c r="L646" i="3"/>
  <c r="N1144" i="1"/>
  <c r="N615" i="3" s="1"/>
  <c r="O615" i="3"/>
  <c r="L645" i="3"/>
  <c r="L1177" i="1"/>
  <c r="L668" i="3"/>
  <c r="L613" i="3"/>
  <c r="F615" i="3"/>
  <c r="Q1200" i="1"/>
  <c r="Q1202" i="1" s="1"/>
  <c r="Q581" i="1" s="1"/>
  <c r="Q873" i="1"/>
  <c r="P615" i="3"/>
  <c r="L295" i="3"/>
  <c r="L821" i="1"/>
  <c r="L263" i="3"/>
  <c r="L789" i="1"/>
  <c r="H263" i="3"/>
  <c r="H789" i="1"/>
  <c r="H264" i="3" s="1"/>
  <c r="H295" i="3"/>
  <c r="H821" i="1"/>
  <c r="H296" i="3" s="1"/>
  <c r="F614" i="3"/>
  <c r="F646" i="3"/>
  <c r="Q1053" i="1"/>
  <c r="Q1067" i="1"/>
  <c r="Q1060" i="1"/>
  <c r="Q211" i="1" s="1"/>
  <c r="Q459" i="1" s="1"/>
  <c r="X1312" i="1"/>
  <c r="D780" i="3"/>
  <c r="H1050" i="3"/>
  <c r="D169" i="1"/>
  <c r="D1050" i="3" s="1"/>
  <c r="P1093" i="3"/>
  <c r="P1049" i="3"/>
  <c r="H1011" i="3"/>
  <c r="F1247" i="3"/>
  <c r="H1044" i="3"/>
  <c r="F1021" i="3"/>
  <c r="D140" i="1"/>
  <c r="D1021" i="3" s="1"/>
  <c r="I917" i="1"/>
  <c r="P1292" i="3"/>
  <c r="H1291" i="3"/>
  <c r="I729" i="1"/>
  <c r="P1044" i="3"/>
  <c r="O1044" i="3"/>
  <c r="N163" i="1"/>
  <c r="N1044" i="3" s="1"/>
  <c r="I145" i="1"/>
  <c r="O452" i="1"/>
  <c r="O1085" i="3"/>
  <c r="N204" i="1"/>
  <c r="N1085" i="3" s="1"/>
  <c r="I793" i="1"/>
  <c r="I268" i="3" s="1"/>
  <c r="N202" i="1"/>
  <c r="N1083" i="3" s="1"/>
  <c r="O450" i="1"/>
  <c r="O1083" i="3"/>
  <c r="H569" i="1"/>
  <c r="H45" i="3" s="1"/>
  <c r="H407" i="3"/>
  <c r="H1293" i="3"/>
  <c r="H1053" i="3"/>
  <c r="I388" i="3"/>
  <c r="D913" i="1"/>
  <c r="D388" i="3" s="1"/>
  <c r="N168" i="1"/>
  <c r="O1049" i="3"/>
  <c r="O569" i="1"/>
  <c r="N932" i="1"/>
  <c r="O407" i="3"/>
  <c r="I1039" i="3"/>
  <c r="D158" i="1"/>
  <c r="L1044" i="3"/>
  <c r="I129" i="1"/>
  <c r="I637" i="1"/>
  <c r="P1051" i="3"/>
  <c r="X991" i="1"/>
  <c r="D466" i="3"/>
  <c r="I128" i="1"/>
  <c r="U719" i="1"/>
  <c r="D194" i="3"/>
  <c r="F1093" i="3"/>
  <c r="X974" i="1"/>
  <c r="D449" i="3"/>
  <c r="I174" i="1"/>
  <c r="H1018" i="3"/>
  <c r="D532" i="3"/>
  <c r="X1057" i="1"/>
  <c r="N212" i="1"/>
  <c r="N1093" i="3" s="1"/>
  <c r="O1093" i="3"/>
  <c r="F1051" i="3"/>
  <c r="I173" i="1"/>
  <c r="I153" i="1"/>
  <c r="D783" i="3"/>
  <c r="X1315" i="1"/>
  <c r="L1011" i="3"/>
  <c r="P1018" i="3"/>
  <c r="O1018" i="3"/>
  <c r="N137" i="1"/>
  <c r="N1018" i="3" s="1"/>
  <c r="I175" i="1"/>
  <c r="P450" i="1"/>
  <c r="P1083" i="3"/>
  <c r="Q1179" i="1"/>
  <c r="Q984" i="1"/>
  <c r="I140" i="3"/>
  <c r="D665" i="1"/>
  <c r="N136" i="1"/>
  <c r="N1017" i="3" s="1"/>
  <c r="O1017" i="3"/>
  <c r="I1004" i="3"/>
  <c r="D123" i="1"/>
  <c r="N422" i="1"/>
  <c r="N1292" i="3" s="1"/>
  <c r="O1292" i="3"/>
  <c r="I381" i="1"/>
  <c r="I1252" i="3" s="1"/>
  <c r="D654" i="1"/>
  <c r="I129" i="3"/>
  <c r="I167" i="3"/>
  <c r="D692" i="1"/>
  <c r="X1064" i="1"/>
  <c r="D539" i="3"/>
  <c r="D195" i="3"/>
  <c r="U720" i="1"/>
  <c r="D727" i="1"/>
  <c r="I202" i="3"/>
  <c r="L1018" i="3"/>
  <c r="L1017" i="3"/>
  <c r="L45" i="3"/>
  <c r="L1247" i="3"/>
  <c r="D698" i="1"/>
  <c r="I173" i="3"/>
  <c r="D551" i="1"/>
  <c r="D27" i="3" s="1"/>
  <c r="I27" i="3"/>
  <c r="L1292" i="3"/>
  <c r="F1018" i="3"/>
  <c r="D125" i="1"/>
  <c r="I1006" i="3"/>
  <c r="N423" i="1"/>
  <c r="N1293" i="3" s="1"/>
  <c r="O1293" i="3"/>
  <c r="D199" i="3"/>
  <c r="U724" i="1"/>
  <c r="L1291" i="3"/>
  <c r="F1293" i="3"/>
  <c r="X948" i="1"/>
  <c r="D423" i="3"/>
  <c r="L1053" i="3"/>
  <c r="I172" i="1"/>
  <c r="I1053" i="3" s="1"/>
  <c r="L1093" i="3"/>
  <c r="D572" i="3"/>
  <c r="X1101" i="1"/>
  <c r="I160" i="1"/>
  <c r="P1293" i="3"/>
  <c r="D185" i="3"/>
  <c r="U710" i="1"/>
  <c r="P1085" i="3"/>
  <c r="P452" i="1"/>
  <c r="P1322" i="3" s="1"/>
  <c r="L1250" i="3"/>
  <c r="U723" i="1"/>
  <c r="D198" i="3"/>
  <c r="F1011" i="3"/>
  <c r="D162" i="1"/>
  <c r="I1043" i="3"/>
  <c r="I1024" i="3"/>
  <c r="D143" i="1"/>
  <c r="H1051" i="3"/>
  <c r="F1017" i="3"/>
  <c r="H1250" i="3"/>
  <c r="O1051" i="3"/>
  <c r="N170" i="1"/>
  <c r="N1051" i="3" s="1"/>
  <c r="F1292" i="3"/>
  <c r="P1017" i="3"/>
  <c r="I1091" i="3"/>
  <c r="D210" i="1"/>
  <c r="I458" i="1" s="1"/>
  <c r="I1328" i="3" s="1"/>
  <c r="H1093" i="3"/>
  <c r="H460" i="1"/>
  <c r="F1044" i="3"/>
  <c r="X939" i="1"/>
  <c r="D414" i="3"/>
  <c r="U718" i="1"/>
  <c r="D193" i="3"/>
  <c r="O1011" i="3"/>
  <c r="N130" i="1"/>
  <c r="N1011" i="3" s="1"/>
  <c r="D1007" i="3"/>
  <c r="P374" i="1"/>
  <c r="L374" i="1"/>
  <c r="F374" i="1"/>
  <c r="O374" i="1"/>
  <c r="H374" i="1"/>
  <c r="F1053" i="3"/>
  <c r="I152" i="1"/>
  <c r="I1040" i="3"/>
  <c r="D159" i="1"/>
  <c r="L1051" i="3"/>
  <c r="D557" i="3"/>
  <c r="X1086" i="1"/>
  <c r="O806" i="1"/>
  <c r="O858" i="1"/>
  <c r="O1220" i="1"/>
  <c r="P806" i="1"/>
  <c r="P1220" i="1"/>
  <c r="P858" i="1"/>
  <c r="Q999" i="1"/>
  <c r="H1032" i="1"/>
  <c r="H1022" i="1"/>
  <c r="H1033" i="1"/>
  <c r="H1021" i="1"/>
  <c r="H884" i="1"/>
  <c r="H1228" i="1"/>
  <c r="H1198" i="1"/>
  <c r="H1237" i="1"/>
  <c r="H872" i="1"/>
  <c r="L773" i="1"/>
  <c r="L1127" i="1"/>
  <c r="L1163" i="1"/>
  <c r="L1186" i="1"/>
  <c r="H773" i="1"/>
  <c r="H1186" i="1"/>
  <c r="H1127" i="1"/>
  <c r="H1163" i="1"/>
  <c r="P1410" i="1"/>
  <c r="P1408" i="1"/>
  <c r="P1413" i="1"/>
  <c r="P1407" i="1"/>
  <c r="P1409" i="1"/>
  <c r="P1412" i="1"/>
  <c r="P1411" i="1"/>
  <c r="F1127" i="1"/>
  <c r="F773" i="1"/>
  <c r="F1163" i="1"/>
  <c r="F1186" i="1"/>
  <c r="O1413" i="1"/>
  <c r="O1408" i="1"/>
  <c r="O1412" i="1"/>
  <c r="O1411" i="1"/>
  <c r="O1410" i="1"/>
  <c r="O1407" i="1"/>
  <c r="O1409" i="1"/>
  <c r="O1264" i="1"/>
  <c r="O1163" i="1"/>
  <c r="O1127" i="1"/>
  <c r="O1186" i="1"/>
  <c r="O773" i="1"/>
  <c r="P1127" i="1"/>
  <c r="P1186" i="1"/>
  <c r="P773" i="1"/>
  <c r="P1163" i="1"/>
  <c r="L383" i="1" l="1"/>
  <c r="U715" i="1"/>
  <c r="F383" i="1"/>
  <c r="H383" i="1"/>
  <c r="H1254" i="3" s="1"/>
  <c r="D676" i="1"/>
  <c r="D149" i="3"/>
  <c r="H404" i="1"/>
  <c r="H1275" i="3" s="1"/>
  <c r="D131" i="1"/>
  <c r="P379" i="1" s="1"/>
  <c r="D127" i="1"/>
  <c r="F375" i="1" s="1"/>
  <c r="F404" i="1"/>
  <c r="F1275" i="3" s="1"/>
  <c r="D154" i="1"/>
  <c r="O402" i="1" s="1"/>
  <c r="H415" i="1"/>
  <c r="H1285" i="3" s="1"/>
  <c r="D172" i="1"/>
  <c r="D1053" i="3" s="1"/>
  <c r="U635" i="1"/>
  <c r="U609" i="1"/>
  <c r="O691" i="3"/>
  <c r="O861" i="1"/>
  <c r="O336" i="3" s="1"/>
  <c r="O333" i="3"/>
  <c r="O141" i="1"/>
  <c r="O1022" i="3" s="1"/>
  <c r="O281" i="3"/>
  <c r="O809" i="1"/>
  <c r="O284" i="3" s="1"/>
  <c r="O403" i="1"/>
  <c r="N403" i="1" s="1"/>
  <c r="N1274" i="3" s="1"/>
  <c r="P426" i="1"/>
  <c r="P1296" i="3" s="1"/>
  <c r="I212" i="1"/>
  <c r="D212" i="1" s="1"/>
  <c r="P460" i="1" s="1"/>
  <c r="L415" i="1"/>
  <c r="I415" i="1" s="1"/>
  <c r="I1285" i="3" s="1"/>
  <c r="F415" i="1"/>
  <c r="U622" i="1"/>
  <c r="N858" i="1"/>
  <c r="N333" i="3" s="1"/>
  <c r="P861" i="1"/>
  <c r="P336" i="3" s="1"/>
  <c r="P333" i="3"/>
  <c r="N1220" i="1"/>
  <c r="N691" i="3" s="1"/>
  <c r="P691" i="3"/>
  <c r="P809" i="1"/>
  <c r="P284" i="3" s="1"/>
  <c r="N806" i="1"/>
  <c r="N281" i="3" s="1"/>
  <c r="P281" i="3"/>
  <c r="P141" i="1"/>
  <c r="D1059" i="3"/>
  <c r="F405" i="1"/>
  <c r="H405" i="1"/>
  <c r="D1038" i="3"/>
  <c r="F403" i="1"/>
  <c r="D1036" i="3"/>
  <c r="I1175" i="1"/>
  <c r="I646" i="3" s="1"/>
  <c r="L403" i="1"/>
  <c r="L1274" i="3" s="1"/>
  <c r="I163" i="1"/>
  <c r="Q1392" i="1"/>
  <c r="Q1435" i="1" s="1"/>
  <c r="D146" i="1"/>
  <c r="D1027" i="3" s="1"/>
  <c r="N383" i="1"/>
  <c r="N1254" i="3" s="1"/>
  <c r="L395" i="1"/>
  <c r="D1028" i="3"/>
  <c r="H395" i="1"/>
  <c r="F395" i="1"/>
  <c r="I170" i="1"/>
  <c r="D170" i="1" s="1"/>
  <c r="I383" i="1"/>
  <c r="I1254" i="3" s="1"/>
  <c r="I1143" i="1"/>
  <c r="I614" i="3" s="1"/>
  <c r="Q1042" i="1"/>
  <c r="H409" i="1"/>
  <c r="F409" i="1"/>
  <c r="O409" i="1"/>
  <c r="D1042" i="3"/>
  <c r="L409" i="1"/>
  <c r="P409" i="1"/>
  <c r="Q994" i="1"/>
  <c r="P634" i="3"/>
  <c r="P248" i="3"/>
  <c r="P776" i="1"/>
  <c r="P251" i="3" s="1"/>
  <c r="P657" i="3"/>
  <c r="P598" i="3"/>
  <c r="P1130" i="1"/>
  <c r="P601" i="3" s="1"/>
  <c r="O776" i="1"/>
  <c r="O248" i="3"/>
  <c r="N773" i="1"/>
  <c r="N248" i="3" s="1"/>
  <c r="N1186" i="1"/>
  <c r="N657" i="3" s="1"/>
  <c r="O657" i="3"/>
  <c r="O598" i="3"/>
  <c r="O1130" i="1"/>
  <c r="N1127" i="1"/>
  <c r="N598" i="3" s="1"/>
  <c r="N1163" i="1"/>
  <c r="N634" i="3" s="1"/>
  <c r="O634" i="3"/>
  <c r="O735" i="3"/>
  <c r="O876" i="3"/>
  <c r="N1409" i="1"/>
  <c r="N876" i="3" s="1"/>
  <c r="O874" i="3"/>
  <c r="N1407" i="1"/>
  <c r="N874" i="3" s="1"/>
  <c r="O1415" i="1"/>
  <c r="O877" i="3"/>
  <c r="N1410" i="1"/>
  <c r="N877" i="3" s="1"/>
  <c r="N1411" i="1"/>
  <c r="N878" i="3" s="1"/>
  <c r="O878" i="3"/>
  <c r="O879" i="3"/>
  <c r="N1412" i="1"/>
  <c r="N879" i="3" s="1"/>
  <c r="N1408" i="1"/>
  <c r="N875" i="3" s="1"/>
  <c r="O875" i="3"/>
  <c r="O880" i="3"/>
  <c r="N1413" i="1"/>
  <c r="N880" i="3" s="1"/>
  <c r="F657" i="3"/>
  <c r="F634" i="3"/>
  <c r="F776" i="1"/>
  <c r="F248" i="3"/>
  <c r="F598" i="3"/>
  <c r="F1130" i="1"/>
  <c r="P878" i="3"/>
  <c r="P879" i="3"/>
  <c r="P876" i="3"/>
  <c r="P874" i="3"/>
  <c r="P1415" i="1"/>
  <c r="P880" i="3"/>
  <c r="P875" i="3"/>
  <c r="P877" i="3"/>
  <c r="H634" i="3"/>
  <c r="H1130" i="1"/>
  <c r="H601" i="3" s="1"/>
  <c r="H598" i="3"/>
  <c r="H657" i="3"/>
  <c r="H776" i="1"/>
  <c r="H251" i="3" s="1"/>
  <c r="H248" i="3"/>
  <c r="L657" i="3"/>
  <c r="L634" i="3"/>
  <c r="L598" i="3"/>
  <c r="L1130" i="1"/>
  <c r="L248" i="3"/>
  <c r="L776" i="1"/>
  <c r="H347" i="3"/>
  <c r="H873" i="1"/>
  <c r="H348" i="3" s="1"/>
  <c r="H708" i="3"/>
  <c r="H669" i="3"/>
  <c r="H1200" i="1"/>
  <c r="H671" i="3" s="1"/>
  <c r="H699" i="3"/>
  <c r="H359" i="3"/>
  <c r="H496" i="3"/>
  <c r="H508" i="3"/>
  <c r="H497" i="3"/>
  <c r="H507" i="3"/>
  <c r="Q1008" i="1"/>
  <c r="Q1017" i="1" s="1"/>
  <c r="I1033" i="3"/>
  <c r="D152" i="1"/>
  <c r="P1245" i="3"/>
  <c r="D202" i="3"/>
  <c r="U727" i="1"/>
  <c r="D129" i="3"/>
  <c r="U654" i="1"/>
  <c r="H372" i="1"/>
  <c r="D1004" i="3"/>
  <c r="O372" i="1"/>
  <c r="P372" i="1"/>
  <c r="L372" i="1"/>
  <c r="F372" i="1"/>
  <c r="I1054" i="3"/>
  <c r="D173" i="1"/>
  <c r="D151" i="3"/>
  <c r="U676" i="1"/>
  <c r="N1049" i="3"/>
  <c r="I168" i="1"/>
  <c r="N374" i="1"/>
  <c r="N1245" i="3" s="1"/>
  <c r="O1245" i="3"/>
  <c r="O1296" i="3"/>
  <c r="H458" i="1"/>
  <c r="H1328" i="3" s="1"/>
  <c r="D1091" i="3"/>
  <c r="F458" i="1"/>
  <c r="L458" i="1"/>
  <c r="L1328" i="3" s="1"/>
  <c r="D1043" i="3"/>
  <c r="H410" i="1"/>
  <c r="L410" i="1"/>
  <c r="F410" i="1"/>
  <c r="D1006" i="3"/>
  <c r="O373" i="1"/>
  <c r="F373" i="1"/>
  <c r="P373" i="1"/>
  <c r="H373" i="1"/>
  <c r="L373" i="1"/>
  <c r="I422" i="1"/>
  <c r="I1292" i="3" s="1"/>
  <c r="I136" i="1"/>
  <c r="I137" i="1"/>
  <c r="U692" i="1"/>
  <c r="D167" i="3"/>
  <c r="D140" i="3"/>
  <c r="U665" i="1"/>
  <c r="I130" i="1"/>
  <c r="I1055" i="3"/>
  <c r="D174" i="1"/>
  <c r="I1009" i="3"/>
  <c r="D128" i="1"/>
  <c r="I1010" i="3"/>
  <c r="D129" i="1"/>
  <c r="F406" i="1"/>
  <c r="D1039" i="3"/>
  <c r="P406" i="1"/>
  <c r="L406" i="1"/>
  <c r="H406" i="1"/>
  <c r="O406" i="1"/>
  <c r="O45" i="3"/>
  <c r="N569" i="1"/>
  <c r="N450" i="1"/>
  <c r="N1320" i="3" s="1"/>
  <c r="O1320" i="3"/>
  <c r="I204" i="3"/>
  <c r="D729" i="1"/>
  <c r="D204" i="3" s="1"/>
  <c r="I392" i="3"/>
  <c r="D917" i="1"/>
  <c r="D392" i="3" s="1"/>
  <c r="H417" i="1"/>
  <c r="L296" i="3"/>
  <c r="D1024" i="3"/>
  <c r="P391" i="1"/>
  <c r="P1262" i="3" s="1"/>
  <c r="O391" i="1"/>
  <c r="N407" i="3"/>
  <c r="I932" i="1"/>
  <c r="I407" i="3" s="1"/>
  <c r="F407" i="1"/>
  <c r="D1040" i="3"/>
  <c r="H407" i="1"/>
  <c r="F1245" i="3"/>
  <c r="D173" i="3"/>
  <c r="U698" i="1"/>
  <c r="P1320" i="3"/>
  <c r="I112" i="3"/>
  <c r="D637" i="1"/>
  <c r="D112" i="3" s="1"/>
  <c r="O1322" i="3"/>
  <c r="N452" i="1"/>
  <c r="N1322" i="3" s="1"/>
  <c r="F388" i="1"/>
  <c r="L264" i="3"/>
  <c r="L648" i="3"/>
  <c r="N464" i="3"/>
  <c r="I989" i="1"/>
  <c r="H1245" i="3"/>
  <c r="L1245" i="3"/>
  <c r="H1330" i="3"/>
  <c r="I1041" i="3"/>
  <c r="D160" i="1"/>
  <c r="L402" i="1"/>
  <c r="I1056" i="3"/>
  <c r="D175" i="1"/>
  <c r="D153" i="1"/>
  <c r="I1034" i="3"/>
  <c r="H1274" i="3"/>
  <c r="I1026" i="3"/>
  <c r="D145" i="1"/>
  <c r="L858" i="1"/>
  <c r="L806" i="1"/>
  <c r="L1220" i="1"/>
  <c r="F806" i="1"/>
  <c r="F858" i="1"/>
  <c r="F1220" i="1"/>
  <c r="H806" i="1"/>
  <c r="H858" i="1"/>
  <c r="H1220" i="1"/>
  <c r="H1035" i="1"/>
  <c r="H1024" i="1"/>
  <c r="F1035" i="1"/>
  <c r="F1024" i="1"/>
  <c r="H1066" i="1"/>
  <c r="P1264" i="1"/>
  <c r="L1066" i="1"/>
  <c r="O1033" i="1"/>
  <c r="O1032" i="1"/>
  <c r="O1022" i="1"/>
  <c r="O1021" i="1"/>
  <c r="F1066" i="1"/>
  <c r="H1025" i="1"/>
  <c r="H1037" i="1"/>
  <c r="L1022" i="1"/>
  <c r="L1032" i="1"/>
  <c r="L1033" i="1"/>
  <c r="L1021" i="1"/>
  <c r="F1021" i="1"/>
  <c r="F1033" i="1"/>
  <c r="F1022" i="1"/>
  <c r="F1032" i="1"/>
  <c r="F1037" i="1"/>
  <c r="F1025" i="1"/>
  <c r="H1023" i="1"/>
  <c r="H1034" i="1"/>
  <c r="F1052" i="1"/>
  <c r="P1052" i="1"/>
  <c r="L1034" i="1"/>
  <c r="L1023" i="1"/>
  <c r="F1023" i="1"/>
  <c r="F1034" i="1"/>
  <c r="O1052" i="1"/>
  <c r="H1052" i="1"/>
  <c r="L1052" i="1"/>
  <c r="O1282" i="1"/>
  <c r="O761" i="1"/>
  <c r="O1115" i="1"/>
  <c r="O1184" i="1"/>
  <c r="O1268" i="1"/>
  <c r="O1161" i="1"/>
  <c r="H1059" i="1"/>
  <c r="F1121" i="1"/>
  <c r="F1185" i="1"/>
  <c r="F1162" i="1"/>
  <c r="F767" i="1"/>
  <c r="O1026" i="1"/>
  <c r="O1038" i="1"/>
  <c r="H1027" i="1"/>
  <c r="F929" i="1"/>
  <c r="F841" i="1"/>
  <c r="F1208" i="1"/>
  <c r="F925" i="1"/>
  <c r="L981" i="1"/>
  <c r="L978" i="1"/>
  <c r="L973" i="1"/>
  <c r="L979" i="1"/>
  <c r="L976" i="1"/>
  <c r="L975" i="1"/>
  <c r="L980" i="1"/>
  <c r="H1038" i="1"/>
  <c r="H1026" i="1"/>
  <c r="P761" i="1"/>
  <c r="P1161" i="1"/>
  <c r="P1282" i="1"/>
  <c r="P1268" i="1"/>
  <c r="P1184" i="1"/>
  <c r="P1115" i="1"/>
  <c r="L1059" i="1"/>
  <c r="F812" i="1"/>
  <c r="F1168" i="1"/>
  <c r="F813" i="1"/>
  <c r="F1135" i="1"/>
  <c r="F864" i="1"/>
  <c r="F1223" i="1"/>
  <c r="F1191" i="1"/>
  <c r="F781" i="1"/>
  <c r="P1162" i="1"/>
  <c r="P767" i="1"/>
  <c r="P1185" i="1"/>
  <c r="P1121" i="1"/>
  <c r="P1038" i="1"/>
  <c r="P1026" i="1"/>
  <c r="H1209" i="1"/>
  <c r="H1095" i="1"/>
  <c r="F1282" i="1"/>
  <c r="F1161" i="1"/>
  <c r="F761" i="1"/>
  <c r="F1115" i="1"/>
  <c r="F1184" i="1"/>
  <c r="F1268" i="1"/>
  <c r="O767" i="1"/>
  <c r="O1162" i="1"/>
  <c r="O1121" i="1"/>
  <c r="O1185" i="1"/>
  <c r="F1038" i="1"/>
  <c r="F1026" i="1"/>
  <c r="H1282" i="1"/>
  <c r="H1268" i="1"/>
  <c r="H1115" i="1"/>
  <c r="H1161" i="1"/>
  <c r="H1184" i="1"/>
  <c r="H761" i="1"/>
  <c r="L1161" i="1"/>
  <c r="L761" i="1"/>
  <c r="L1268" i="1"/>
  <c r="L1184" i="1"/>
  <c r="L1115" i="1"/>
  <c r="L1282" i="1"/>
  <c r="F1059" i="1"/>
  <c r="H1162" i="1"/>
  <c r="H1185" i="1"/>
  <c r="H1121" i="1"/>
  <c r="H767" i="1"/>
  <c r="L1038" i="1"/>
  <c r="L1026" i="1"/>
  <c r="F1027" i="1"/>
  <c r="P1198" i="1"/>
  <c r="P884" i="1"/>
  <c r="P872" i="1"/>
  <c r="P1237" i="1"/>
  <c r="P1228" i="1"/>
  <c r="L1185" i="1"/>
  <c r="L1162" i="1"/>
  <c r="L1121" i="1"/>
  <c r="L767" i="1"/>
  <c r="P788" i="1"/>
  <c r="P820" i="1"/>
  <c r="O978" i="1"/>
  <c r="O980" i="1"/>
  <c r="O979" i="1"/>
  <c r="O981" i="1"/>
  <c r="O976" i="1"/>
  <c r="O973" i="1"/>
  <c r="O975" i="1"/>
  <c r="P402" i="1" l="1"/>
  <c r="O379" i="1"/>
  <c r="O1250" i="3" s="1"/>
  <c r="H691" i="3"/>
  <c r="H333" i="3"/>
  <c r="H861" i="1"/>
  <c r="H336" i="3" s="1"/>
  <c r="H281" i="3"/>
  <c r="H809" i="1"/>
  <c r="H284" i="3" s="1"/>
  <c r="F691" i="3"/>
  <c r="F861" i="1"/>
  <c r="F336" i="3" s="1"/>
  <c r="F333" i="3"/>
  <c r="F281" i="3"/>
  <c r="F809" i="1"/>
  <c r="F284" i="3" s="1"/>
  <c r="L691" i="3"/>
  <c r="L281" i="3"/>
  <c r="L809" i="1"/>
  <c r="L284" i="3" s="1"/>
  <c r="L861" i="1"/>
  <c r="L336" i="3" s="1"/>
  <c r="I858" i="1"/>
  <c r="I333" i="3" s="1"/>
  <c r="L333" i="3"/>
  <c r="L1285" i="3"/>
  <c r="F1254" i="3"/>
  <c r="D404" i="1"/>
  <c r="D1275" i="3" s="1"/>
  <c r="L1254" i="3"/>
  <c r="F379" i="1"/>
  <c r="D1012" i="3"/>
  <c r="F402" i="1"/>
  <c r="H394" i="1"/>
  <c r="H1265" i="3" s="1"/>
  <c r="F394" i="1"/>
  <c r="F1265" i="3" s="1"/>
  <c r="I1051" i="3"/>
  <c r="D1008" i="3"/>
  <c r="D1093" i="3"/>
  <c r="H402" i="1"/>
  <c r="H1273" i="3" s="1"/>
  <c r="D1035" i="3"/>
  <c r="P375" i="1"/>
  <c r="H499" i="3"/>
  <c r="H510" i="3"/>
  <c r="L375" i="1"/>
  <c r="L1246" i="3" s="1"/>
  <c r="O375" i="1"/>
  <c r="N375" i="1" s="1"/>
  <c r="N1246" i="3" s="1"/>
  <c r="H375" i="1"/>
  <c r="H1246" i="3" s="1"/>
  <c r="H420" i="1"/>
  <c r="H1290" i="3" s="1"/>
  <c r="F460" i="1"/>
  <c r="F1330" i="3" s="1"/>
  <c r="D1024" i="1"/>
  <c r="X1024" i="1" s="1"/>
  <c r="F499" i="3"/>
  <c r="F510" i="3"/>
  <c r="D1035" i="1"/>
  <c r="X1035" i="1" s="1"/>
  <c r="I460" i="1"/>
  <c r="I1330" i="3" s="1"/>
  <c r="L460" i="1"/>
  <c r="L1330" i="3" s="1"/>
  <c r="I1093" i="3"/>
  <c r="I1220" i="1"/>
  <c r="I691" i="3" s="1"/>
  <c r="L420" i="1"/>
  <c r="I420" i="1" s="1"/>
  <c r="I1290" i="3" s="1"/>
  <c r="O460" i="1"/>
  <c r="O1330" i="3" s="1"/>
  <c r="N426" i="1"/>
  <c r="I426" i="1" s="1"/>
  <c r="F420" i="1"/>
  <c r="F1290" i="3" s="1"/>
  <c r="H541" i="3"/>
  <c r="H204" i="1"/>
  <c r="H1085" i="3" s="1"/>
  <c r="P394" i="1"/>
  <c r="P1265" i="3" s="1"/>
  <c r="N141" i="1"/>
  <c r="N1022" i="3" s="1"/>
  <c r="D383" i="1"/>
  <c r="D1254" i="3" s="1"/>
  <c r="F204" i="1"/>
  <c r="F1085" i="3" s="1"/>
  <c r="F541" i="3"/>
  <c r="N1021" i="1"/>
  <c r="N496" i="3" s="1"/>
  <c r="O496" i="3"/>
  <c r="N1022" i="1"/>
  <c r="N497" i="3" s="1"/>
  <c r="O497" i="3"/>
  <c r="N1032" i="1"/>
  <c r="N507" i="3" s="1"/>
  <c r="O507" i="3"/>
  <c r="N1033" i="1"/>
  <c r="N508" i="3" s="1"/>
  <c r="O508" i="3"/>
  <c r="I1066" i="1"/>
  <c r="I541" i="3" s="1"/>
  <c r="L541" i="3"/>
  <c r="L204" i="1"/>
  <c r="I204" i="1" s="1"/>
  <c r="I1085" i="3" s="1"/>
  <c r="N1264" i="1"/>
  <c r="I1264" i="1" s="1"/>
  <c r="P735" i="3"/>
  <c r="F1285" i="3"/>
  <c r="O1274" i="3"/>
  <c r="P1022" i="3"/>
  <c r="O394" i="1"/>
  <c r="O1265" i="3" s="1"/>
  <c r="N809" i="1"/>
  <c r="N284" i="3" s="1"/>
  <c r="N861" i="1"/>
  <c r="N336" i="3" s="1"/>
  <c r="L394" i="1"/>
  <c r="L1265" i="3" s="1"/>
  <c r="D1025" i="1"/>
  <c r="F500" i="3"/>
  <c r="F512" i="3"/>
  <c r="D1037" i="1"/>
  <c r="F507" i="3"/>
  <c r="F497" i="3"/>
  <c r="F508" i="3"/>
  <c r="F496" i="3"/>
  <c r="L496" i="3"/>
  <c r="L508" i="3"/>
  <c r="L507" i="3"/>
  <c r="L497" i="3"/>
  <c r="H512" i="3"/>
  <c r="H500" i="3"/>
  <c r="F1276" i="3"/>
  <c r="D405" i="1"/>
  <c r="D1276" i="3" s="1"/>
  <c r="I1044" i="3"/>
  <c r="D163" i="1"/>
  <c r="I806" i="1"/>
  <c r="D806" i="1" s="1"/>
  <c r="D281" i="3" s="1"/>
  <c r="F1274" i="3"/>
  <c r="I1163" i="1"/>
  <c r="H1276" i="3"/>
  <c r="L200" i="1"/>
  <c r="L1081" i="3" s="1"/>
  <c r="L527" i="3"/>
  <c r="H200" i="1"/>
  <c r="H1081" i="3" s="1"/>
  <c r="H527" i="3"/>
  <c r="O200" i="1"/>
  <c r="N1052" i="1"/>
  <c r="N527" i="3" s="1"/>
  <c r="O527" i="3"/>
  <c r="F509" i="3"/>
  <c r="F498" i="3"/>
  <c r="L498" i="3"/>
  <c r="I1023" i="1"/>
  <c r="I498" i="3" s="1"/>
  <c r="I1034" i="1"/>
  <c r="I509" i="3" s="1"/>
  <c r="L509" i="3"/>
  <c r="P527" i="3"/>
  <c r="P200" i="1"/>
  <c r="P1081" i="3" s="1"/>
  <c r="F527" i="3"/>
  <c r="F200" i="1"/>
  <c r="F1081" i="3" s="1"/>
  <c r="H509" i="3"/>
  <c r="H498" i="3"/>
  <c r="L1280" i="3"/>
  <c r="H1280" i="3"/>
  <c r="I1127" i="1"/>
  <c r="I598" i="3" s="1"/>
  <c r="O1280" i="3"/>
  <c r="N409" i="1"/>
  <c r="F1266" i="3"/>
  <c r="I374" i="1"/>
  <c r="I1245" i="3" s="1"/>
  <c r="L1266" i="3"/>
  <c r="I395" i="1"/>
  <c r="D415" i="1"/>
  <c r="D1285" i="3" s="1"/>
  <c r="I773" i="1"/>
  <c r="I248" i="3" s="1"/>
  <c r="P1280" i="3"/>
  <c r="F1280" i="3"/>
  <c r="H1266" i="3"/>
  <c r="O450" i="3"/>
  <c r="O184" i="1"/>
  <c r="O977" i="1"/>
  <c r="O448" i="3"/>
  <c r="O451" i="3"/>
  <c r="O456" i="3"/>
  <c r="O185" i="1"/>
  <c r="O454" i="3"/>
  <c r="O455" i="3"/>
  <c r="O982" i="1"/>
  <c r="O453" i="3"/>
  <c r="P295" i="3"/>
  <c r="P821" i="1"/>
  <c r="P296" i="3" s="1"/>
  <c r="P263" i="3"/>
  <c r="P789" i="1"/>
  <c r="P264" i="3" s="1"/>
  <c r="L770" i="1"/>
  <c r="L242" i="3"/>
  <c r="L592" i="3"/>
  <c r="L1124" i="1"/>
  <c r="L633" i="3"/>
  <c r="L656" i="3"/>
  <c r="P699" i="3"/>
  <c r="P708" i="3"/>
  <c r="P347" i="3"/>
  <c r="P873" i="1"/>
  <c r="P348" i="3" s="1"/>
  <c r="P359" i="3"/>
  <c r="P669" i="3"/>
  <c r="F502" i="3"/>
  <c r="D1027" i="1"/>
  <c r="L501" i="3"/>
  <c r="L513" i="3"/>
  <c r="H770" i="1"/>
  <c r="H245" i="3" s="1"/>
  <c r="H242" i="3"/>
  <c r="H592" i="3"/>
  <c r="H1124" i="1"/>
  <c r="H595" i="3" s="1"/>
  <c r="H656" i="3"/>
  <c r="H633" i="3"/>
  <c r="F534" i="3"/>
  <c r="F202" i="1"/>
  <c r="L753" i="3"/>
  <c r="L586" i="3"/>
  <c r="L1118" i="1"/>
  <c r="L1188" i="1"/>
  <c r="L655" i="3"/>
  <c r="L739" i="3"/>
  <c r="L236" i="3"/>
  <c r="L764" i="1"/>
  <c r="L1165" i="1"/>
  <c r="L632" i="3"/>
  <c r="H236" i="3"/>
  <c r="H764" i="1"/>
  <c r="H1188" i="1"/>
  <c r="H659" i="3" s="1"/>
  <c r="H655" i="3"/>
  <c r="H632" i="3"/>
  <c r="H1165" i="1"/>
  <c r="H636" i="3" s="1"/>
  <c r="H1118" i="1"/>
  <c r="H586" i="3"/>
  <c r="H739" i="3"/>
  <c r="H753" i="3"/>
  <c r="F501" i="3"/>
  <c r="F513" i="3"/>
  <c r="N1185" i="1"/>
  <c r="N656" i="3" s="1"/>
  <c r="O656" i="3"/>
  <c r="O592" i="3"/>
  <c r="N1121" i="1"/>
  <c r="N592" i="3" s="1"/>
  <c r="O1124" i="1"/>
  <c r="N1162" i="1"/>
  <c r="N633" i="3" s="1"/>
  <c r="O633" i="3"/>
  <c r="O242" i="3"/>
  <c r="O770" i="1"/>
  <c r="N767" i="1"/>
  <c r="N242" i="3" s="1"/>
  <c r="F739" i="3"/>
  <c r="F655" i="3"/>
  <c r="F1188" i="1"/>
  <c r="F1118" i="1"/>
  <c r="F586" i="3"/>
  <c r="F764" i="1"/>
  <c r="F236" i="3"/>
  <c r="F632" i="3"/>
  <c r="F1165" i="1"/>
  <c r="F753" i="3"/>
  <c r="H566" i="3"/>
  <c r="D1095" i="1"/>
  <c r="D566" i="3" s="1"/>
  <c r="H1097" i="1"/>
  <c r="H680" i="3"/>
  <c r="D1209" i="1"/>
  <c r="D680" i="3" s="1"/>
  <c r="P501" i="3"/>
  <c r="P513" i="3"/>
  <c r="P1124" i="1"/>
  <c r="P595" i="3" s="1"/>
  <c r="P592" i="3"/>
  <c r="P656" i="3"/>
  <c r="P242" i="3"/>
  <c r="P770" i="1"/>
  <c r="P245" i="3" s="1"/>
  <c r="P633" i="3"/>
  <c r="F256" i="3"/>
  <c r="F662" i="3"/>
  <c r="F694" i="3"/>
  <c r="F869" i="1"/>
  <c r="F339" i="3"/>
  <c r="F606" i="3"/>
  <c r="F288" i="3"/>
  <c r="F639" i="3"/>
  <c r="F287" i="3"/>
  <c r="F817" i="1"/>
  <c r="I1059" i="1"/>
  <c r="I534" i="3" s="1"/>
  <c r="L534" i="3"/>
  <c r="L202" i="1"/>
  <c r="P1118" i="1"/>
  <c r="P586" i="3"/>
  <c r="P1188" i="1"/>
  <c r="P659" i="3" s="1"/>
  <c r="P655" i="3"/>
  <c r="P739" i="3"/>
  <c r="P753" i="3"/>
  <c r="P632" i="3"/>
  <c r="P1165" i="1"/>
  <c r="P636" i="3" s="1"/>
  <c r="P236" i="3"/>
  <c r="P764" i="1"/>
  <c r="H501" i="3"/>
  <c r="H513" i="3"/>
  <c r="L455" i="3"/>
  <c r="L450" i="3"/>
  <c r="L184" i="1"/>
  <c r="L451" i="3"/>
  <c r="L454" i="3"/>
  <c r="L185" i="1"/>
  <c r="L448" i="3"/>
  <c r="L977" i="1"/>
  <c r="L453" i="3"/>
  <c r="L982" i="1"/>
  <c r="L456" i="3"/>
  <c r="F400" i="3"/>
  <c r="D925" i="1"/>
  <c r="D400" i="3" s="1"/>
  <c r="F930" i="1"/>
  <c r="F679" i="3"/>
  <c r="D1208" i="1"/>
  <c r="D679" i="3" s="1"/>
  <c r="D841" i="1"/>
  <c r="D316" i="3" s="1"/>
  <c r="F316" i="3"/>
  <c r="F404" i="3"/>
  <c r="D929" i="1"/>
  <c r="D404" i="3" s="1"/>
  <c r="H502" i="3"/>
  <c r="O513" i="3"/>
  <c r="N1038" i="1"/>
  <c r="N513" i="3" s="1"/>
  <c r="O501" i="3"/>
  <c r="N1026" i="1"/>
  <c r="N501" i="3" s="1"/>
  <c r="F770" i="1"/>
  <c r="F242" i="3"/>
  <c r="F633" i="3"/>
  <c r="F656" i="3"/>
  <c r="F592" i="3"/>
  <c r="F1124" i="1"/>
  <c r="H534" i="3"/>
  <c r="H202" i="1"/>
  <c r="N1161" i="1"/>
  <c r="N632" i="3" s="1"/>
  <c r="O1165" i="1"/>
  <c r="O632" i="3"/>
  <c r="O739" i="3"/>
  <c r="N1268" i="1"/>
  <c r="N739" i="3" s="1"/>
  <c r="O1188" i="1"/>
  <c r="O655" i="3"/>
  <c r="N1184" i="1"/>
  <c r="N655" i="3" s="1"/>
  <c r="O1118" i="1"/>
  <c r="N1115" i="1"/>
  <c r="N586" i="3" s="1"/>
  <c r="O586" i="3"/>
  <c r="O236" i="3"/>
  <c r="N761" i="1"/>
  <c r="N236" i="3" s="1"/>
  <c r="O764" i="1"/>
  <c r="O753" i="3"/>
  <c r="N1282" i="1"/>
  <c r="N753" i="3" s="1"/>
  <c r="O393" i="1"/>
  <c r="D1026" i="3"/>
  <c r="L393" i="1"/>
  <c r="P393" i="1"/>
  <c r="F393" i="1"/>
  <c r="H393" i="1"/>
  <c r="N402" i="1"/>
  <c r="N1273" i="3" s="1"/>
  <c r="O1273" i="3"/>
  <c r="P1250" i="3"/>
  <c r="D1051" i="3"/>
  <c r="O418" i="1"/>
  <c r="L418" i="1"/>
  <c r="H418" i="1"/>
  <c r="H1288" i="3" s="1"/>
  <c r="P418" i="1"/>
  <c r="P1288" i="3" s="1"/>
  <c r="F418" i="1"/>
  <c r="L1244" i="3"/>
  <c r="D168" i="1"/>
  <c r="I1049" i="3"/>
  <c r="P1330" i="3"/>
  <c r="P1273" i="3"/>
  <c r="N379" i="1"/>
  <c r="I464" i="3"/>
  <c r="D989" i="1"/>
  <c r="D464" i="3" s="1"/>
  <c r="F1278" i="3"/>
  <c r="D407" i="1"/>
  <c r="D1278" i="3" s="1"/>
  <c r="N45" i="3"/>
  <c r="I569" i="1"/>
  <c r="I45" i="3" s="1"/>
  <c r="L1277" i="3"/>
  <c r="D1010" i="3"/>
  <c r="L377" i="1"/>
  <c r="P377" i="1"/>
  <c r="P1248" i="3" s="1"/>
  <c r="H377" i="1"/>
  <c r="H1248" i="3" s="1"/>
  <c r="O377" i="1"/>
  <c r="F377" i="1"/>
  <c r="F1248" i="3" s="1"/>
  <c r="D1055" i="3"/>
  <c r="H422" i="1"/>
  <c r="I403" i="1"/>
  <c r="I1018" i="3"/>
  <c r="D137" i="1"/>
  <c r="H1244" i="3"/>
  <c r="F1281" i="3"/>
  <c r="N1296" i="3"/>
  <c r="L1243" i="3"/>
  <c r="H1243" i="3"/>
  <c r="L601" i="3"/>
  <c r="I1186" i="1"/>
  <c r="N1130" i="1"/>
  <c r="N601" i="3" s="1"/>
  <c r="O601" i="3"/>
  <c r="L423" i="1"/>
  <c r="D1056" i="3"/>
  <c r="F1277" i="3"/>
  <c r="N373" i="1"/>
  <c r="N1244" i="3" s="1"/>
  <c r="O1244" i="3"/>
  <c r="F1243" i="3"/>
  <c r="D1034" i="3"/>
  <c r="P401" i="1"/>
  <c r="L401" i="1"/>
  <c r="F401" i="1"/>
  <c r="O401" i="1"/>
  <c r="H401" i="1"/>
  <c r="D1041" i="3"/>
  <c r="O408" i="1"/>
  <c r="H408" i="1"/>
  <c r="P408" i="1"/>
  <c r="L408" i="1"/>
  <c r="F408" i="1"/>
  <c r="F1250" i="3"/>
  <c r="H1287" i="3"/>
  <c r="D417" i="1"/>
  <c r="D1287" i="3" s="1"/>
  <c r="P1277" i="3"/>
  <c r="I1017" i="3"/>
  <c r="D136" i="1"/>
  <c r="P1244" i="3"/>
  <c r="F1246" i="3"/>
  <c r="L1281" i="3"/>
  <c r="I410" i="1"/>
  <c r="I1281" i="3" s="1"/>
  <c r="F1328" i="3"/>
  <c r="D458" i="1"/>
  <c r="D1328" i="3" s="1"/>
  <c r="F421" i="1"/>
  <c r="D1054" i="3"/>
  <c r="O421" i="1"/>
  <c r="P421" i="1"/>
  <c r="P1243" i="3"/>
  <c r="L251" i="3"/>
  <c r="O882" i="3"/>
  <c r="O205" i="1"/>
  <c r="N1415" i="1"/>
  <c r="N882" i="3" s="1"/>
  <c r="O1262" i="3"/>
  <c r="N391" i="1"/>
  <c r="H1277" i="3"/>
  <c r="F1273" i="3"/>
  <c r="L1273" i="3"/>
  <c r="D388" i="1"/>
  <c r="D1259" i="3" s="1"/>
  <c r="F1259" i="3"/>
  <c r="H1278" i="3"/>
  <c r="N406" i="1"/>
  <c r="N1277" i="3" s="1"/>
  <c r="O1277" i="3"/>
  <c r="D1009" i="3"/>
  <c r="P376" i="1"/>
  <c r="O376" i="1"/>
  <c r="H376" i="1"/>
  <c r="I1011" i="3"/>
  <c r="D130" i="1"/>
  <c r="F1244" i="3"/>
  <c r="P1246" i="3"/>
  <c r="H1281" i="3"/>
  <c r="N372" i="1"/>
  <c r="N1243" i="3" s="1"/>
  <c r="O1243" i="3"/>
  <c r="D1033" i="3"/>
  <c r="H400" i="1"/>
  <c r="O400" i="1"/>
  <c r="L400" i="1"/>
  <c r="P400" i="1"/>
  <c r="F400" i="1"/>
  <c r="P205" i="1"/>
  <c r="P882" i="3"/>
  <c r="F601" i="3"/>
  <c r="F251" i="3"/>
  <c r="N776" i="1"/>
  <c r="N251" i="3" s="1"/>
  <c r="O251" i="3"/>
  <c r="P978" i="1"/>
  <c r="P981" i="1"/>
  <c r="P980" i="1"/>
  <c r="P976" i="1"/>
  <c r="P979" i="1"/>
  <c r="P975" i="1"/>
  <c r="P973" i="1"/>
  <c r="O820" i="1"/>
  <c r="O788" i="1"/>
  <c r="F788" i="1"/>
  <c r="F820" i="1"/>
  <c r="F979" i="1"/>
  <c r="F975" i="1"/>
  <c r="F981" i="1"/>
  <c r="F978" i="1"/>
  <c r="F976" i="1"/>
  <c r="F980" i="1"/>
  <c r="F973" i="1"/>
  <c r="H782" i="1"/>
  <c r="H1224" i="1"/>
  <c r="H1169" i="1"/>
  <c r="H1192" i="1"/>
  <c r="H1235" i="1"/>
  <c r="H882" i="1"/>
  <c r="H1136" i="1"/>
  <c r="F1169" i="1"/>
  <c r="F1224" i="1"/>
  <c r="F1136" i="1"/>
  <c r="F882" i="1"/>
  <c r="F1235" i="1"/>
  <c r="F1192" i="1"/>
  <c r="F782" i="1"/>
  <c r="H976" i="1"/>
  <c r="H979" i="1"/>
  <c r="H973" i="1"/>
  <c r="H978" i="1"/>
  <c r="H980" i="1"/>
  <c r="H981" i="1"/>
  <c r="H975" i="1"/>
  <c r="P813" i="1"/>
  <c r="P1223" i="1"/>
  <c r="P781" i="1"/>
  <c r="P864" i="1"/>
  <c r="P1135" i="1"/>
  <c r="P1168" i="1"/>
  <c r="P1191" i="1"/>
  <c r="P812" i="1"/>
  <c r="H864" i="1"/>
  <c r="H812" i="1"/>
  <c r="H781" i="1"/>
  <c r="H1168" i="1"/>
  <c r="H1135" i="1"/>
  <c r="H813" i="1"/>
  <c r="H1191" i="1"/>
  <c r="H1223" i="1"/>
  <c r="O812" i="1"/>
  <c r="O1191" i="1"/>
  <c r="O1135" i="1"/>
  <c r="O781" i="1"/>
  <c r="O864" i="1"/>
  <c r="O813" i="1"/>
  <c r="O1168" i="1"/>
  <c r="O1223" i="1"/>
  <c r="L864" i="1"/>
  <c r="L1135" i="1"/>
  <c r="L812" i="1"/>
  <c r="L1191" i="1"/>
  <c r="L1168" i="1"/>
  <c r="L813" i="1"/>
  <c r="L781" i="1"/>
  <c r="L1223" i="1"/>
  <c r="F1237" i="1"/>
  <c r="F884" i="1"/>
  <c r="F1198" i="1"/>
  <c r="F1228" i="1"/>
  <c r="F872" i="1"/>
  <c r="L884" i="1"/>
  <c r="L1237" i="1"/>
  <c r="L1228" i="1"/>
  <c r="L1198" i="1"/>
  <c r="L872" i="1"/>
  <c r="O872" i="1"/>
  <c r="O1228" i="1"/>
  <c r="O1237" i="1"/>
  <c r="O1198" i="1"/>
  <c r="O884" i="1"/>
  <c r="P1235" i="1"/>
  <c r="P882" i="1"/>
  <c r="P1136" i="1"/>
  <c r="P1192" i="1"/>
  <c r="P1169" i="1"/>
  <c r="P1224" i="1"/>
  <c r="P782" i="1"/>
  <c r="L782" i="1"/>
  <c r="L882" i="1"/>
  <c r="L1224" i="1"/>
  <c r="L1169" i="1"/>
  <c r="L1136" i="1"/>
  <c r="L1235" i="1"/>
  <c r="L1192" i="1"/>
  <c r="O1169" i="1"/>
  <c r="O882" i="1"/>
  <c r="O1192" i="1"/>
  <c r="O782" i="1"/>
  <c r="O1136" i="1"/>
  <c r="O1235" i="1"/>
  <c r="O1224" i="1"/>
  <c r="H1234" i="1"/>
  <c r="H881" i="1"/>
  <c r="P957" i="1"/>
  <c r="P967" i="1"/>
  <c r="P958" i="1"/>
  <c r="P964" i="1"/>
  <c r="P960" i="1"/>
  <c r="P963" i="1"/>
  <c r="P959" i="1"/>
  <c r="P956" i="1"/>
  <c r="P965" i="1"/>
  <c r="P961" i="1"/>
  <c r="H964" i="1"/>
  <c r="H958" i="1"/>
  <c r="H961" i="1"/>
  <c r="H960" i="1"/>
  <c r="H967" i="1"/>
  <c r="H965" i="1"/>
  <c r="H957" i="1"/>
  <c r="H956" i="1"/>
  <c r="H963" i="1"/>
  <c r="H959" i="1"/>
  <c r="H1036" i="1"/>
  <c r="O866" i="1"/>
  <c r="O814" i="1"/>
  <c r="O938" i="1"/>
  <c r="H814" i="1"/>
  <c r="H866" i="1"/>
  <c r="L947" i="1"/>
  <c r="L942" i="1"/>
  <c r="L943" i="1"/>
  <c r="L950" i="1"/>
  <c r="L941" i="1"/>
  <c r="L946" i="1"/>
  <c r="L944" i="1"/>
  <c r="L938" i="1"/>
  <c r="O881" i="1"/>
  <c r="O1234" i="1"/>
  <c r="O967" i="1"/>
  <c r="O965" i="1"/>
  <c r="O963" i="1"/>
  <c r="O960" i="1"/>
  <c r="O957" i="1"/>
  <c r="O956" i="1"/>
  <c r="O958" i="1"/>
  <c r="O961" i="1"/>
  <c r="O959" i="1"/>
  <c r="O964" i="1"/>
  <c r="P814" i="1"/>
  <c r="P866" i="1"/>
  <c r="H950" i="1"/>
  <c r="H941" i="1"/>
  <c r="H946" i="1"/>
  <c r="H942" i="1"/>
  <c r="H938" i="1"/>
  <c r="H947" i="1"/>
  <c r="H944" i="1"/>
  <c r="H943" i="1"/>
  <c r="L1234" i="1"/>
  <c r="L881" i="1"/>
  <c r="H1175" i="1"/>
  <c r="H1143" i="1"/>
  <c r="L1144" i="1"/>
  <c r="L956" i="1"/>
  <c r="L964" i="1"/>
  <c r="L967" i="1"/>
  <c r="L958" i="1"/>
  <c r="L961" i="1"/>
  <c r="L960" i="1"/>
  <c r="L965" i="1"/>
  <c r="L963" i="1"/>
  <c r="L959" i="1"/>
  <c r="L957" i="1"/>
  <c r="P1036" i="1"/>
  <c r="O1197" i="1"/>
  <c r="O1142" i="1"/>
  <c r="O1174" i="1"/>
  <c r="F1036" i="1"/>
  <c r="P1234" i="1"/>
  <c r="P881" i="1"/>
  <c r="F959" i="1"/>
  <c r="F965" i="1"/>
  <c r="F963" i="1"/>
  <c r="F960" i="1"/>
  <c r="F961" i="1"/>
  <c r="F957" i="1"/>
  <c r="F958" i="1"/>
  <c r="F964" i="1"/>
  <c r="F956" i="1"/>
  <c r="F967" i="1"/>
  <c r="L1036" i="1"/>
  <c r="P1142" i="1"/>
  <c r="P1197" i="1"/>
  <c r="P1174" i="1"/>
  <c r="P938" i="1"/>
  <c r="F1234" i="1"/>
  <c r="F881" i="1"/>
  <c r="O1036" i="1"/>
  <c r="F1174" i="1"/>
  <c r="F1197" i="1"/>
  <c r="F1142" i="1"/>
  <c r="F943" i="1"/>
  <c r="F947" i="1"/>
  <c r="F944" i="1"/>
  <c r="F938" i="1"/>
  <c r="F942" i="1"/>
  <c r="F941" i="1"/>
  <c r="F946" i="1"/>
  <c r="F950" i="1"/>
  <c r="O789" i="1" l="1"/>
  <c r="O263" i="3"/>
  <c r="N788" i="1"/>
  <c r="O295" i="3"/>
  <c r="O821" i="1"/>
  <c r="N820" i="1"/>
  <c r="N295" i="3" s="1"/>
  <c r="P977" i="1"/>
  <c r="P452" i="3" s="1"/>
  <c r="P448" i="3"/>
  <c r="N973" i="1"/>
  <c r="N448" i="3" s="1"/>
  <c r="P184" i="1"/>
  <c r="N975" i="1"/>
  <c r="N450" i="3" s="1"/>
  <c r="P450" i="3"/>
  <c r="N979" i="1"/>
  <c r="N454" i="3" s="1"/>
  <c r="P454" i="3"/>
  <c r="P185" i="1"/>
  <c r="P451" i="3"/>
  <c r="N976" i="1"/>
  <c r="N451" i="3" s="1"/>
  <c r="N980" i="1"/>
  <c r="N455" i="3" s="1"/>
  <c r="P455" i="3"/>
  <c r="N981" i="1"/>
  <c r="N456" i="3" s="1"/>
  <c r="P456" i="3"/>
  <c r="P982" i="1"/>
  <c r="P457" i="3" s="1"/>
  <c r="N978" i="1"/>
  <c r="N453" i="3" s="1"/>
  <c r="P453" i="3"/>
  <c r="D858" i="1"/>
  <c r="D333" i="3" s="1"/>
  <c r="F448" i="3"/>
  <c r="F977" i="1"/>
  <c r="F452" i="3" s="1"/>
  <c r="F455" i="3"/>
  <c r="F451" i="3"/>
  <c r="F453" i="3"/>
  <c r="F982" i="1"/>
  <c r="F457" i="3" s="1"/>
  <c r="F456" i="3"/>
  <c r="F184" i="1"/>
  <c r="F450" i="3"/>
  <c r="F185" i="1"/>
  <c r="F454" i="3"/>
  <c r="F821" i="1"/>
  <c r="F296" i="3" s="1"/>
  <c r="F295" i="3"/>
  <c r="F263" i="3"/>
  <c r="F789" i="1"/>
  <c r="F257" i="3"/>
  <c r="F785" i="1"/>
  <c r="F260" i="3" s="1"/>
  <c r="F663" i="3"/>
  <c r="F1194" i="1"/>
  <c r="F665" i="3" s="1"/>
  <c r="F706" i="3"/>
  <c r="F357" i="3"/>
  <c r="F607" i="3"/>
  <c r="F1139" i="1"/>
  <c r="F610" i="3" s="1"/>
  <c r="F695" i="3"/>
  <c r="F1225" i="1"/>
  <c r="F1171" i="1"/>
  <c r="F642" i="3" s="1"/>
  <c r="F640" i="3"/>
  <c r="H607" i="3"/>
  <c r="H357" i="3"/>
  <c r="H706" i="3"/>
  <c r="H663" i="3"/>
  <c r="H640" i="3"/>
  <c r="H695" i="3"/>
  <c r="H257" i="3"/>
  <c r="D510" i="3"/>
  <c r="D1220" i="1"/>
  <c r="D691" i="3" s="1"/>
  <c r="P287" i="3"/>
  <c r="P662" i="3"/>
  <c r="P639" i="3"/>
  <c r="P606" i="3"/>
  <c r="P339" i="3"/>
  <c r="P256" i="3"/>
  <c r="P694" i="3"/>
  <c r="P288" i="3"/>
  <c r="H450" i="3"/>
  <c r="H184" i="1"/>
  <c r="H1065" i="3" s="1"/>
  <c r="H456" i="3"/>
  <c r="H455" i="3"/>
  <c r="H453" i="3"/>
  <c r="H982" i="1"/>
  <c r="H448" i="3"/>
  <c r="H977" i="1"/>
  <c r="H452" i="3" s="1"/>
  <c r="H454" i="3"/>
  <c r="H185" i="1"/>
  <c r="H1066" i="3" s="1"/>
  <c r="H451" i="3"/>
  <c r="D499" i="3"/>
  <c r="L694" i="3"/>
  <c r="L256" i="3"/>
  <c r="L288" i="3"/>
  <c r="L639" i="3"/>
  <c r="L662" i="3"/>
  <c r="L817" i="1"/>
  <c r="L292" i="3" s="1"/>
  <c r="L287" i="3"/>
  <c r="L606" i="3"/>
  <c r="L869" i="1"/>
  <c r="L344" i="3" s="1"/>
  <c r="L339" i="3"/>
  <c r="O694" i="3"/>
  <c r="N1223" i="1"/>
  <c r="N694" i="3" s="1"/>
  <c r="N1168" i="1"/>
  <c r="N639" i="3" s="1"/>
  <c r="O639" i="3"/>
  <c r="O288" i="3"/>
  <c r="N813" i="1"/>
  <c r="N288" i="3" s="1"/>
  <c r="N864" i="1"/>
  <c r="N339" i="3" s="1"/>
  <c r="O339" i="3"/>
  <c r="N781" i="1"/>
  <c r="N256" i="3" s="1"/>
  <c r="O256" i="3"/>
  <c r="N1135" i="1"/>
  <c r="N606" i="3" s="1"/>
  <c r="O606" i="3"/>
  <c r="O662" i="3"/>
  <c r="N1191" i="1"/>
  <c r="N662" i="3" s="1"/>
  <c r="N812" i="1"/>
  <c r="N287" i="3" s="1"/>
  <c r="O287" i="3"/>
  <c r="H694" i="3"/>
  <c r="H1225" i="1"/>
  <c r="H696" i="3" s="1"/>
  <c r="H1194" i="1"/>
  <c r="H665" i="3" s="1"/>
  <c r="H662" i="3"/>
  <c r="H288" i="3"/>
  <c r="H606" i="3"/>
  <c r="H1139" i="1"/>
  <c r="H610" i="3" s="1"/>
  <c r="H1171" i="1"/>
  <c r="H642" i="3" s="1"/>
  <c r="H639" i="3"/>
  <c r="H256" i="3"/>
  <c r="H785" i="1"/>
  <c r="H260" i="3" s="1"/>
  <c r="H287" i="3"/>
  <c r="H339" i="3"/>
  <c r="O1246" i="3"/>
  <c r="I402" i="1"/>
  <c r="I1273" i="3" s="1"/>
  <c r="N460" i="1"/>
  <c r="N1330" i="3" s="1"/>
  <c r="L1290" i="3"/>
  <c r="F873" i="1"/>
  <c r="F348" i="3" s="1"/>
  <c r="F347" i="3"/>
  <c r="F699" i="3"/>
  <c r="F669" i="3"/>
  <c r="F359" i="3"/>
  <c r="F708" i="3"/>
  <c r="L1085" i="3"/>
  <c r="D460" i="1"/>
  <c r="D1330" i="3" s="1"/>
  <c r="N884" i="1"/>
  <c r="N359" i="3" s="1"/>
  <c r="O359" i="3"/>
  <c r="O669" i="3"/>
  <c r="N1198" i="1"/>
  <c r="N669" i="3" s="1"/>
  <c r="O708" i="3"/>
  <c r="N1237" i="1"/>
  <c r="N708" i="3" s="1"/>
  <c r="N1228" i="1"/>
  <c r="N699" i="3" s="1"/>
  <c r="O699" i="3"/>
  <c r="N872" i="1"/>
  <c r="N347" i="3" s="1"/>
  <c r="O347" i="3"/>
  <c r="O873" i="1"/>
  <c r="O348" i="3" s="1"/>
  <c r="L873" i="1"/>
  <c r="L348" i="3" s="1"/>
  <c r="L347" i="3"/>
  <c r="L669" i="3"/>
  <c r="L1200" i="1"/>
  <c r="L671" i="3" s="1"/>
  <c r="L699" i="3"/>
  <c r="L708" i="3"/>
  <c r="L359" i="3"/>
  <c r="I1021" i="1"/>
  <c r="I496" i="3" s="1"/>
  <c r="D374" i="1"/>
  <c r="D1245" i="3" s="1"/>
  <c r="N394" i="1"/>
  <c r="N1265" i="3" s="1"/>
  <c r="P257" i="3"/>
  <c r="P785" i="1"/>
  <c r="P260" i="3" s="1"/>
  <c r="P695" i="3"/>
  <c r="P1225" i="1"/>
  <c r="P696" i="3" s="1"/>
  <c r="P1171" i="1"/>
  <c r="P642" i="3" s="1"/>
  <c r="P640" i="3"/>
  <c r="P1194" i="1"/>
  <c r="P663" i="3"/>
  <c r="P607" i="3"/>
  <c r="P1139" i="1"/>
  <c r="P610" i="3" s="1"/>
  <c r="P357" i="3"/>
  <c r="P706" i="3"/>
  <c r="I141" i="1"/>
  <c r="I1022" i="3" s="1"/>
  <c r="I1032" i="1"/>
  <c r="I507" i="3" s="1"/>
  <c r="I281" i="3"/>
  <c r="D773" i="1"/>
  <c r="D248" i="3" s="1"/>
  <c r="D1066" i="1"/>
  <c r="X1066" i="1" s="1"/>
  <c r="N735" i="3"/>
  <c r="I812" i="1"/>
  <c r="I287" i="3" s="1"/>
  <c r="I1022" i="1"/>
  <c r="I861" i="1"/>
  <c r="I336" i="3" s="1"/>
  <c r="O1225" i="1"/>
  <c r="O695" i="3"/>
  <c r="N1224" i="1"/>
  <c r="N695" i="3" s="1"/>
  <c r="N1235" i="1"/>
  <c r="N706" i="3" s="1"/>
  <c r="O706" i="3"/>
  <c r="O607" i="3"/>
  <c r="O1139" i="1"/>
  <c r="O610" i="3" s="1"/>
  <c r="N1136" i="1"/>
  <c r="N607" i="3" s="1"/>
  <c r="O257" i="3"/>
  <c r="N782" i="1"/>
  <c r="N257" i="3" s="1"/>
  <c r="O785" i="1"/>
  <c r="O1194" i="1"/>
  <c r="O665" i="3" s="1"/>
  <c r="O663" i="3"/>
  <c r="N1192" i="1"/>
  <c r="N663" i="3" s="1"/>
  <c r="N882" i="1"/>
  <c r="N357" i="3" s="1"/>
  <c r="O357" i="3"/>
  <c r="O640" i="3"/>
  <c r="N1169" i="1"/>
  <c r="N640" i="3" s="1"/>
  <c r="O1171" i="1"/>
  <c r="L1194" i="1"/>
  <c r="L665" i="3" s="1"/>
  <c r="L663" i="3"/>
  <c r="L706" i="3"/>
  <c r="L607" i="3"/>
  <c r="L1139" i="1"/>
  <c r="L610" i="3" s="1"/>
  <c r="L1171" i="1"/>
  <c r="L642" i="3" s="1"/>
  <c r="L640" i="3"/>
  <c r="L695" i="3"/>
  <c r="L1225" i="1"/>
  <c r="L696" i="3" s="1"/>
  <c r="L357" i="3"/>
  <c r="L785" i="1"/>
  <c r="L260" i="3" s="1"/>
  <c r="L257" i="3"/>
  <c r="I1033" i="1"/>
  <c r="I809" i="1"/>
  <c r="I284" i="3" s="1"/>
  <c r="D1059" i="1"/>
  <c r="D534" i="3" s="1"/>
  <c r="D512" i="3"/>
  <c r="X1037" i="1"/>
  <c r="L411" i="1"/>
  <c r="L1282" i="3" s="1"/>
  <c r="D1044" i="3"/>
  <c r="H411" i="1"/>
  <c r="H1282" i="3" s="1"/>
  <c r="P411" i="1"/>
  <c r="P1282" i="3" s="1"/>
  <c r="O411" i="1"/>
  <c r="F411" i="1"/>
  <c r="F1282" i="3" s="1"/>
  <c r="I372" i="1"/>
  <c r="I1243" i="3" s="1"/>
  <c r="I981" i="1"/>
  <c r="I456" i="3" s="1"/>
  <c r="I973" i="1"/>
  <c r="I448" i="3" s="1"/>
  <c r="D1023" i="1"/>
  <c r="D498" i="3" s="1"/>
  <c r="I1052" i="1"/>
  <c r="I634" i="3"/>
  <c r="D1163" i="1"/>
  <c r="D634" i="3" s="1"/>
  <c r="I975" i="1"/>
  <c r="I450" i="3" s="1"/>
  <c r="D1127" i="1"/>
  <c r="D598" i="3" s="1"/>
  <c r="I375" i="1"/>
  <c r="I1246" i="3" s="1"/>
  <c r="X1025" i="1"/>
  <c r="D500" i="3"/>
  <c r="D204" i="1"/>
  <c r="L452" i="1" s="1"/>
  <c r="I978" i="1"/>
  <c r="I453" i="3" s="1"/>
  <c r="N1280" i="3"/>
  <c r="I409" i="1"/>
  <c r="I406" i="1"/>
  <c r="I1277" i="3" s="1"/>
  <c r="I1026" i="1"/>
  <c r="D1034" i="1"/>
  <c r="O1081" i="3"/>
  <c r="N200" i="1"/>
  <c r="I1266" i="3"/>
  <c r="D395" i="1"/>
  <c r="D1266" i="3" s="1"/>
  <c r="D420" i="1"/>
  <c r="D1290" i="3" s="1"/>
  <c r="F425" i="3"/>
  <c r="F951" i="1"/>
  <c r="F421" i="3"/>
  <c r="F416" i="3"/>
  <c r="F180" i="1"/>
  <c r="F417" i="3"/>
  <c r="F413" i="3"/>
  <c r="F945" i="1"/>
  <c r="F419" i="3"/>
  <c r="F181" i="1"/>
  <c r="F422" i="3"/>
  <c r="F418" i="3"/>
  <c r="F613" i="3"/>
  <c r="F1145" i="1"/>
  <c r="F668" i="3"/>
  <c r="F1200" i="1"/>
  <c r="F1177" i="1"/>
  <c r="F645" i="3"/>
  <c r="O511" i="3"/>
  <c r="N1036" i="1"/>
  <c r="N511" i="3" s="1"/>
  <c r="F356" i="3"/>
  <c r="F705" i="3"/>
  <c r="P413" i="3"/>
  <c r="P645" i="3"/>
  <c r="P1177" i="1"/>
  <c r="P668" i="3"/>
  <c r="P1200" i="1"/>
  <c r="P671" i="3" s="1"/>
  <c r="P1145" i="1"/>
  <c r="P616" i="3" s="1"/>
  <c r="P613" i="3"/>
  <c r="L511" i="3"/>
  <c r="F442" i="3"/>
  <c r="F431" i="3"/>
  <c r="F962" i="1"/>
  <c r="F183" i="1"/>
  <c r="F439" i="3"/>
  <c r="F433" i="3"/>
  <c r="F182" i="1"/>
  <c r="F432" i="3"/>
  <c r="F436" i="3"/>
  <c r="F435" i="3"/>
  <c r="F438" i="3"/>
  <c r="F968" i="1"/>
  <c r="F440" i="3"/>
  <c r="F434" i="3"/>
  <c r="P356" i="3"/>
  <c r="P705" i="3"/>
  <c r="F511" i="3"/>
  <c r="O1177" i="1"/>
  <c r="O645" i="3"/>
  <c r="N1174" i="1"/>
  <c r="O613" i="3"/>
  <c r="N1142" i="1"/>
  <c r="O1145" i="1"/>
  <c r="N1197" i="1"/>
  <c r="O668" i="3"/>
  <c r="O1200" i="1"/>
  <c r="P511" i="3"/>
  <c r="L182" i="1"/>
  <c r="L432" i="3"/>
  <c r="L434" i="3"/>
  <c r="L438" i="3"/>
  <c r="L968" i="1"/>
  <c r="L440" i="3"/>
  <c r="L435" i="3"/>
  <c r="L436" i="3"/>
  <c r="L433" i="3"/>
  <c r="L442" i="3"/>
  <c r="L183" i="1"/>
  <c r="L439" i="3"/>
  <c r="L431" i="3"/>
  <c r="L962" i="1"/>
  <c r="I1144" i="1"/>
  <c r="L615" i="3"/>
  <c r="L1145" i="1"/>
  <c r="H614" i="3"/>
  <c r="H1145" i="1"/>
  <c r="H616" i="3" s="1"/>
  <c r="D1143" i="1"/>
  <c r="D614" i="3" s="1"/>
  <c r="H646" i="3"/>
  <c r="D1175" i="1"/>
  <c r="D646" i="3" s="1"/>
  <c r="H1177" i="1"/>
  <c r="L356" i="3"/>
  <c r="L705" i="3"/>
  <c r="H418" i="3"/>
  <c r="H419" i="3"/>
  <c r="H181" i="1"/>
  <c r="H422" i="3"/>
  <c r="H945" i="1"/>
  <c r="H420" i="3" s="1"/>
  <c r="H413" i="3"/>
  <c r="H417" i="3"/>
  <c r="H951" i="1"/>
  <c r="H421" i="3"/>
  <c r="H416" i="3"/>
  <c r="H180" i="1"/>
  <c r="H425" i="3"/>
  <c r="P341" i="3"/>
  <c r="P144" i="1"/>
  <c r="P869" i="1"/>
  <c r="P344" i="3" s="1"/>
  <c r="P289" i="3"/>
  <c r="P142" i="1"/>
  <c r="P817" i="1"/>
  <c r="P292" i="3" s="1"/>
  <c r="O439" i="3"/>
  <c r="N964" i="1"/>
  <c r="N439" i="3" s="1"/>
  <c r="O183" i="1"/>
  <c r="O434" i="3"/>
  <c r="N959" i="1"/>
  <c r="N434" i="3" s="1"/>
  <c r="O436" i="3"/>
  <c r="N961" i="1"/>
  <c r="N436" i="3" s="1"/>
  <c r="O433" i="3"/>
  <c r="N958" i="1"/>
  <c r="N433" i="3" s="1"/>
  <c r="O962" i="1"/>
  <c r="O431" i="3"/>
  <c r="N956" i="1"/>
  <c r="N431" i="3" s="1"/>
  <c r="O182" i="1"/>
  <c r="O432" i="3"/>
  <c r="N957" i="1"/>
  <c r="N432" i="3" s="1"/>
  <c r="N960" i="1"/>
  <c r="N435" i="3" s="1"/>
  <c r="O435" i="3"/>
  <c r="O968" i="1"/>
  <c r="N963" i="1"/>
  <c r="N438" i="3" s="1"/>
  <c r="O438" i="3"/>
  <c r="O440" i="3"/>
  <c r="N965" i="1"/>
  <c r="N440" i="3" s="1"/>
  <c r="O442" i="3"/>
  <c r="N967" i="1"/>
  <c r="N442" i="3" s="1"/>
  <c r="O705" i="3"/>
  <c r="N1234" i="1"/>
  <c r="N705" i="3" s="1"/>
  <c r="O356" i="3"/>
  <c r="N881" i="1"/>
  <c r="L413" i="3"/>
  <c r="L945" i="1"/>
  <c r="L419" i="3"/>
  <c r="L951" i="1"/>
  <c r="L421" i="3"/>
  <c r="L416" i="3"/>
  <c r="L180" i="1"/>
  <c r="L425" i="3"/>
  <c r="L418" i="3"/>
  <c r="L417" i="3"/>
  <c r="L422" i="3"/>
  <c r="L181" i="1"/>
  <c r="H341" i="3"/>
  <c r="H869" i="1"/>
  <c r="H344" i="3" s="1"/>
  <c r="H289" i="3"/>
  <c r="H817" i="1"/>
  <c r="H292" i="3" s="1"/>
  <c r="O413" i="3"/>
  <c r="N938" i="1"/>
  <c r="N413" i="3" s="1"/>
  <c r="N814" i="1"/>
  <c r="O289" i="3"/>
  <c r="O142" i="1"/>
  <c r="O817" i="1"/>
  <c r="O341" i="3"/>
  <c r="N866" i="1"/>
  <c r="O144" i="1"/>
  <c r="O869" i="1"/>
  <c r="H511" i="3"/>
  <c r="H434" i="3"/>
  <c r="H438" i="3"/>
  <c r="H968" i="1"/>
  <c r="H431" i="3"/>
  <c r="H962" i="1"/>
  <c r="H437" i="3" s="1"/>
  <c r="H182" i="1"/>
  <c r="H432" i="3"/>
  <c r="H440" i="3"/>
  <c r="H442" i="3"/>
  <c r="H435" i="3"/>
  <c r="H436" i="3"/>
  <c r="H433" i="3"/>
  <c r="H183" i="1"/>
  <c r="H439" i="3"/>
  <c r="P436" i="3"/>
  <c r="P440" i="3"/>
  <c r="P962" i="1"/>
  <c r="P437" i="3" s="1"/>
  <c r="P431" i="3"/>
  <c r="P434" i="3"/>
  <c r="P968" i="1"/>
  <c r="P438" i="3"/>
  <c r="P435" i="3"/>
  <c r="P183" i="1"/>
  <c r="P1064" i="3" s="1"/>
  <c r="P439" i="3"/>
  <c r="P433" i="3"/>
  <c r="P442" i="3"/>
  <c r="P432" i="3"/>
  <c r="P182" i="1"/>
  <c r="H356" i="3"/>
  <c r="H705" i="3"/>
  <c r="F1271" i="3"/>
  <c r="I391" i="1"/>
  <c r="N1262" i="3"/>
  <c r="F1291" i="3"/>
  <c r="O1279" i="3"/>
  <c r="N408" i="1"/>
  <c r="N1279" i="3" s="1"/>
  <c r="I657" i="3"/>
  <c r="D1186" i="1"/>
  <c r="D657" i="3" s="1"/>
  <c r="F1264" i="3"/>
  <c r="L452" i="3"/>
  <c r="H589" i="3"/>
  <c r="H1132" i="1"/>
  <c r="H603" i="3" s="1"/>
  <c r="I820" i="1"/>
  <c r="I767" i="1"/>
  <c r="AC941" i="1"/>
  <c r="P1271" i="3"/>
  <c r="I776" i="1"/>
  <c r="P1291" i="3"/>
  <c r="L1279" i="3"/>
  <c r="F1272" i="3"/>
  <c r="I1130" i="1"/>
  <c r="D426" i="1"/>
  <c r="D1296" i="3" s="1"/>
  <c r="I1296" i="3"/>
  <c r="I1274" i="3"/>
  <c r="D403" i="1"/>
  <c r="D1274" i="3" s="1"/>
  <c r="O1248" i="3"/>
  <c r="N377" i="1"/>
  <c r="N1248" i="3" s="1"/>
  <c r="N1250" i="3"/>
  <c r="I379" i="1"/>
  <c r="I735" i="3"/>
  <c r="D1264" i="1"/>
  <c r="D735" i="3" s="1"/>
  <c r="L1288" i="3"/>
  <c r="P1264" i="3"/>
  <c r="L984" i="1"/>
  <c r="L457" i="3"/>
  <c r="I976" i="1"/>
  <c r="F984" i="1"/>
  <c r="F1066" i="3"/>
  <c r="P239" i="3"/>
  <c r="P778" i="1"/>
  <c r="P253" i="3" s="1"/>
  <c r="F696" i="3"/>
  <c r="N770" i="1"/>
  <c r="N245" i="3" s="1"/>
  <c r="O245" i="3"/>
  <c r="N1124" i="1"/>
  <c r="N595" i="3" s="1"/>
  <c r="O595" i="3"/>
  <c r="H239" i="3"/>
  <c r="H778" i="1"/>
  <c r="H253" i="3" s="1"/>
  <c r="L636" i="3"/>
  <c r="I1268" i="1"/>
  <c r="L659" i="3"/>
  <c r="I1282" i="1"/>
  <c r="I1038" i="1"/>
  <c r="P1066" i="3"/>
  <c r="I1185" i="1"/>
  <c r="I1121" i="1"/>
  <c r="O1066" i="3"/>
  <c r="N185" i="1"/>
  <c r="N1066" i="3" s="1"/>
  <c r="O1065" i="3"/>
  <c r="N184" i="1"/>
  <c r="N1065" i="3" s="1"/>
  <c r="P378" i="1"/>
  <c r="D1011" i="3"/>
  <c r="H378" i="1"/>
  <c r="F378" i="1"/>
  <c r="O378" i="1"/>
  <c r="L378" i="1"/>
  <c r="F1279" i="3"/>
  <c r="F595" i="3"/>
  <c r="F245" i="3"/>
  <c r="N263" i="3"/>
  <c r="I788" i="1"/>
  <c r="P1086" i="3"/>
  <c r="P453" i="1"/>
  <c r="O1291" i="3"/>
  <c r="N421" i="1"/>
  <c r="H384" i="1"/>
  <c r="D1017" i="3"/>
  <c r="F384" i="1"/>
  <c r="O384" i="1"/>
  <c r="P384" i="1"/>
  <c r="L384" i="1"/>
  <c r="P1279" i="3"/>
  <c r="L1272" i="3"/>
  <c r="L1293" i="3"/>
  <c r="I423" i="1"/>
  <c r="D410" i="1"/>
  <c r="D1281" i="3" s="1"/>
  <c r="H1292" i="3"/>
  <c r="D422" i="1"/>
  <c r="D1292" i="3" s="1"/>
  <c r="D1049" i="3"/>
  <c r="O416" i="1"/>
  <c r="P416" i="1"/>
  <c r="I373" i="1"/>
  <c r="F1288" i="3"/>
  <c r="O1288" i="3"/>
  <c r="N418" i="1"/>
  <c r="N1288" i="3" s="1"/>
  <c r="L1264" i="3"/>
  <c r="O239" i="3"/>
  <c r="N764" i="1"/>
  <c r="N239" i="3" s="1"/>
  <c r="O778" i="1"/>
  <c r="O659" i="3"/>
  <c r="N1188" i="1"/>
  <c r="N659" i="3" s="1"/>
  <c r="O636" i="3"/>
  <c r="N1165" i="1"/>
  <c r="N636" i="3" s="1"/>
  <c r="I979" i="1"/>
  <c r="F1065" i="3"/>
  <c r="P589" i="3"/>
  <c r="P1132" i="1"/>
  <c r="P603" i="3" s="1"/>
  <c r="H457" i="3"/>
  <c r="F589" i="3"/>
  <c r="F1132" i="1"/>
  <c r="I761" i="1"/>
  <c r="I1115" i="1"/>
  <c r="X1027" i="1"/>
  <c r="D502" i="3"/>
  <c r="O296" i="3"/>
  <c r="N821" i="1"/>
  <c r="L595" i="3"/>
  <c r="L245" i="3"/>
  <c r="H1271" i="3"/>
  <c r="P1247" i="3"/>
  <c r="O1272" i="3"/>
  <c r="N401" i="1"/>
  <c r="N1272" i="3" s="1"/>
  <c r="L1248" i="3"/>
  <c r="O1264" i="3"/>
  <c r="N393" i="1"/>
  <c r="N1264" i="3" s="1"/>
  <c r="H1083" i="3"/>
  <c r="F636" i="3"/>
  <c r="F659" i="3"/>
  <c r="N977" i="1"/>
  <c r="N452" i="3" s="1"/>
  <c r="O452" i="3"/>
  <c r="L1271" i="3"/>
  <c r="H1247" i="3"/>
  <c r="O1086" i="3"/>
  <c r="O453" i="1"/>
  <c r="N205" i="1"/>
  <c r="N1086" i="3" s="1"/>
  <c r="O1271" i="3"/>
  <c r="AB941" i="1"/>
  <c r="N400" i="1"/>
  <c r="N1271" i="3" s="1"/>
  <c r="N376" i="1"/>
  <c r="O1247" i="3"/>
  <c r="H1279" i="3"/>
  <c r="H1272" i="3"/>
  <c r="P1272" i="3"/>
  <c r="O385" i="1"/>
  <c r="D1018" i="3"/>
  <c r="L385" i="1"/>
  <c r="H385" i="1"/>
  <c r="P385" i="1"/>
  <c r="F385" i="1"/>
  <c r="H1264" i="3"/>
  <c r="O589" i="3"/>
  <c r="N1118" i="1"/>
  <c r="N589" i="3" s="1"/>
  <c r="O1132" i="1"/>
  <c r="F405" i="3"/>
  <c r="F932" i="1"/>
  <c r="D930" i="1"/>
  <c r="D405" i="3" s="1"/>
  <c r="L1066" i="3"/>
  <c r="L1065" i="3"/>
  <c r="L1083" i="3"/>
  <c r="I202" i="1"/>
  <c r="I1083" i="3" s="1"/>
  <c r="F292" i="3"/>
  <c r="F344" i="3"/>
  <c r="H1202" i="1"/>
  <c r="H568" i="3"/>
  <c r="F264" i="3"/>
  <c r="F239" i="3"/>
  <c r="F778" i="1"/>
  <c r="F253" i="3" s="1"/>
  <c r="I1161" i="1"/>
  <c r="L239" i="3"/>
  <c r="L778" i="1"/>
  <c r="I1184" i="1"/>
  <c r="L589" i="3"/>
  <c r="L1132" i="1"/>
  <c r="L603" i="3" s="1"/>
  <c r="F1083" i="3"/>
  <c r="N789" i="1"/>
  <c r="O264" i="3"/>
  <c r="P1065" i="3"/>
  <c r="P984" i="1"/>
  <c r="P459" i="3" s="1"/>
  <c r="I1162" i="1"/>
  <c r="O457" i="3"/>
  <c r="O984" i="1"/>
  <c r="H1372" i="1"/>
  <c r="H1381" i="1"/>
  <c r="H1387" i="1"/>
  <c r="H1382" i="1"/>
  <c r="H1383" i="1"/>
  <c r="H1386" i="1"/>
  <c r="H1370" i="1"/>
  <c r="H1384" i="1"/>
  <c r="H1031" i="1"/>
  <c r="H1029" i="1"/>
  <c r="H1020" i="1"/>
  <c r="H1375" i="1"/>
  <c r="H833" i="1"/>
  <c r="H1380" i="1"/>
  <c r="H1039" i="1"/>
  <c r="H1379" i="1"/>
  <c r="H1378" i="1"/>
  <c r="H1377" i="1"/>
  <c r="H1385" i="1"/>
  <c r="H1028" i="1"/>
  <c r="H1373" i="1"/>
  <c r="H1376" i="1"/>
  <c r="H1371" i="1"/>
  <c r="H1374" i="1"/>
  <c r="H1388" i="1"/>
  <c r="O1320" i="1"/>
  <c r="O1328" i="1"/>
  <c r="O1233" i="1"/>
  <c r="O1322" i="1"/>
  <c r="O1329" i="1"/>
  <c r="O831" i="1"/>
  <c r="O1330" i="1"/>
  <c r="O1334" i="1"/>
  <c r="O1323" i="1"/>
  <c r="O1339" i="1"/>
  <c r="O1331" i="1"/>
  <c r="O1335" i="1"/>
  <c r="O1327" i="1"/>
  <c r="O1337" i="1"/>
  <c r="O1321" i="1"/>
  <c r="O1338" i="1"/>
  <c r="O1325" i="1"/>
  <c r="O1336" i="1"/>
  <c r="O1342" i="1"/>
  <c r="O880" i="1"/>
  <c r="O1340" i="1"/>
  <c r="O1333" i="1"/>
  <c r="O1344" i="1"/>
  <c r="O1341" i="1"/>
  <c r="O992" i="1"/>
  <c r="O1324" i="1"/>
  <c r="O1332" i="1"/>
  <c r="O1326" i="1"/>
  <c r="O1343" i="1"/>
  <c r="O1002" i="1"/>
  <c r="O1356" i="1"/>
  <c r="O1010" i="1"/>
  <c r="O1004" i="1"/>
  <c r="O1357" i="1"/>
  <c r="O1011" i="1"/>
  <c r="O1362" i="1"/>
  <c r="O1359" i="1"/>
  <c r="O1006" i="1"/>
  <c r="O1003" i="1"/>
  <c r="O1360" i="1"/>
  <c r="O1355" i="1"/>
  <c r="O1012" i="1"/>
  <c r="O1361" i="1"/>
  <c r="O1001" i="1"/>
  <c r="O1000" i="1"/>
  <c r="O1364" i="1"/>
  <c r="O1014" i="1"/>
  <c r="O1354" i="1"/>
  <c r="O1363" i="1"/>
  <c r="O1007" i="1"/>
  <c r="O832" i="1"/>
  <c r="O1365" i="1"/>
  <c r="O1005" i="1"/>
  <c r="O1013" i="1"/>
  <c r="O1009" i="1"/>
  <c r="O1358" i="1"/>
  <c r="P1362" i="1"/>
  <c r="P1011" i="1"/>
  <c r="P1012" i="1"/>
  <c r="P1359" i="1"/>
  <c r="P1014" i="1"/>
  <c r="P1005" i="1"/>
  <c r="P1358" i="1"/>
  <c r="P1361" i="1"/>
  <c r="P1364" i="1"/>
  <c r="P1003" i="1"/>
  <c r="P1010" i="1"/>
  <c r="P1013" i="1"/>
  <c r="P1363" i="1"/>
  <c r="P1360" i="1"/>
  <c r="P1006" i="1"/>
  <c r="P1002" i="1"/>
  <c r="P1355" i="1"/>
  <c r="P1357" i="1"/>
  <c r="P1354" i="1"/>
  <c r="P1356" i="1"/>
  <c r="P1001" i="1"/>
  <c r="P1004" i="1"/>
  <c r="P1365" i="1"/>
  <c r="P1000" i="1"/>
  <c r="P1009" i="1"/>
  <c r="P1007" i="1"/>
  <c r="P832" i="1"/>
  <c r="P1063" i="1"/>
  <c r="P1056" i="1"/>
  <c r="F1028" i="1"/>
  <c r="F1372" i="1"/>
  <c r="F1374" i="1"/>
  <c r="F1375" i="1"/>
  <c r="F1384" i="1"/>
  <c r="F1382" i="1"/>
  <c r="F1031" i="1"/>
  <c r="F1377" i="1"/>
  <c r="F1381" i="1"/>
  <c r="F1387" i="1"/>
  <c r="F1370" i="1"/>
  <c r="F1386" i="1"/>
  <c r="F1371" i="1"/>
  <c r="F1029" i="1"/>
  <c r="F1388" i="1"/>
  <c r="F1376" i="1"/>
  <c r="F1380" i="1"/>
  <c r="F1020" i="1"/>
  <c r="F1373" i="1"/>
  <c r="F833" i="1"/>
  <c r="F1039" i="1"/>
  <c r="F1383" i="1"/>
  <c r="F1378" i="1"/>
  <c r="F1379" i="1"/>
  <c r="F1385" i="1"/>
  <c r="H1325" i="1"/>
  <c r="H1338" i="1"/>
  <c r="H1342" i="1"/>
  <c r="H1330" i="1"/>
  <c r="H1334" i="1"/>
  <c r="H1335" i="1"/>
  <c r="H992" i="1"/>
  <c r="H880" i="1"/>
  <c r="H1344" i="1"/>
  <c r="H1327" i="1"/>
  <c r="H1326" i="1"/>
  <c r="H1340" i="1"/>
  <c r="H1323" i="1"/>
  <c r="H1343" i="1"/>
  <c r="H1233" i="1"/>
  <c r="H1336" i="1"/>
  <c r="H1329" i="1"/>
  <c r="H1324" i="1"/>
  <c r="H1332" i="1"/>
  <c r="H1337" i="1"/>
  <c r="H1331" i="1"/>
  <c r="H1328" i="1"/>
  <c r="H1341" i="1"/>
  <c r="H1320" i="1"/>
  <c r="H1339" i="1"/>
  <c r="H1322" i="1"/>
  <c r="H1333" i="1"/>
  <c r="H1321" i="1"/>
  <c r="H831" i="1"/>
  <c r="P1337" i="1"/>
  <c r="P1322" i="1"/>
  <c r="P1326" i="1"/>
  <c r="P1332" i="1"/>
  <c r="P1338" i="1"/>
  <c r="P1328" i="1"/>
  <c r="P1330" i="1"/>
  <c r="P1340" i="1"/>
  <c r="P1329" i="1"/>
  <c r="P1342" i="1"/>
  <c r="P1341" i="1"/>
  <c r="P1344" i="1"/>
  <c r="P1324" i="1"/>
  <c r="P1233" i="1"/>
  <c r="P1331" i="1"/>
  <c r="P992" i="1"/>
  <c r="P1323" i="1"/>
  <c r="P1327" i="1"/>
  <c r="P1336" i="1"/>
  <c r="P1321" i="1"/>
  <c r="P1335" i="1"/>
  <c r="P831" i="1"/>
  <c r="P880" i="1"/>
  <c r="P1334" i="1"/>
  <c r="P1320" i="1"/>
  <c r="P1339" i="1"/>
  <c r="P1343" i="1"/>
  <c r="P1333" i="1"/>
  <c r="P1325" i="1"/>
  <c r="O1056" i="1"/>
  <c r="O1063" i="1"/>
  <c r="F1364" i="1"/>
  <c r="F1359" i="1"/>
  <c r="F1006" i="1"/>
  <c r="F1004" i="1"/>
  <c r="F1354" i="1"/>
  <c r="F1357" i="1"/>
  <c r="F1007" i="1"/>
  <c r="F1005" i="1"/>
  <c r="F1356" i="1"/>
  <c r="F1358" i="1"/>
  <c r="F1001" i="1"/>
  <c r="F1003" i="1"/>
  <c r="F1363" i="1"/>
  <c r="F1013" i="1"/>
  <c r="F1012" i="1"/>
  <c r="F1361" i="1"/>
  <c r="F1362" i="1"/>
  <c r="F1002" i="1"/>
  <c r="F1010" i="1"/>
  <c r="F1365" i="1"/>
  <c r="F832" i="1"/>
  <c r="F1000" i="1"/>
  <c r="F1009" i="1"/>
  <c r="F1014" i="1"/>
  <c r="F1355" i="1"/>
  <c r="F1360" i="1"/>
  <c r="F1011" i="1"/>
  <c r="L1375" i="1"/>
  <c r="L1378" i="1"/>
  <c r="L1387" i="1"/>
  <c r="L1373" i="1"/>
  <c r="L1376" i="1"/>
  <c r="L1384" i="1"/>
  <c r="L1381" i="1"/>
  <c r="L1031" i="1"/>
  <c r="L1379" i="1"/>
  <c r="L1380" i="1"/>
  <c r="L1372" i="1"/>
  <c r="L1371" i="1"/>
  <c r="L833" i="1"/>
  <c r="L1386" i="1"/>
  <c r="L1383" i="1"/>
  <c r="L1374" i="1"/>
  <c r="L1039" i="1"/>
  <c r="L1020" i="1"/>
  <c r="L1377" i="1"/>
  <c r="L1029" i="1"/>
  <c r="L1382" i="1"/>
  <c r="L1370" i="1"/>
  <c r="L1028" i="1"/>
  <c r="L1388" i="1"/>
  <c r="L1385" i="1"/>
  <c r="F1327" i="1"/>
  <c r="F1325" i="1"/>
  <c r="F1339" i="1"/>
  <c r="F1341" i="1"/>
  <c r="F1335" i="1"/>
  <c r="F1323" i="1"/>
  <c r="F1331" i="1"/>
  <c r="F1233" i="1"/>
  <c r="F1326" i="1"/>
  <c r="F831" i="1"/>
  <c r="F1344" i="1"/>
  <c r="F1333" i="1"/>
  <c r="F880" i="1"/>
  <c r="F1337" i="1"/>
  <c r="F1324" i="1"/>
  <c r="F1332" i="1"/>
  <c r="F1342" i="1"/>
  <c r="F1321" i="1"/>
  <c r="F1338" i="1"/>
  <c r="F1329" i="1"/>
  <c r="F1328" i="1"/>
  <c r="F1320" i="1"/>
  <c r="F992" i="1"/>
  <c r="F1343" i="1"/>
  <c r="F1340" i="1"/>
  <c r="F1330" i="1"/>
  <c r="F1334" i="1"/>
  <c r="F1322" i="1"/>
  <c r="F1336" i="1"/>
  <c r="P1381" i="1"/>
  <c r="P1372" i="1"/>
  <c r="P1373" i="1"/>
  <c r="P1378" i="1"/>
  <c r="P1039" i="1"/>
  <c r="P1382" i="1"/>
  <c r="P1375" i="1"/>
  <c r="P1379" i="1"/>
  <c r="P1383" i="1"/>
  <c r="P1376" i="1"/>
  <c r="P1388" i="1"/>
  <c r="P1387" i="1"/>
  <c r="P1384" i="1"/>
  <c r="P1028" i="1"/>
  <c r="P1370" i="1"/>
  <c r="P1374" i="1"/>
  <c r="P1380" i="1"/>
  <c r="P1031" i="1"/>
  <c r="P1385" i="1"/>
  <c r="P833" i="1"/>
  <c r="P1020" i="1"/>
  <c r="P1029" i="1"/>
  <c r="P1377" i="1"/>
  <c r="P1371" i="1"/>
  <c r="P1386" i="1"/>
  <c r="O1383" i="1"/>
  <c r="O1375" i="1"/>
  <c r="O1382" i="1"/>
  <c r="O1031" i="1"/>
  <c r="O1386" i="1"/>
  <c r="O1372" i="1"/>
  <c r="O1374" i="1"/>
  <c r="O1387" i="1"/>
  <c r="O1371" i="1"/>
  <c r="O1370" i="1"/>
  <c r="O1388" i="1"/>
  <c r="O1380" i="1"/>
  <c r="O1020" i="1"/>
  <c r="O1376" i="1"/>
  <c r="O1373" i="1"/>
  <c r="O1385" i="1"/>
  <c r="O1377" i="1"/>
  <c r="O1384" i="1"/>
  <c r="O1379" i="1"/>
  <c r="O1028" i="1"/>
  <c r="O833" i="1"/>
  <c r="O1381" i="1"/>
  <c r="O1039" i="1"/>
  <c r="O1378" i="1"/>
  <c r="O1029" i="1"/>
  <c r="L1336" i="1"/>
  <c r="L1327" i="1"/>
  <c r="L1325" i="1"/>
  <c r="L1344" i="1"/>
  <c r="L1331" i="1"/>
  <c r="L1340" i="1"/>
  <c r="L1342" i="1"/>
  <c r="L1339" i="1"/>
  <c r="L1328" i="1"/>
  <c r="L1233" i="1"/>
  <c r="L992" i="1"/>
  <c r="L1341" i="1"/>
  <c r="L1320" i="1"/>
  <c r="L1332" i="1"/>
  <c r="L831" i="1"/>
  <c r="L1322" i="1"/>
  <c r="L1324" i="1"/>
  <c r="L1321" i="1"/>
  <c r="L1334" i="1"/>
  <c r="L1343" i="1"/>
  <c r="L1323" i="1"/>
  <c r="L1338" i="1"/>
  <c r="L1330" i="1"/>
  <c r="L1333" i="1"/>
  <c r="L1335" i="1"/>
  <c r="L1326" i="1"/>
  <c r="L1337" i="1"/>
  <c r="L1329" i="1"/>
  <c r="L880" i="1"/>
  <c r="O940" i="1"/>
  <c r="O1094" i="1"/>
  <c r="L1355" i="1"/>
  <c r="L1007" i="1"/>
  <c r="L1006" i="1"/>
  <c r="L1362" i="1"/>
  <c r="L1363" i="1"/>
  <c r="L1001" i="1"/>
  <c r="L832" i="1"/>
  <c r="L1354" i="1"/>
  <c r="L1010" i="1"/>
  <c r="L1361" i="1"/>
  <c r="L1364" i="1"/>
  <c r="L1358" i="1"/>
  <c r="L1005" i="1"/>
  <c r="L1014" i="1"/>
  <c r="L1357" i="1"/>
  <c r="L1365" i="1"/>
  <c r="L1360" i="1"/>
  <c r="L1009" i="1"/>
  <c r="L1003" i="1"/>
  <c r="L1013" i="1"/>
  <c r="L1000" i="1"/>
  <c r="L1004" i="1"/>
  <c r="L1359" i="1"/>
  <c r="L1356" i="1"/>
  <c r="L1011" i="1"/>
  <c r="L1012" i="1"/>
  <c r="L1002" i="1"/>
  <c r="P1094" i="1"/>
  <c r="P940" i="1"/>
  <c r="H1004" i="1"/>
  <c r="H1012" i="1"/>
  <c r="H1003" i="1"/>
  <c r="H1357" i="1"/>
  <c r="H1005" i="1"/>
  <c r="H1000" i="1"/>
  <c r="H1006" i="1"/>
  <c r="H1355" i="1"/>
  <c r="H1363" i="1"/>
  <c r="H1358" i="1"/>
  <c r="H1013" i="1"/>
  <c r="H1014" i="1"/>
  <c r="H1360" i="1"/>
  <c r="H1010" i="1"/>
  <c r="H1356" i="1"/>
  <c r="H1001" i="1"/>
  <c r="H1007" i="1"/>
  <c r="H1362" i="1"/>
  <c r="H1365" i="1"/>
  <c r="H832" i="1"/>
  <c r="H1011" i="1"/>
  <c r="H1009" i="1"/>
  <c r="H1359" i="1"/>
  <c r="H1361" i="1"/>
  <c r="H1364" i="1"/>
  <c r="H1002" i="1"/>
  <c r="H1354" i="1"/>
  <c r="N982" i="1" l="1"/>
  <c r="N457" i="3" s="1"/>
  <c r="I864" i="1"/>
  <c r="I980" i="1"/>
  <c r="D980" i="1" s="1"/>
  <c r="D861" i="1"/>
  <c r="D336" i="3" s="1"/>
  <c r="I1135" i="1"/>
  <c r="D402" i="1"/>
  <c r="D1273" i="3" s="1"/>
  <c r="D541" i="3"/>
  <c r="I1168" i="1"/>
  <c r="D1168" i="1" s="1"/>
  <c r="D639" i="3" s="1"/>
  <c r="I781" i="1"/>
  <c r="N1171" i="1"/>
  <c r="N642" i="3" s="1"/>
  <c r="D1021" i="1"/>
  <c r="D496" i="3" s="1"/>
  <c r="H984" i="1"/>
  <c r="H459" i="3" s="1"/>
  <c r="I1192" i="1"/>
  <c r="I663" i="3" s="1"/>
  <c r="D812" i="1"/>
  <c r="D287" i="3" s="1"/>
  <c r="F1202" i="1"/>
  <c r="F673" i="3" s="1"/>
  <c r="I1223" i="1"/>
  <c r="I694" i="3" s="1"/>
  <c r="I1191" i="1"/>
  <c r="I662" i="3" s="1"/>
  <c r="I813" i="1"/>
  <c r="D813" i="1" s="1"/>
  <c r="D288" i="3" s="1"/>
  <c r="I884" i="1"/>
  <c r="I359" i="3" s="1"/>
  <c r="D141" i="1"/>
  <c r="O389" i="1" s="1"/>
  <c r="N1225" i="1"/>
  <c r="N696" i="3" s="1"/>
  <c r="I394" i="1"/>
  <c r="I1265" i="3" s="1"/>
  <c r="N1194" i="1"/>
  <c r="N665" i="3" s="1"/>
  <c r="X1059" i="1"/>
  <c r="I1237" i="1"/>
  <c r="I708" i="3" s="1"/>
  <c r="X1023" i="1"/>
  <c r="I872" i="1"/>
  <c r="I347" i="3" s="1"/>
  <c r="D978" i="1"/>
  <c r="D453" i="3" s="1"/>
  <c r="I184" i="1"/>
  <c r="I1065" i="3" s="1"/>
  <c r="I1198" i="1"/>
  <c r="D1198" i="1" s="1"/>
  <c r="D669" i="3" s="1"/>
  <c r="N1139" i="1"/>
  <c r="N610" i="3" s="1"/>
  <c r="D372" i="1"/>
  <c r="D1243" i="3" s="1"/>
  <c r="I1118" i="1"/>
  <c r="D1118" i="1" s="1"/>
  <c r="D589" i="3" s="1"/>
  <c r="I1228" i="1"/>
  <c r="D1228" i="1" s="1"/>
  <c r="D699" i="3" s="1"/>
  <c r="N873" i="1"/>
  <c r="N348" i="3" s="1"/>
  <c r="D1032" i="1"/>
  <c r="X1032" i="1" s="1"/>
  <c r="N785" i="1"/>
  <c r="I785" i="1" s="1"/>
  <c r="I260" i="3" s="1"/>
  <c r="D981" i="1"/>
  <c r="D456" i="3" s="1"/>
  <c r="L1202" i="1"/>
  <c r="L581" i="1" s="1"/>
  <c r="O696" i="3"/>
  <c r="D975" i="1"/>
  <c r="X975" i="1" s="1"/>
  <c r="I185" i="1"/>
  <c r="I1066" i="3" s="1"/>
  <c r="P665" i="3"/>
  <c r="D809" i="1"/>
  <c r="D284" i="3" s="1"/>
  <c r="O1179" i="1"/>
  <c r="O574" i="1" s="1"/>
  <c r="I882" i="1"/>
  <c r="I357" i="3" s="1"/>
  <c r="D1022" i="1"/>
  <c r="I497" i="3"/>
  <c r="L1179" i="1"/>
  <c r="L650" i="3" s="1"/>
  <c r="I782" i="1"/>
  <c r="D782" i="1" s="1"/>
  <c r="D257" i="3" s="1"/>
  <c r="I1169" i="1"/>
  <c r="D1169" i="1" s="1"/>
  <c r="D640" i="3" s="1"/>
  <c r="N260" i="3"/>
  <c r="O260" i="3"/>
  <c r="O642" i="3"/>
  <c r="O1202" i="1"/>
  <c r="O673" i="3" s="1"/>
  <c r="I1235" i="1"/>
  <c r="I1136" i="1"/>
  <c r="D202" i="1"/>
  <c r="H450" i="1" s="1"/>
  <c r="H1320" i="3" s="1"/>
  <c r="I418" i="1"/>
  <c r="I1288" i="3" s="1"/>
  <c r="I508" i="3"/>
  <c r="D1033" i="1"/>
  <c r="H452" i="1"/>
  <c r="H1322" i="3" s="1"/>
  <c r="I1224" i="1"/>
  <c r="O1282" i="3"/>
  <c r="N411" i="1"/>
  <c r="N1282" i="3" s="1"/>
  <c r="P1202" i="1"/>
  <c r="P581" i="1" s="1"/>
  <c r="P57" i="3" s="1"/>
  <c r="D1085" i="3"/>
  <c r="I764" i="1"/>
  <c r="I239" i="3" s="1"/>
  <c r="F452" i="1"/>
  <c r="F1322" i="3" s="1"/>
  <c r="D1052" i="1"/>
  <c r="D527" i="3" s="1"/>
  <c r="I527" i="3"/>
  <c r="D375" i="1"/>
  <c r="D1246" i="3" s="1"/>
  <c r="I408" i="1"/>
  <c r="D408" i="1" s="1"/>
  <c r="D1279" i="3" s="1"/>
  <c r="D973" i="1"/>
  <c r="I960" i="1"/>
  <c r="I435" i="3" s="1"/>
  <c r="X1034" i="1"/>
  <c r="D509" i="3"/>
  <c r="D406" i="1"/>
  <c r="D1277" i="3" s="1"/>
  <c r="I958" i="1"/>
  <c r="I433" i="3" s="1"/>
  <c r="I501" i="3"/>
  <c r="D1026" i="1"/>
  <c r="N1081" i="3"/>
  <c r="I200" i="1"/>
  <c r="I377" i="1"/>
  <c r="I1248" i="3" s="1"/>
  <c r="I956" i="1"/>
  <c r="I431" i="3" s="1"/>
  <c r="I963" i="1"/>
  <c r="I438" i="3" s="1"/>
  <c r="D409" i="1"/>
  <c r="D1280" i="3" s="1"/>
  <c r="I1280" i="3"/>
  <c r="H822" i="3"/>
  <c r="H1367" i="1"/>
  <c r="H477" i="3"/>
  <c r="H832" i="3"/>
  <c r="H829" i="3"/>
  <c r="H827" i="3"/>
  <c r="H1015" i="1"/>
  <c r="H490" i="3" s="1"/>
  <c r="H484" i="3"/>
  <c r="H486" i="3"/>
  <c r="H307" i="3"/>
  <c r="H833" i="3"/>
  <c r="H830" i="3"/>
  <c r="H482" i="3"/>
  <c r="H192" i="1"/>
  <c r="H476" i="3"/>
  <c r="H824" i="3"/>
  <c r="H485" i="3"/>
  <c r="H193" i="1"/>
  <c r="H190" i="1"/>
  <c r="H186" i="1"/>
  <c r="H188" i="1"/>
  <c r="H189" i="1"/>
  <c r="H187" i="1"/>
  <c r="H828" i="3"/>
  <c r="H191" i="1"/>
  <c r="H489" i="3"/>
  <c r="H488" i="3"/>
  <c r="H826" i="3"/>
  <c r="H831" i="3"/>
  <c r="H823" i="3"/>
  <c r="H481" i="3"/>
  <c r="H475" i="3"/>
  <c r="H480" i="3"/>
  <c r="H825" i="3"/>
  <c r="H478" i="3"/>
  <c r="H487" i="3"/>
  <c r="H479" i="3"/>
  <c r="P415" i="3"/>
  <c r="P1097" i="1"/>
  <c r="P568" i="3" s="1"/>
  <c r="P565" i="3"/>
  <c r="L477" i="3"/>
  <c r="L487" i="3"/>
  <c r="L486" i="3"/>
  <c r="L824" i="3"/>
  <c r="L827" i="3"/>
  <c r="L479" i="3"/>
  <c r="L475" i="3"/>
  <c r="L488" i="3"/>
  <c r="L478" i="3"/>
  <c r="L1015" i="1"/>
  <c r="L484" i="3"/>
  <c r="L187" i="1"/>
  <c r="L191" i="1"/>
  <c r="L186" i="1"/>
  <c r="L828" i="3"/>
  <c r="L188" i="1"/>
  <c r="L190" i="1"/>
  <c r="L189" i="1"/>
  <c r="L833" i="3"/>
  <c r="L825" i="3"/>
  <c r="L489" i="3"/>
  <c r="L480" i="3"/>
  <c r="L826" i="3"/>
  <c r="L832" i="3"/>
  <c r="L829" i="3"/>
  <c r="L485" i="3"/>
  <c r="L193" i="1"/>
  <c r="L1367" i="1"/>
  <c r="L822" i="3"/>
  <c r="L307" i="3"/>
  <c r="L192" i="1"/>
  <c r="L476" i="3"/>
  <c r="L831" i="3"/>
  <c r="L830" i="3"/>
  <c r="L481" i="3"/>
  <c r="L482" i="3"/>
  <c r="L823" i="3"/>
  <c r="O1097" i="1"/>
  <c r="O565" i="3"/>
  <c r="N1094" i="1"/>
  <c r="O415" i="3"/>
  <c r="N940" i="1"/>
  <c r="L355" i="3"/>
  <c r="L797" i="3"/>
  <c r="L805" i="3"/>
  <c r="L794" i="3"/>
  <c r="L803" i="3"/>
  <c r="L801" i="3"/>
  <c r="L798" i="3"/>
  <c r="L806" i="3"/>
  <c r="L791" i="3"/>
  <c r="L811" i="3"/>
  <c r="L802" i="3"/>
  <c r="L789" i="3"/>
  <c r="L792" i="3"/>
  <c r="L790" i="3"/>
  <c r="L306" i="3"/>
  <c r="L800" i="3"/>
  <c r="L788" i="3"/>
  <c r="L1346" i="1"/>
  <c r="L809" i="3"/>
  <c r="L467" i="3"/>
  <c r="L704" i="3"/>
  <c r="L796" i="3"/>
  <c r="L807" i="3"/>
  <c r="L810" i="3"/>
  <c r="L808" i="3"/>
  <c r="L799" i="3"/>
  <c r="L812" i="3"/>
  <c r="L793" i="3"/>
  <c r="L795" i="3"/>
  <c r="L804" i="3"/>
  <c r="O504" i="3"/>
  <c r="N1029" i="1"/>
  <c r="N1378" i="1"/>
  <c r="N846" i="3" s="1"/>
  <c r="O846" i="3"/>
  <c r="O514" i="3"/>
  <c r="N1039" i="1"/>
  <c r="N514" i="3" s="1"/>
  <c r="O197" i="1"/>
  <c r="N1381" i="1"/>
  <c r="I1381" i="1" s="1"/>
  <c r="D1381" i="1" s="1"/>
  <c r="X1381" i="1" s="1"/>
  <c r="O308" i="3"/>
  <c r="N833" i="1"/>
  <c r="N308" i="3" s="1"/>
  <c r="N1028" i="1"/>
  <c r="N503" i="3" s="1"/>
  <c r="O503" i="3"/>
  <c r="O196" i="1"/>
  <c r="N1379" i="1"/>
  <c r="N847" i="3" s="1"/>
  <c r="O847" i="3"/>
  <c r="N1384" i="1"/>
  <c r="N851" i="3" s="1"/>
  <c r="O851" i="3"/>
  <c r="N1377" i="1"/>
  <c r="N845" i="3" s="1"/>
  <c r="O845" i="3"/>
  <c r="O852" i="3"/>
  <c r="N1385" i="1"/>
  <c r="N852" i="3" s="1"/>
  <c r="N1373" i="1"/>
  <c r="N841" i="3" s="1"/>
  <c r="O841" i="3"/>
  <c r="O844" i="3"/>
  <c r="N1376" i="1"/>
  <c r="N844" i="3" s="1"/>
  <c r="N1020" i="1"/>
  <c r="N495" i="3" s="1"/>
  <c r="O495" i="3"/>
  <c r="O1030" i="1"/>
  <c r="N1380" i="1"/>
  <c r="N848" i="3" s="1"/>
  <c r="O848" i="3"/>
  <c r="N1388" i="1"/>
  <c r="N855" i="3" s="1"/>
  <c r="O855" i="3"/>
  <c r="N1370" i="1"/>
  <c r="N838" i="3" s="1"/>
  <c r="O1390" i="1"/>
  <c r="O838" i="3"/>
  <c r="O839" i="3"/>
  <c r="N1371" i="1"/>
  <c r="O854" i="3"/>
  <c r="N1387" i="1"/>
  <c r="N854" i="3" s="1"/>
  <c r="N1374" i="1"/>
  <c r="N842" i="3" s="1"/>
  <c r="O842" i="3"/>
  <c r="O840" i="3"/>
  <c r="N1372" i="1"/>
  <c r="N840" i="3" s="1"/>
  <c r="O853" i="3"/>
  <c r="N1386" i="1"/>
  <c r="N853" i="3" s="1"/>
  <c r="O506" i="3"/>
  <c r="N1031" i="1"/>
  <c r="N506" i="3" s="1"/>
  <c r="O1040" i="1"/>
  <c r="O849" i="3"/>
  <c r="N1382" i="1"/>
  <c r="N849" i="3" s="1"/>
  <c r="O843" i="3"/>
  <c r="N1375" i="1"/>
  <c r="N843" i="3" s="1"/>
  <c r="N1383" i="1"/>
  <c r="N850" i="3" s="1"/>
  <c r="O850" i="3"/>
  <c r="P853" i="3"/>
  <c r="P839" i="3"/>
  <c r="P845" i="3"/>
  <c r="P504" i="3"/>
  <c r="P1030" i="1"/>
  <c r="P505" i="3" s="1"/>
  <c r="P495" i="3"/>
  <c r="P308" i="3"/>
  <c r="P852" i="3"/>
  <c r="P506" i="3"/>
  <c r="P1040" i="1"/>
  <c r="P848" i="3"/>
  <c r="P842" i="3"/>
  <c r="P1390" i="1"/>
  <c r="P838" i="3"/>
  <c r="P503" i="3"/>
  <c r="P196" i="1"/>
  <c r="P851" i="3"/>
  <c r="P854" i="3"/>
  <c r="P855" i="3"/>
  <c r="P844" i="3"/>
  <c r="P850" i="3"/>
  <c r="P847" i="3"/>
  <c r="P843" i="3"/>
  <c r="P849" i="3"/>
  <c r="P514" i="3"/>
  <c r="P197" i="1"/>
  <c r="P846" i="3"/>
  <c r="P841" i="3"/>
  <c r="P840" i="3"/>
  <c r="F804" i="3"/>
  <c r="F790" i="3"/>
  <c r="F802" i="3"/>
  <c r="F798" i="3"/>
  <c r="F808" i="3"/>
  <c r="F811" i="3"/>
  <c r="F467" i="3"/>
  <c r="F1346" i="1"/>
  <c r="F788" i="3"/>
  <c r="F796" i="3"/>
  <c r="F797" i="3"/>
  <c r="F806" i="3"/>
  <c r="F789" i="3"/>
  <c r="F810" i="3"/>
  <c r="F800" i="3"/>
  <c r="F792" i="3"/>
  <c r="F805" i="3"/>
  <c r="F355" i="3"/>
  <c r="F801" i="3"/>
  <c r="F812" i="3"/>
  <c r="F306" i="3"/>
  <c r="F794" i="3"/>
  <c r="F704" i="3"/>
  <c r="F799" i="3"/>
  <c r="F791" i="3"/>
  <c r="F803" i="3"/>
  <c r="F809" i="3"/>
  <c r="F807" i="3"/>
  <c r="F793" i="3"/>
  <c r="F795" i="3"/>
  <c r="L852" i="3"/>
  <c r="L855" i="3"/>
  <c r="L503" i="3"/>
  <c r="L196" i="1"/>
  <c r="L838" i="3"/>
  <c r="L1390" i="1"/>
  <c r="L849" i="3"/>
  <c r="L504" i="3"/>
  <c r="L845" i="3"/>
  <c r="L495" i="3"/>
  <c r="L1030" i="1"/>
  <c r="L514" i="3"/>
  <c r="L197" i="1"/>
  <c r="L842" i="3"/>
  <c r="L850" i="3"/>
  <c r="L853" i="3"/>
  <c r="L308" i="3"/>
  <c r="L839" i="3"/>
  <c r="L840" i="3"/>
  <c r="L848" i="3"/>
  <c r="L847" i="3"/>
  <c r="L1040" i="1"/>
  <c r="L506" i="3"/>
  <c r="L851" i="3"/>
  <c r="L844" i="3"/>
  <c r="L841" i="3"/>
  <c r="L854" i="3"/>
  <c r="L846" i="3"/>
  <c r="L843" i="3"/>
  <c r="F486" i="3"/>
  <c r="F187" i="1"/>
  <c r="F828" i="3"/>
  <c r="F190" i="1"/>
  <c r="F188" i="1"/>
  <c r="F189" i="1"/>
  <c r="F191" i="1"/>
  <c r="F186" i="1"/>
  <c r="F823" i="3"/>
  <c r="F489" i="3"/>
  <c r="F1015" i="1"/>
  <c r="F484" i="3"/>
  <c r="F475" i="3"/>
  <c r="F307" i="3"/>
  <c r="F833" i="3"/>
  <c r="F193" i="1"/>
  <c r="F485" i="3"/>
  <c r="F477" i="3"/>
  <c r="F830" i="3"/>
  <c r="F829" i="3"/>
  <c r="F487" i="3"/>
  <c r="F488" i="3"/>
  <c r="F831" i="3"/>
  <c r="F478" i="3"/>
  <c r="F476" i="3"/>
  <c r="F192" i="1"/>
  <c r="F826" i="3"/>
  <c r="F824" i="3"/>
  <c r="F480" i="3"/>
  <c r="F482" i="3"/>
  <c r="F825" i="3"/>
  <c r="F822" i="3"/>
  <c r="F1367" i="1"/>
  <c r="F479" i="3"/>
  <c r="F481" i="3"/>
  <c r="F827" i="3"/>
  <c r="F832" i="3"/>
  <c r="N1063" i="1"/>
  <c r="N538" i="3" s="1"/>
  <c r="O538" i="3"/>
  <c r="O1067" i="1"/>
  <c r="N1056" i="1"/>
  <c r="N531" i="3" s="1"/>
  <c r="O531" i="3"/>
  <c r="O1060" i="1"/>
  <c r="P793" i="3"/>
  <c r="P801" i="3"/>
  <c r="P811" i="3"/>
  <c r="P807" i="3"/>
  <c r="P1346" i="1"/>
  <c r="P788" i="3"/>
  <c r="P802" i="3"/>
  <c r="P355" i="3"/>
  <c r="P306" i="3"/>
  <c r="P803" i="3"/>
  <c r="P789" i="3"/>
  <c r="P804" i="3"/>
  <c r="P795" i="3"/>
  <c r="P791" i="3"/>
  <c r="P467" i="3"/>
  <c r="P799" i="3"/>
  <c r="P704" i="3"/>
  <c r="P792" i="3"/>
  <c r="P812" i="3"/>
  <c r="P809" i="3"/>
  <c r="P810" i="3"/>
  <c r="P797" i="3"/>
  <c r="P808" i="3"/>
  <c r="P798" i="3"/>
  <c r="P796" i="3"/>
  <c r="P806" i="3"/>
  <c r="P800" i="3"/>
  <c r="P794" i="3"/>
  <c r="P790" i="3"/>
  <c r="P805" i="3"/>
  <c r="H306" i="3"/>
  <c r="H789" i="3"/>
  <c r="H801" i="3"/>
  <c r="H790" i="3"/>
  <c r="H807" i="3"/>
  <c r="H788" i="3"/>
  <c r="H1346" i="1"/>
  <c r="H809" i="3"/>
  <c r="H796" i="3"/>
  <c r="H799" i="3"/>
  <c r="H805" i="3"/>
  <c r="H800" i="3"/>
  <c r="H792" i="3"/>
  <c r="H797" i="3"/>
  <c r="H804" i="3"/>
  <c r="H704" i="3"/>
  <c r="H811" i="3"/>
  <c r="H791" i="3"/>
  <c r="H808" i="3"/>
  <c r="H794" i="3"/>
  <c r="H795" i="3"/>
  <c r="H812" i="3"/>
  <c r="H355" i="3"/>
  <c r="H467" i="3"/>
  <c r="H803" i="3"/>
  <c r="H802" i="3"/>
  <c r="H798" i="3"/>
  <c r="H810" i="3"/>
  <c r="H806" i="3"/>
  <c r="H793" i="3"/>
  <c r="F852" i="3"/>
  <c r="F847" i="3"/>
  <c r="F846" i="3"/>
  <c r="F850" i="3"/>
  <c r="F514" i="3"/>
  <c r="F197" i="1"/>
  <c r="F308" i="3"/>
  <c r="F841" i="3"/>
  <c r="F1030" i="1"/>
  <c r="F495" i="3"/>
  <c r="F848" i="3"/>
  <c r="F844" i="3"/>
  <c r="F855" i="3"/>
  <c r="F504" i="3"/>
  <c r="F839" i="3"/>
  <c r="F853" i="3"/>
  <c r="F1390" i="1"/>
  <c r="F838" i="3"/>
  <c r="F854" i="3"/>
  <c r="F845" i="3"/>
  <c r="F1040" i="1"/>
  <c r="F506" i="3"/>
  <c r="F849" i="3"/>
  <c r="F851" i="3"/>
  <c r="F843" i="3"/>
  <c r="F842" i="3"/>
  <c r="F840" i="3"/>
  <c r="F503" i="3"/>
  <c r="F196" i="1"/>
  <c r="P1060" i="1"/>
  <c r="P531" i="3"/>
  <c r="P1067" i="1"/>
  <c r="P542" i="3" s="1"/>
  <c r="P538" i="3"/>
  <c r="P307" i="3"/>
  <c r="P482" i="3"/>
  <c r="P1015" i="1"/>
  <c r="P490" i="3" s="1"/>
  <c r="P484" i="3"/>
  <c r="P475" i="3"/>
  <c r="P833" i="3"/>
  <c r="P479" i="3"/>
  <c r="P476" i="3"/>
  <c r="P192" i="1"/>
  <c r="P824" i="3"/>
  <c r="P1367" i="1"/>
  <c r="P822" i="3"/>
  <c r="P825" i="3"/>
  <c r="P823" i="3"/>
  <c r="P477" i="3"/>
  <c r="P481" i="3"/>
  <c r="P191" i="1"/>
  <c r="P189" i="1"/>
  <c r="P187" i="1"/>
  <c r="P190" i="1"/>
  <c r="P828" i="3"/>
  <c r="P186" i="1"/>
  <c r="P188" i="1"/>
  <c r="P831" i="3"/>
  <c r="P488" i="3"/>
  <c r="P485" i="3"/>
  <c r="P193" i="1"/>
  <c r="P478" i="3"/>
  <c r="P832" i="3"/>
  <c r="P829" i="3"/>
  <c r="P826" i="3"/>
  <c r="P480" i="3"/>
  <c r="P489" i="3"/>
  <c r="P827" i="3"/>
  <c r="P487" i="3"/>
  <c r="P486" i="3"/>
  <c r="P830" i="3"/>
  <c r="O826" i="3"/>
  <c r="N1358" i="1"/>
  <c r="N826" i="3" s="1"/>
  <c r="O484" i="3"/>
  <c r="O1015" i="1"/>
  <c r="O490" i="3" s="1"/>
  <c r="N1009" i="1"/>
  <c r="O488" i="3"/>
  <c r="N1013" i="1"/>
  <c r="N488" i="3" s="1"/>
  <c r="O480" i="3"/>
  <c r="N1005" i="1"/>
  <c r="N480" i="3" s="1"/>
  <c r="O833" i="3"/>
  <c r="N1365" i="1"/>
  <c r="N833" i="3" s="1"/>
  <c r="O307" i="3"/>
  <c r="N832" i="1"/>
  <c r="N307" i="3" s="1"/>
  <c r="O482" i="3"/>
  <c r="N1007" i="1"/>
  <c r="N482" i="3" s="1"/>
  <c r="O831" i="3"/>
  <c r="N1363" i="1"/>
  <c r="N831" i="3" s="1"/>
  <c r="O1367" i="1"/>
  <c r="O822" i="3"/>
  <c r="N1354" i="1"/>
  <c r="O489" i="3"/>
  <c r="N1014" i="1"/>
  <c r="N489" i="3" s="1"/>
  <c r="O832" i="3"/>
  <c r="N1364" i="1"/>
  <c r="N832" i="3" s="1"/>
  <c r="O475" i="3"/>
  <c r="N1000" i="1"/>
  <c r="N475" i="3" s="1"/>
  <c r="O476" i="3"/>
  <c r="O192" i="1"/>
  <c r="N1001" i="1"/>
  <c r="N476" i="3" s="1"/>
  <c r="O829" i="3"/>
  <c r="N1361" i="1"/>
  <c r="N829" i="3" s="1"/>
  <c r="O487" i="3"/>
  <c r="N1012" i="1"/>
  <c r="N487" i="3" s="1"/>
  <c r="O823" i="3"/>
  <c r="N1355" i="1"/>
  <c r="N823" i="3" s="1"/>
  <c r="O190" i="1"/>
  <c r="O187" i="1"/>
  <c r="O191" i="1"/>
  <c r="O189" i="1"/>
  <c r="O188" i="1"/>
  <c r="O828" i="3"/>
  <c r="O186" i="1"/>
  <c r="N1360" i="1"/>
  <c r="N828" i="3" s="1"/>
  <c r="O478" i="3"/>
  <c r="N1003" i="1"/>
  <c r="N478" i="3" s="1"/>
  <c r="O481" i="3"/>
  <c r="N1006" i="1"/>
  <c r="N481" i="3" s="1"/>
  <c r="O827" i="3"/>
  <c r="N1359" i="1"/>
  <c r="N827" i="3" s="1"/>
  <c r="O830" i="3"/>
  <c r="N1362" i="1"/>
  <c r="N830" i="3" s="1"/>
  <c r="O486" i="3"/>
  <c r="N1011" i="1"/>
  <c r="N486" i="3" s="1"/>
  <c r="O825" i="3"/>
  <c r="N1357" i="1"/>
  <c r="N825" i="3" s="1"/>
  <c r="O479" i="3"/>
  <c r="N1004" i="1"/>
  <c r="N479" i="3" s="1"/>
  <c r="O485" i="3"/>
  <c r="O193" i="1"/>
  <c r="N1010" i="1"/>
  <c r="N485" i="3" s="1"/>
  <c r="O824" i="3"/>
  <c r="N1356" i="1"/>
  <c r="N824" i="3" s="1"/>
  <c r="O477" i="3"/>
  <c r="N1002" i="1"/>
  <c r="N477" i="3" s="1"/>
  <c r="N1343" i="1"/>
  <c r="N811" i="3" s="1"/>
  <c r="O811" i="3"/>
  <c r="N1326" i="1"/>
  <c r="N794" i="3" s="1"/>
  <c r="O794" i="3"/>
  <c r="O800" i="3"/>
  <c r="N1332" i="1"/>
  <c r="N800" i="3" s="1"/>
  <c r="N1324" i="1"/>
  <c r="N792" i="3" s="1"/>
  <c r="O792" i="3"/>
  <c r="O467" i="3"/>
  <c r="N992" i="1"/>
  <c r="N467" i="3" s="1"/>
  <c r="N1341" i="1"/>
  <c r="N809" i="3" s="1"/>
  <c r="O809" i="3"/>
  <c r="N1344" i="1"/>
  <c r="N812" i="3" s="1"/>
  <c r="O812" i="3"/>
  <c r="O801" i="3"/>
  <c r="N1333" i="1"/>
  <c r="N801" i="3" s="1"/>
  <c r="N1340" i="1"/>
  <c r="N808" i="3" s="1"/>
  <c r="O808" i="3"/>
  <c r="N880" i="1"/>
  <c r="N355" i="3" s="1"/>
  <c r="O355" i="3"/>
  <c r="N1342" i="1"/>
  <c r="N810" i="3" s="1"/>
  <c r="O810" i="3"/>
  <c r="N1336" i="1"/>
  <c r="N804" i="3" s="1"/>
  <c r="O804" i="3"/>
  <c r="O793" i="3"/>
  <c r="N1325" i="1"/>
  <c r="N793" i="3" s="1"/>
  <c r="O806" i="3"/>
  <c r="N1338" i="1"/>
  <c r="N806" i="3" s="1"/>
  <c r="N1321" i="1"/>
  <c r="N789" i="3" s="1"/>
  <c r="O789" i="3"/>
  <c r="O805" i="3"/>
  <c r="N1337" i="1"/>
  <c r="N805" i="3" s="1"/>
  <c r="N1327" i="1"/>
  <c r="N795" i="3" s="1"/>
  <c r="O795" i="3"/>
  <c r="N1335" i="1"/>
  <c r="N803" i="3" s="1"/>
  <c r="O803" i="3"/>
  <c r="N1331" i="1"/>
  <c r="N799" i="3" s="1"/>
  <c r="O799" i="3"/>
  <c r="O807" i="3"/>
  <c r="N1339" i="1"/>
  <c r="N807" i="3" s="1"/>
  <c r="N1323" i="1"/>
  <c r="N791" i="3" s="1"/>
  <c r="O791" i="3"/>
  <c r="N1334" i="1"/>
  <c r="N802" i="3" s="1"/>
  <c r="O802" i="3"/>
  <c r="O798" i="3"/>
  <c r="N1330" i="1"/>
  <c r="N798" i="3" s="1"/>
  <c r="O306" i="3"/>
  <c r="N831" i="1"/>
  <c r="N306" i="3" s="1"/>
  <c r="O797" i="3"/>
  <c r="N1329" i="1"/>
  <c r="N797" i="3" s="1"/>
  <c r="N1322" i="1"/>
  <c r="N790" i="3" s="1"/>
  <c r="O790" i="3"/>
  <c r="O704" i="3"/>
  <c r="N1233" i="1"/>
  <c r="N704" i="3" s="1"/>
  <c r="O796" i="3"/>
  <c r="N1328" i="1"/>
  <c r="N796" i="3" s="1"/>
  <c r="O1346" i="1"/>
  <c r="O788" i="3"/>
  <c r="N1320" i="1"/>
  <c r="N788" i="3" s="1"/>
  <c r="H855" i="3"/>
  <c r="H842" i="3"/>
  <c r="H839" i="3"/>
  <c r="H844" i="3"/>
  <c r="H841" i="3"/>
  <c r="H503" i="3"/>
  <c r="H196" i="1"/>
  <c r="H1077" i="3" s="1"/>
  <c r="H852" i="3"/>
  <c r="H845" i="3"/>
  <c r="H846" i="3"/>
  <c r="H847" i="3"/>
  <c r="H514" i="3"/>
  <c r="H197" i="1"/>
  <c r="H848" i="3"/>
  <c r="H308" i="3"/>
  <c r="H843" i="3"/>
  <c r="H1030" i="1"/>
  <c r="H505" i="3" s="1"/>
  <c r="H495" i="3"/>
  <c r="H504" i="3"/>
  <c r="H1040" i="1"/>
  <c r="H506" i="3"/>
  <c r="H851" i="3"/>
  <c r="H838" i="3"/>
  <c r="H1390" i="1"/>
  <c r="H853" i="3"/>
  <c r="H850" i="3"/>
  <c r="H849" i="3"/>
  <c r="H854" i="3"/>
  <c r="H840" i="3"/>
  <c r="H1256" i="3"/>
  <c r="P1286" i="3"/>
  <c r="I421" i="1"/>
  <c r="N1291" i="3"/>
  <c r="I263" i="3"/>
  <c r="D788" i="1"/>
  <c r="D263" i="3" s="1"/>
  <c r="F459" i="3"/>
  <c r="I601" i="3"/>
  <c r="D1130" i="1"/>
  <c r="D601" i="3" s="1"/>
  <c r="I242" i="3"/>
  <c r="D767" i="1"/>
  <c r="D242" i="3" s="1"/>
  <c r="I295" i="3"/>
  <c r="D820" i="1"/>
  <c r="D295" i="3" s="1"/>
  <c r="H443" i="3"/>
  <c r="H970" i="1"/>
  <c r="H445" i="3" s="1"/>
  <c r="I814" i="1"/>
  <c r="N289" i="3"/>
  <c r="L420" i="3"/>
  <c r="N968" i="1"/>
  <c r="N443" i="3" s="1"/>
  <c r="O443" i="3"/>
  <c r="O970" i="1"/>
  <c r="O437" i="3"/>
  <c r="N962" i="1"/>
  <c r="N437" i="3" s="1"/>
  <c r="H426" i="3"/>
  <c r="H953" i="1"/>
  <c r="I1234" i="1"/>
  <c r="I1197" i="1"/>
  <c r="N668" i="3"/>
  <c r="N645" i="3"/>
  <c r="I1174" i="1"/>
  <c r="F437" i="3"/>
  <c r="F648" i="3"/>
  <c r="F616" i="3"/>
  <c r="I655" i="3"/>
  <c r="D1184" i="1"/>
  <c r="D655" i="3" s="1"/>
  <c r="I632" i="3"/>
  <c r="D1161" i="1"/>
  <c r="D632" i="3" s="1"/>
  <c r="L1256" i="3"/>
  <c r="AD941" i="1"/>
  <c r="AA950" i="1" s="1"/>
  <c r="I770" i="1"/>
  <c r="I339" i="3"/>
  <c r="D864" i="1"/>
  <c r="D339" i="3" s="1"/>
  <c r="I639" i="3"/>
  <c r="N296" i="3"/>
  <c r="I821" i="1"/>
  <c r="I586" i="3"/>
  <c r="D1115" i="1"/>
  <c r="D586" i="3" s="1"/>
  <c r="F1179" i="1"/>
  <c r="D872" i="1"/>
  <c r="D347" i="3" s="1"/>
  <c r="I393" i="1"/>
  <c r="O1286" i="3"/>
  <c r="N416" i="1"/>
  <c r="L1255" i="3"/>
  <c r="N378" i="1"/>
  <c r="N1249" i="3" s="1"/>
  <c r="O1249" i="3"/>
  <c r="P1249" i="3"/>
  <c r="I592" i="3"/>
  <c r="D1121" i="1"/>
  <c r="D592" i="3" s="1"/>
  <c r="D1191" i="1"/>
  <c r="D662" i="3" s="1"/>
  <c r="D1038" i="1"/>
  <c r="I513" i="3"/>
  <c r="I251" i="3"/>
  <c r="D776" i="1"/>
  <c r="I977" i="1"/>
  <c r="H1063" i="3"/>
  <c r="N869" i="1"/>
  <c r="O344" i="3"/>
  <c r="N817" i="1"/>
  <c r="O292" i="3"/>
  <c r="L1061" i="3"/>
  <c r="L426" i="3"/>
  <c r="L953" i="1"/>
  <c r="N182" i="1"/>
  <c r="N1063" i="3" s="1"/>
  <c r="O1063" i="3"/>
  <c r="H1061" i="3"/>
  <c r="H1062" i="3"/>
  <c r="L616" i="3"/>
  <c r="L437" i="3"/>
  <c r="L1064" i="3"/>
  <c r="L443" i="3"/>
  <c r="L970" i="1"/>
  <c r="I957" i="1"/>
  <c r="O616" i="3"/>
  <c r="N1145" i="1"/>
  <c r="N616" i="3" s="1"/>
  <c r="F443" i="3"/>
  <c r="F970" i="1"/>
  <c r="F1063" i="3"/>
  <c r="I1036" i="1"/>
  <c r="F420" i="3"/>
  <c r="I452" i="1"/>
  <c r="I1322" i="3" s="1"/>
  <c r="L1322" i="3"/>
  <c r="F1255" i="3"/>
  <c r="H35" i="11"/>
  <c r="J35" i="11" s="1"/>
  <c r="L1249" i="3"/>
  <c r="I982" i="1"/>
  <c r="I1250" i="3"/>
  <c r="D379" i="1"/>
  <c r="D1250" i="3" s="1"/>
  <c r="I633" i="3"/>
  <c r="D1162" i="1"/>
  <c r="D633" i="3" s="1"/>
  <c r="N264" i="3"/>
  <c r="I789" i="1"/>
  <c r="O603" i="3"/>
  <c r="N1132" i="1"/>
  <c r="H36" i="11"/>
  <c r="J36" i="11" s="1"/>
  <c r="F1256" i="3"/>
  <c r="N453" i="1"/>
  <c r="N1323" i="3" s="1"/>
  <c r="O1323" i="3"/>
  <c r="I400" i="1"/>
  <c r="I1194" i="1"/>
  <c r="D761" i="1"/>
  <c r="D236" i="3" s="1"/>
  <c r="I236" i="3"/>
  <c r="X980" i="1"/>
  <c r="D455" i="3"/>
  <c r="O253" i="3"/>
  <c r="N778" i="1"/>
  <c r="N253" i="3" s="1"/>
  <c r="I401" i="1"/>
  <c r="P1255" i="3"/>
  <c r="H1255" i="3"/>
  <c r="H37" i="11"/>
  <c r="J37" i="11" s="1"/>
  <c r="F1249" i="3"/>
  <c r="I656" i="3"/>
  <c r="D1185" i="1"/>
  <c r="D656" i="3" s="1"/>
  <c r="I256" i="3"/>
  <c r="D781" i="1"/>
  <c r="D256" i="3" s="1"/>
  <c r="I739" i="3"/>
  <c r="D1268" i="1"/>
  <c r="D739" i="3" s="1"/>
  <c r="L459" i="3"/>
  <c r="D391" i="1"/>
  <c r="D1262" i="3" s="1"/>
  <c r="I1262" i="3"/>
  <c r="H1064" i="3"/>
  <c r="N144" i="1"/>
  <c r="O1025" i="3"/>
  <c r="N142" i="1"/>
  <c r="O1023" i="3"/>
  <c r="I881" i="1"/>
  <c r="N356" i="3"/>
  <c r="P1025" i="3"/>
  <c r="I967" i="1"/>
  <c r="I961" i="1"/>
  <c r="I965" i="1"/>
  <c r="N1200" i="1"/>
  <c r="O671" i="3"/>
  <c r="N613" i="3"/>
  <c r="I1142" i="1"/>
  <c r="O648" i="3"/>
  <c r="N1177" i="1"/>
  <c r="F1064" i="3"/>
  <c r="F671" i="3"/>
  <c r="F1062" i="3"/>
  <c r="F1061" i="3"/>
  <c r="F426" i="3"/>
  <c r="F953" i="1"/>
  <c r="I1293" i="3"/>
  <c r="D423" i="1"/>
  <c r="D1293" i="3" s="1"/>
  <c r="P1323" i="3"/>
  <c r="I1188" i="1"/>
  <c r="N984" i="1"/>
  <c r="N459" i="3" s="1"/>
  <c r="O459" i="3"/>
  <c r="I606" i="3"/>
  <c r="D1135" i="1"/>
  <c r="D606" i="3" s="1"/>
  <c r="L253" i="3"/>
  <c r="H581" i="1"/>
  <c r="H57" i="3" s="1"/>
  <c r="H673" i="3"/>
  <c r="F407" i="3"/>
  <c r="D932" i="1"/>
  <c r="F569" i="1"/>
  <c r="N385" i="1"/>
  <c r="N1256" i="3" s="1"/>
  <c r="P1256" i="3"/>
  <c r="O1256" i="3"/>
  <c r="I376" i="1"/>
  <c r="N1247" i="3"/>
  <c r="I1124" i="1"/>
  <c r="F603" i="3"/>
  <c r="I454" i="3"/>
  <c r="D979" i="1"/>
  <c r="I1244" i="3"/>
  <c r="D373" i="1"/>
  <c r="D1244" i="3" s="1"/>
  <c r="O1255" i="3"/>
  <c r="N384" i="1"/>
  <c r="N1255" i="3" s="1"/>
  <c r="H1249" i="3"/>
  <c r="I753" i="3"/>
  <c r="D1282" i="1"/>
  <c r="D753" i="3" s="1"/>
  <c r="I1165" i="1"/>
  <c r="D976" i="1"/>
  <c r="I451" i="3"/>
  <c r="P1063" i="3"/>
  <c r="P970" i="1"/>
  <c r="P445" i="3" s="1"/>
  <c r="P443" i="3"/>
  <c r="I866" i="1"/>
  <c r="N341" i="3"/>
  <c r="L1062" i="3"/>
  <c r="I938" i="1"/>
  <c r="N183" i="1"/>
  <c r="N1064" i="3" s="1"/>
  <c r="O1064" i="3"/>
  <c r="P1023" i="3"/>
  <c r="H648" i="3"/>
  <c r="H1179" i="1"/>
  <c r="D1144" i="1"/>
  <c r="D615" i="3" s="1"/>
  <c r="I615" i="3"/>
  <c r="I964" i="1"/>
  <c r="I959" i="1"/>
  <c r="L1063" i="3"/>
  <c r="P648" i="3"/>
  <c r="P1179" i="1"/>
  <c r="H1407" i="1"/>
  <c r="H1409" i="1"/>
  <c r="H1408" i="1"/>
  <c r="H1412" i="1"/>
  <c r="H1411" i="1"/>
  <c r="H1413" i="1"/>
  <c r="H1410" i="1"/>
  <c r="P950" i="1"/>
  <c r="X1021" i="1" l="1"/>
  <c r="I1139" i="1"/>
  <c r="D1223" i="1"/>
  <c r="D694" i="3" s="1"/>
  <c r="I455" i="3"/>
  <c r="I1171" i="1"/>
  <c r="D1192" i="1"/>
  <c r="D663" i="3" s="1"/>
  <c r="I288" i="3"/>
  <c r="F581" i="1"/>
  <c r="F57" i="3" s="1"/>
  <c r="X981" i="1"/>
  <c r="L574" i="1"/>
  <c r="I968" i="1"/>
  <c r="I443" i="3" s="1"/>
  <c r="I962" i="1"/>
  <c r="I437" i="3" s="1"/>
  <c r="D884" i="1"/>
  <c r="D359" i="3" s="1"/>
  <c r="D882" i="1"/>
  <c r="D357" i="3" s="1"/>
  <c r="D1022" i="3"/>
  <c r="P389" i="1"/>
  <c r="P1260" i="3" s="1"/>
  <c r="X978" i="1"/>
  <c r="D1237" i="1"/>
  <c r="D708" i="3" s="1"/>
  <c r="I1225" i="1"/>
  <c r="D1225" i="1" s="1"/>
  <c r="D696" i="3" s="1"/>
  <c r="I699" i="3"/>
  <c r="L450" i="1"/>
  <c r="I450" i="1" s="1"/>
  <c r="I1320" i="3" s="1"/>
  <c r="D394" i="1"/>
  <c r="D1265" i="3" s="1"/>
  <c r="I669" i="3"/>
  <c r="D450" i="3"/>
  <c r="I589" i="3"/>
  <c r="D185" i="1"/>
  <c r="D1066" i="3" s="1"/>
  <c r="D184" i="1"/>
  <c r="H432" i="1" s="1"/>
  <c r="H1302" i="3" s="1"/>
  <c r="D507" i="3"/>
  <c r="I1376" i="1"/>
  <c r="I844" i="3" s="1"/>
  <c r="D785" i="1"/>
  <c r="D260" i="3" s="1"/>
  <c r="O650" i="3"/>
  <c r="L673" i="3"/>
  <c r="N1202" i="1"/>
  <c r="N673" i="3" s="1"/>
  <c r="D418" i="1"/>
  <c r="D1288" i="3" s="1"/>
  <c r="F450" i="1"/>
  <c r="F1320" i="3" s="1"/>
  <c r="P673" i="3"/>
  <c r="O581" i="1"/>
  <c r="N581" i="1" s="1"/>
  <c r="N57" i="3" s="1"/>
  <c r="D1083" i="3"/>
  <c r="I873" i="1"/>
  <c r="I348" i="3" s="1"/>
  <c r="I1020" i="1"/>
  <c r="I495" i="3" s="1"/>
  <c r="N1179" i="1"/>
  <c r="N650" i="3" s="1"/>
  <c r="D452" i="1"/>
  <c r="D1322" i="3" s="1"/>
  <c r="I833" i="1"/>
  <c r="D833" i="1" s="1"/>
  <c r="D308" i="3" s="1"/>
  <c r="D764" i="1"/>
  <c r="D239" i="3" s="1"/>
  <c r="I257" i="3"/>
  <c r="Z944" i="1"/>
  <c r="D873" i="1"/>
  <c r="D348" i="3" s="1"/>
  <c r="D497" i="3"/>
  <c r="X1022" i="1"/>
  <c r="I640" i="3"/>
  <c r="D956" i="1"/>
  <c r="X956" i="1" s="1"/>
  <c r="AA947" i="1"/>
  <c r="I1375" i="1"/>
  <c r="I843" i="3" s="1"/>
  <c r="H877" i="3"/>
  <c r="H880" i="3"/>
  <c r="H878" i="3"/>
  <c r="H879" i="3"/>
  <c r="H875" i="3"/>
  <c r="H876" i="3"/>
  <c r="H1415" i="1"/>
  <c r="H882" i="3" s="1"/>
  <c r="H874" i="3"/>
  <c r="D1136" i="1"/>
  <c r="D607" i="3" s="1"/>
  <c r="I607" i="3"/>
  <c r="D1020" i="1"/>
  <c r="D495" i="3" s="1"/>
  <c r="I1378" i="1"/>
  <c r="D1378" i="1" s="1"/>
  <c r="I411" i="1"/>
  <c r="I706" i="3"/>
  <c r="D1235" i="1"/>
  <c r="D706" i="3" s="1"/>
  <c r="I1372" i="1"/>
  <c r="I695" i="3"/>
  <c r="D1224" i="1"/>
  <c r="D695" i="3" s="1"/>
  <c r="X1033" i="1"/>
  <c r="D508" i="3"/>
  <c r="I1031" i="1"/>
  <c r="I506" i="3" s="1"/>
  <c r="I1028" i="1"/>
  <c r="I503" i="3" s="1"/>
  <c r="I1338" i="1"/>
  <c r="I806" i="3" s="1"/>
  <c r="D377" i="1"/>
  <c r="D1248" i="3" s="1"/>
  <c r="I1387" i="1"/>
  <c r="I854" i="3" s="1"/>
  <c r="I1388" i="1"/>
  <c r="I855" i="3" s="1"/>
  <c r="D960" i="1"/>
  <c r="D435" i="3" s="1"/>
  <c r="AA941" i="1"/>
  <c r="I984" i="1"/>
  <c r="I459" i="3" s="1"/>
  <c r="AA943" i="1"/>
  <c r="Z942" i="1"/>
  <c r="D963" i="1"/>
  <c r="D438" i="3" s="1"/>
  <c r="I1279" i="3"/>
  <c r="I1373" i="1"/>
  <c r="I1379" i="1"/>
  <c r="I1039" i="1"/>
  <c r="D1039" i="1" s="1"/>
  <c r="I1382" i="1"/>
  <c r="D1382" i="1" s="1"/>
  <c r="I1000" i="1"/>
  <c r="I475" i="3" s="1"/>
  <c r="Z941" i="1"/>
  <c r="D1376" i="1"/>
  <c r="D844" i="3" s="1"/>
  <c r="AA946" i="1"/>
  <c r="Z946" i="1"/>
  <c r="Z943" i="1"/>
  <c r="I1377" i="1"/>
  <c r="I845" i="3" s="1"/>
  <c r="I1333" i="1"/>
  <c r="D1333" i="1" s="1"/>
  <c r="I1014" i="1"/>
  <c r="I489" i="3" s="1"/>
  <c r="X973" i="1"/>
  <c r="D448" i="3"/>
  <c r="I182" i="1"/>
  <c r="I1063" i="3" s="1"/>
  <c r="J38" i="11"/>
  <c r="D25" i="11" s="1"/>
  <c r="D27" i="11" s="1"/>
  <c r="I1384" i="1"/>
  <c r="D1384" i="1" s="1"/>
  <c r="I1374" i="1"/>
  <c r="I842" i="3" s="1"/>
  <c r="I1322" i="1"/>
  <c r="I790" i="3" s="1"/>
  <c r="I1329" i="1"/>
  <c r="D1329" i="1" s="1"/>
  <c r="I1361" i="1"/>
  <c r="D1361" i="1" s="1"/>
  <c r="I1081" i="3"/>
  <c r="D200" i="1"/>
  <c r="D501" i="3"/>
  <c r="X1026" i="1"/>
  <c r="I642" i="3"/>
  <c r="D1171" i="1"/>
  <c r="D642" i="3" s="1"/>
  <c r="I384" i="1"/>
  <c r="I1358" i="1"/>
  <c r="D1358" i="1" s="1"/>
  <c r="I778" i="1"/>
  <c r="I253" i="3" s="1"/>
  <c r="D958" i="1"/>
  <c r="X958" i="1" s="1"/>
  <c r="D968" i="1"/>
  <c r="D443" i="3" s="1"/>
  <c r="I1145" i="1"/>
  <c r="I616" i="3" s="1"/>
  <c r="I1386" i="1"/>
  <c r="I1332" i="1"/>
  <c r="I800" i="3" s="1"/>
  <c r="I1326" i="1"/>
  <c r="I794" i="3" s="1"/>
  <c r="I1365" i="1"/>
  <c r="I1002" i="1"/>
  <c r="I477" i="3" s="1"/>
  <c r="P425" i="3"/>
  <c r="I659" i="3"/>
  <c r="D1188" i="1"/>
  <c r="D659" i="3" s="1"/>
  <c r="N671" i="3"/>
  <c r="I1200" i="1"/>
  <c r="I511" i="3"/>
  <c r="D1036" i="1"/>
  <c r="N1286" i="3"/>
  <c r="I416" i="1"/>
  <c r="I645" i="3"/>
  <c r="D1174" i="1"/>
  <c r="D645" i="3" s="1"/>
  <c r="O814" i="3"/>
  <c r="O1348" i="1"/>
  <c r="N1346" i="1"/>
  <c r="N814" i="3" s="1"/>
  <c r="I1009" i="1"/>
  <c r="N1015" i="1"/>
  <c r="N490" i="3" s="1"/>
  <c r="N484" i="3"/>
  <c r="N186" i="1"/>
  <c r="N1067" i="3" s="1"/>
  <c r="P434" i="1"/>
  <c r="P1304" i="3" s="1"/>
  <c r="P1067" i="3"/>
  <c r="P1070" i="3"/>
  <c r="P437" i="1"/>
  <c r="P1307" i="3" s="1"/>
  <c r="F515" i="3"/>
  <c r="F1042" i="1"/>
  <c r="F517" i="3" s="1"/>
  <c r="F194" i="1"/>
  <c r="F835" i="3"/>
  <c r="F1072" i="3"/>
  <c r="F439" i="1"/>
  <c r="F1309" i="3" s="1"/>
  <c r="L1077" i="3"/>
  <c r="I1371" i="1"/>
  <c r="N839" i="3"/>
  <c r="O1077" i="3"/>
  <c r="N196" i="1"/>
  <c r="N1077" i="3" s="1"/>
  <c r="I1321" i="1"/>
  <c r="I1343" i="1"/>
  <c r="N565" i="3"/>
  <c r="I1094" i="1"/>
  <c r="I832" i="1"/>
  <c r="L835" i="3"/>
  <c r="L194" i="1"/>
  <c r="L1071" i="3"/>
  <c r="L438" i="1"/>
  <c r="L1072" i="3"/>
  <c r="L439" i="1"/>
  <c r="I1003" i="1"/>
  <c r="I1359" i="1"/>
  <c r="I1011" i="1"/>
  <c r="H1067" i="3"/>
  <c r="H434" i="1"/>
  <c r="H1304" i="3" s="1"/>
  <c r="D938" i="1"/>
  <c r="I413" i="3"/>
  <c r="AA944" i="1"/>
  <c r="AA942" i="1"/>
  <c r="X979" i="1"/>
  <c r="D454" i="3"/>
  <c r="I1247" i="3"/>
  <c r="D376" i="1"/>
  <c r="D1247" i="3" s="1"/>
  <c r="I696" i="3"/>
  <c r="D1142" i="1"/>
  <c r="D613" i="3" s="1"/>
  <c r="I613" i="3"/>
  <c r="I440" i="3"/>
  <c r="D965" i="1"/>
  <c r="N1025" i="3"/>
  <c r="I144" i="1"/>
  <c r="I1271" i="3"/>
  <c r="D400" i="1"/>
  <c r="D1271" i="3" s="1"/>
  <c r="I264" i="3"/>
  <c r="D789" i="1"/>
  <c r="I378" i="1"/>
  <c r="F445" i="3"/>
  <c r="I432" i="3"/>
  <c r="D957" i="1"/>
  <c r="N292" i="3"/>
  <c r="I817" i="1"/>
  <c r="Z947" i="1"/>
  <c r="Z950" i="1"/>
  <c r="I385" i="1"/>
  <c r="H428" i="3"/>
  <c r="H994" i="1"/>
  <c r="H469" i="3" s="1"/>
  <c r="N970" i="1"/>
  <c r="N445" i="3" s="1"/>
  <c r="O445" i="3"/>
  <c r="H1078" i="3"/>
  <c r="O1069" i="3"/>
  <c r="O436" i="1"/>
  <c r="N188" i="1"/>
  <c r="N1069" i="3" s="1"/>
  <c r="O1071" i="3"/>
  <c r="O438" i="1"/>
  <c r="O1073" i="3"/>
  <c r="N822" i="3"/>
  <c r="N1367" i="1"/>
  <c r="N835" i="3" s="1"/>
  <c r="P439" i="1"/>
  <c r="P1309" i="3" s="1"/>
  <c r="P1072" i="3"/>
  <c r="N192" i="1"/>
  <c r="N1073" i="3" s="1"/>
  <c r="P1073" i="3"/>
  <c r="P535" i="3"/>
  <c r="P211" i="1"/>
  <c r="F437" i="1"/>
  <c r="F1070" i="3"/>
  <c r="F1068" i="3"/>
  <c r="F435" i="1"/>
  <c r="I1380" i="1"/>
  <c r="I1370" i="1"/>
  <c r="I1385" i="1"/>
  <c r="P1078" i="3"/>
  <c r="P1042" i="1"/>
  <c r="P517" i="3" s="1"/>
  <c r="P515" i="3"/>
  <c r="N1040" i="1"/>
  <c r="N515" i="3" s="1"/>
  <c r="O1042" i="1"/>
  <c r="O515" i="3"/>
  <c r="N1030" i="1"/>
  <c r="N505" i="3" s="1"/>
  <c r="O505" i="3"/>
  <c r="I1336" i="1"/>
  <c r="I1325" i="1"/>
  <c r="I1331" i="1"/>
  <c r="I1342" i="1"/>
  <c r="I1328" i="1"/>
  <c r="I992" i="1"/>
  <c r="I1320" i="1"/>
  <c r="I1007" i="1"/>
  <c r="I1362" i="1"/>
  <c r="I1001" i="1"/>
  <c r="I1010" i="1"/>
  <c r="L436" i="1"/>
  <c r="L1069" i="3"/>
  <c r="L1068" i="3"/>
  <c r="L435" i="1"/>
  <c r="H1068" i="3"/>
  <c r="H435" i="1"/>
  <c r="H1305" i="3" s="1"/>
  <c r="H1071" i="3"/>
  <c r="H438" i="1"/>
  <c r="H1308" i="3" s="1"/>
  <c r="D451" i="3"/>
  <c r="X976" i="1"/>
  <c r="I595" i="3"/>
  <c r="D1124" i="1"/>
  <c r="D595" i="3" s="1"/>
  <c r="I1272" i="3"/>
  <c r="D401" i="1"/>
  <c r="D1272" i="3" s="1"/>
  <c r="I665" i="3"/>
  <c r="D1194" i="1"/>
  <c r="U776" i="1"/>
  <c r="D251" i="3"/>
  <c r="I245" i="3"/>
  <c r="D770" i="1"/>
  <c r="O1068" i="3"/>
  <c r="O435" i="1"/>
  <c r="I434" i="3"/>
  <c r="D959" i="1"/>
  <c r="H574" i="1"/>
  <c r="H50" i="3" s="1"/>
  <c r="H650" i="3"/>
  <c r="I341" i="3"/>
  <c r="D866" i="1"/>
  <c r="D341" i="3" s="1"/>
  <c r="O1260" i="3"/>
  <c r="F994" i="1"/>
  <c r="F428" i="3"/>
  <c r="I436" i="3"/>
  <c r="D961" i="1"/>
  <c r="N1023" i="3"/>
  <c r="I142" i="1"/>
  <c r="I183" i="1"/>
  <c r="I452" i="3"/>
  <c r="D977" i="1"/>
  <c r="D452" i="3" s="1"/>
  <c r="F650" i="3"/>
  <c r="F574" i="1"/>
  <c r="I296" i="3"/>
  <c r="D821" i="1"/>
  <c r="D296" i="3" s="1"/>
  <c r="H198" i="1"/>
  <c r="H857" i="3"/>
  <c r="H515" i="3"/>
  <c r="H1042" i="1"/>
  <c r="H517" i="3" s="1"/>
  <c r="O1074" i="3"/>
  <c r="N193" i="1"/>
  <c r="N1074" i="3" s="1"/>
  <c r="O437" i="1"/>
  <c r="O1070" i="3"/>
  <c r="N189" i="1"/>
  <c r="N1070" i="3" s="1"/>
  <c r="N190" i="1"/>
  <c r="N1071" i="3" s="1"/>
  <c r="P1071" i="3"/>
  <c r="P438" i="1"/>
  <c r="P1308" i="3" s="1"/>
  <c r="F1077" i="3"/>
  <c r="F505" i="3"/>
  <c r="F1078" i="3"/>
  <c r="H814" i="3"/>
  <c r="H1348" i="1"/>
  <c r="P1348" i="1"/>
  <c r="P814" i="3"/>
  <c r="N1067" i="1"/>
  <c r="N542" i="3" s="1"/>
  <c r="O542" i="3"/>
  <c r="F490" i="3"/>
  <c r="F1069" i="3"/>
  <c r="F436" i="1"/>
  <c r="L515" i="3"/>
  <c r="L1042" i="1"/>
  <c r="I1383" i="1"/>
  <c r="L1078" i="3"/>
  <c r="L505" i="3"/>
  <c r="L857" i="3"/>
  <c r="L198" i="1"/>
  <c r="F814" i="3"/>
  <c r="F1348" i="1"/>
  <c r="P198" i="1"/>
  <c r="P857" i="3"/>
  <c r="O1078" i="3"/>
  <c r="N197" i="1"/>
  <c r="N1078" i="3" s="1"/>
  <c r="L814" i="3"/>
  <c r="L1348" i="1"/>
  <c r="I831" i="1"/>
  <c r="I1324" i="1"/>
  <c r="I1334" i="1"/>
  <c r="I1323" i="1"/>
  <c r="I1330" i="1"/>
  <c r="I1335" i="1"/>
  <c r="I1337" i="1"/>
  <c r="I880" i="1"/>
  <c r="N415" i="3"/>
  <c r="I940" i="1"/>
  <c r="O568" i="3"/>
  <c r="N1097" i="1"/>
  <c r="I1354" i="1"/>
  <c r="L1074" i="3"/>
  <c r="I1364" i="1"/>
  <c r="I1005" i="1"/>
  <c r="I1357" i="1"/>
  <c r="I1360" i="1"/>
  <c r="I1013" i="1"/>
  <c r="I1004" i="1"/>
  <c r="I1356" i="1"/>
  <c r="I1012" i="1"/>
  <c r="H1070" i="3"/>
  <c r="H437" i="1"/>
  <c r="H1307" i="3" s="1"/>
  <c r="H1074" i="3"/>
  <c r="H1073" i="3"/>
  <c r="H194" i="1"/>
  <c r="H1075" i="3" s="1"/>
  <c r="H835" i="3"/>
  <c r="D407" i="3"/>
  <c r="X932" i="1"/>
  <c r="I705" i="3"/>
  <c r="D1234" i="1"/>
  <c r="D705" i="3" s="1"/>
  <c r="P574" i="1"/>
  <c r="P50" i="3" s="1"/>
  <c r="P650" i="3"/>
  <c r="I439" i="3"/>
  <c r="D964" i="1"/>
  <c r="I636" i="3"/>
  <c r="D1165" i="1"/>
  <c r="D636" i="3" s="1"/>
  <c r="L57" i="3"/>
  <c r="F45" i="3"/>
  <c r="D569" i="1"/>
  <c r="D45" i="3" s="1"/>
  <c r="L50" i="3"/>
  <c r="N648" i="3"/>
  <c r="I1177" i="1"/>
  <c r="I442" i="3"/>
  <c r="D967" i="1"/>
  <c r="I356" i="3"/>
  <c r="D881" i="1"/>
  <c r="D356" i="3" s="1"/>
  <c r="O50" i="3"/>
  <c r="I1132" i="1"/>
  <c r="N603" i="3"/>
  <c r="D982" i="1"/>
  <c r="D457" i="3" s="1"/>
  <c r="I457" i="3"/>
  <c r="L445" i="3"/>
  <c r="L994" i="1"/>
  <c r="L428" i="3"/>
  <c r="N344" i="3"/>
  <c r="I869" i="1"/>
  <c r="D1139" i="1"/>
  <c r="D610" i="3" s="1"/>
  <c r="I610" i="3"/>
  <c r="D513" i="3"/>
  <c r="X1038" i="1"/>
  <c r="I1264" i="3"/>
  <c r="D393" i="1"/>
  <c r="D1264" i="3" s="1"/>
  <c r="I668" i="3"/>
  <c r="D1197" i="1"/>
  <c r="D668" i="3" s="1"/>
  <c r="I289" i="3"/>
  <c r="D814" i="1"/>
  <c r="D289" i="3" s="1"/>
  <c r="I1291" i="3"/>
  <c r="D421" i="1"/>
  <c r="D1291" i="3" s="1"/>
  <c r="O1067" i="3"/>
  <c r="O434" i="1"/>
  <c r="O439" i="1"/>
  <c r="O1072" i="3"/>
  <c r="N191" i="1"/>
  <c r="N1072" i="3" s="1"/>
  <c r="O835" i="3"/>
  <c r="O194" i="1"/>
  <c r="P1074" i="3"/>
  <c r="P1069" i="3"/>
  <c r="P436" i="1"/>
  <c r="P1306" i="3" s="1"/>
  <c r="N187" i="1"/>
  <c r="N1068" i="3" s="1"/>
  <c r="P435" i="1"/>
  <c r="P1305" i="3" s="1"/>
  <c r="P1068" i="3"/>
  <c r="P835" i="3"/>
  <c r="P194" i="1"/>
  <c r="F857" i="3"/>
  <c r="F198" i="1"/>
  <c r="O535" i="3"/>
  <c r="O211" i="1"/>
  <c r="N1060" i="1"/>
  <c r="N535" i="3" s="1"/>
  <c r="F1073" i="3"/>
  <c r="F1074" i="3"/>
  <c r="F1067" i="3"/>
  <c r="F434" i="1"/>
  <c r="F1304" i="3" s="1"/>
  <c r="F1071" i="3"/>
  <c r="F438" i="1"/>
  <c r="F1308" i="3" s="1"/>
  <c r="P1077" i="3"/>
  <c r="N1390" i="1"/>
  <c r="N857" i="3" s="1"/>
  <c r="O198" i="1"/>
  <c r="O857" i="3"/>
  <c r="I1029" i="1"/>
  <c r="N504" i="3"/>
  <c r="I1327" i="1"/>
  <c r="I1344" i="1"/>
  <c r="I1340" i="1"/>
  <c r="I1339" i="1"/>
  <c r="I1233" i="1"/>
  <c r="I1341" i="1"/>
  <c r="I1355" i="1"/>
  <c r="I1006" i="1"/>
  <c r="I1363" i="1"/>
  <c r="L1073" i="3"/>
  <c r="L1070" i="3"/>
  <c r="L437" i="1"/>
  <c r="L1067" i="3"/>
  <c r="L434" i="1"/>
  <c r="L490" i="3"/>
  <c r="H439" i="1"/>
  <c r="H1309" i="3" s="1"/>
  <c r="H1072" i="3"/>
  <c r="H1069" i="3"/>
  <c r="H436" i="1"/>
  <c r="H1306" i="3" s="1"/>
  <c r="L1408" i="1"/>
  <c r="L1410" i="1"/>
  <c r="L1409" i="1"/>
  <c r="L1413" i="1"/>
  <c r="L1411" i="1"/>
  <c r="L1407" i="1"/>
  <c r="L1412" i="1"/>
  <c r="F1409" i="1"/>
  <c r="F1407" i="1"/>
  <c r="F1413" i="1"/>
  <c r="F1411" i="1"/>
  <c r="F1410" i="1"/>
  <c r="F1412" i="1"/>
  <c r="F1408" i="1"/>
  <c r="O944" i="1"/>
  <c r="P947" i="1"/>
  <c r="O942" i="1"/>
  <c r="O946" i="1"/>
  <c r="P941" i="1"/>
  <c r="O941" i="1"/>
  <c r="O943" i="1"/>
  <c r="P943" i="1"/>
  <c r="P946" i="1"/>
  <c r="P944" i="1"/>
  <c r="O947" i="1"/>
  <c r="P942" i="1"/>
  <c r="O950" i="1"/>
  <c r="I186" i="1" l="1"/>
  <c r="I1067" i="3" s="1"/>
  <c r="D962" i="1"/>
  <c r="D437" i="3" s="1"/>
  <c r="L1320" i="3"/>
  <c r="H205" i="1"/>
  <c r="N389" i="1"/>
  <c r="N1260" i="3" s="1"/>
  <c r="X960" i="1"/>
  <c r="O57" i="3"/>
  <c r="X1376" i="1"/>
  <c r="L433" i="1"/>
  <c r="L1303" i="3" s="1"/>
  <c r="D1375" i="1"/>
  <c r="D843" i="3" s="1"/>
  <c r="P433" i="1"/>
  <c r="P1303" i="3" s="1"/>
  <c r="O433" i="1"/>
  <c r="O1303" i="3" s="1"/>
  <c r="P432" i="1"/>
  <c r="P1302" i="3" s="1"/>
  <c r="L879" i="3"/>
  <c r="I1412" i="1"/>
  <c r="I879" i="3" s="1"/>
  <c r="L1415" i="1"/>
  <c r="I1415" i="1" s="1"/>
  <c r="I882" i="3" s="1"/>
  <c r="I1407" i="1"/>
  <c r="I874" i="3" s="1"/>
  <c r="L874" i="3"/>
  <c r="L878" i="3"/>
  <c r="I1411" i="1"/>
  <c r="I878" i="3" s="1"/>
  <c r="I1413" i="1"/>
  <c r="I880" i="3" s="1"/>
  <c r="L880" i="3"/>
  <c r="L876" i="3"/>
  <c r="I1409" i="1"/>
  <c r="I876" i="3" s="1"/>
  <c r="L877" i="3"/>
  <c r="I1410" i="1"/>
  <c r="I877" i="3" s="1"/>
  <c r="I1408" i="1"/>
  <c r="I875" i="3" s="1"/>
  <c r="L875" i="3"/>
  <c r="O432" i="1"/>
  <c r="F432" i="1"/>
  <c r="F1302" i="3" s="1"/>
  <c r="F433" i="1"/>
  <c r="F1303" i="3" s="1"/>
  <c r="D1065" i="3"/>
  <c r="U785" i="1"/>
  <c r="I308" i="3"/>
  <c r="H433" i="1"/>
  <c r="H1303" i="3" s="1"/>
  <c r="L432" i="1"/>
  <c r="L1302" i="3" s="1"/>
  <c r="D1014" i="1"/>
  <c r="D489" i="3" s="1"/>
  <c r="D433" i="3"/>
  <c r="D431" i="3"/>
  <c r="D1028" i="1"/>
  <c r="D503" i="3" s="1"/>
  <c r="F875" i="3"/>
  <c r="F879" i="3"/>
  <c r="F877" i="3"/>
  <c r="F878" i="3"/>
  <c r="F880" i="3"/>
  <c r="F874" i="3"/>
  <c r="F1415" i="1"/>
  <c r="F205" i="1" s="1"/>
  <c r="F876" i="3"/>
  <c r="X963" i="1"/>
  <c r="I193" i="1"/>
  <c r="I1074" i="3" s="1"/>
  <c r="I1202" i="1"/>
  <c r="I673" i="3" s="1"/>
  <c r="I1179" i="1"/>
  <c r="I650" i="3" s="1"/>
  <c r="I1040" i="1"/>
  <c r="I515" i="3" s="1"/>
  <c r="O419" i="3"/>
  <c r="D778" i="1"/>
  <c r="D253" i="3" s="1"/>
  <c r="D1000" i="1"/>
  <c r="X1000" i="1" s="1"/>
  <c r="I851" i="3"/>
  <c r="X1020" i="1"/>
  <c r="D1388" i="1"/>
  <c r="D855" i="3" s="1"/>
  <c r="I514" i="3"/>
  <c r="D1145" i="1"/>
  <c r="D616" i="3" s="1"/>
  <c r="I829" i="3"/>
  <c r="U764" i="1"/>
  <c r="P422" i="3"/>
  <c r="P181" i="1"/>
  <c r="P1062" i="3" s="1"/>
  <c r="D984" i="1"/>
  <c r="D459" i="3" s="1"/>
  <c r="I849" i="3"/>
  <c r="D1387" i="1"/>
  <c r="X1387" i="1" s="1"/>
  <c r="D1377" i="1"/>
  <c r="D845" i="3" s="1"/>
  <c r="D1031" i="1"/>
  <c r="X1031" i="1" s="1"/>
  <c r="D1338" i="1"/>
  <c r="X1338" i="1" s="1"/>
  <c r="I846" i="3"/>
  <c r="I826" i="3"/>
  <c r="I196" i="1"/>
  <c r="I1077" i="3" s="1"/>
  <c r="D182" i="1"/>
  <c r="O430" i="1" s="1"/>
  <c r="I797" i="3"/>
  <c r="I840" i="3"/>
  <c r="D1372" i="1"/>
  <c r="D411" i="1"/>
  <c r="D1282" i="3" s="1"/>
  <c r="I1282" i="3"/>
  <c r="P421" i="3"/>
  <c r="P951" i="1"/>
  <c r="P426" i="3" s="1"/>
  <c r="P418" i="3"/>
  <c r="N943" i="1"/>
  <c r="I943" i="1" s="1"/>
  <c r="O418" i="3"/>
  <c r="O180" i="1"/>
  <c r="O1061" i="3" s="1"/>
  <c r="O945" i="1"/>
  <c r="O420" i="3" s="1"/>
  <c r="N941" i="1"/>
  <c r="I941" i="1" s="1"/>
  <c r="O416" i="3"/>
  <c r="P416" i="3"/>
  <c r="N946" i="1"/>
  <c r="N421" i="3" s="1"/>
  <c r="O421" i="3"/>
  <c r="O417" i="3"/>
  <c r="I841" i="3"/>
  <c r="D1373" i="1"/>
  <c r="N574" i="1"/>
  <c r="N50" i="3" s="1"/>
  <c r="I801" i="3"/>
  <c r="D1326" i="1"/>
  <c r="X1326" i="1" s="1"/>
  <c r="D1002" i="1"/>
  <c r="D477" i="3" s="1"/>
  <c r="I847" i="3"/>
  <c r="D1379" i="1"/>
  <c r="I188" i="1"/>
  <c r="D188" i="1" s="1"/>
  <c r="D1069" i="3" s="1"/>
  <c r="D1408" i="1"/>
  <c r="X1408" i="1" s="1"/>
  <c r="I853" i="3"/>
  <c r="D1386" i="1"/>
  <c r="I192" i="1"/>
  <c r="D192" i="1" s="1"/>
  <c r="D1332" i="1"/>
  <c r="D800" i="3" s="1"/>
  <c r="D1322" i="1"/>
  <c r="X1322" i="1" s="1"/>
  <c r="I833" i="3"/>
  <c r="D1365" i="1"/>
  <c r="D1081" i="3"/>
  <c r="L448" i="1"/>
  <c r="H448" i="1"/>
  <c r="P448" i="1"/>
  <c r="F448" i="1"/>
  <c r="O448" i="1"/>
  <c r="I1030" i="1"/>
  <c r="I505" i="3" s="1"/>
  <c r="I1015" i="1"/>
  <c r="I490" i="3" s="1"/>
  <c r="I970" i="1"/>
  <c r="I445" i="3" s="1"/>
  <c r="D1374" i="1"/>
  <c r="D842" i="3" s="1"/>
  <c r="I190" i="1"/>
  <c r="I1255" i="3"/>
  <c r="D384" i="1"/>
  <c r="D1255" i="3" s="1"/>
  <c r="O425" i="3"/>
  <c r="N950" i="1"/>
  <c r="P417" i="3"/>
  <c r="N942" i="1"/>
  <c r="P180" i="1"/>
  <c r="P945" i="1"/>
  <c r="P420" i="3" s="1"/>
  <c r="N947" i="1"/>
  <c r="O181" i="1"/>
  <c r="O422" i="3"/>
  <c r="O951" i="1"/>
  <c r="P419" i="3"/>
  <c r="N944" i="1"/>
  <c r="I481" i="3"/>
  <c r="D1006" i="1"/>
  <c r="I807" i="3"/>
  <c r="D1339" i="1"/>
  <c r="P1075" i="3"/>
  <c r="I344" i="3"/>
  <c r="D869" i="1"/>
  <c r="D344" i="3" s="1"/>
  <c r="D442" i="3"/>
  <c r="X967" i="1"/>
  <c r="I581" i="1"/>
  <c r="X964" i="1"/>
  <c r="D439" i="3"/>
  <c r="D1356" i="1"/>
  <c r="I824" i="3"/>
  <c r="I825" i="3"/>
  <c r="D1357" i="1"/>
  <c r="D1337" i="1"/>
  <c r="I805" i="3"/>
  <c r="D1334" i="1"/>
  <c r="I802" i="3"/>
  <c r="X1378" i="1"/>
  <c r="D846" i="3"/>
  <c r="O1307" i="3"/>
  <c r="N437" i="1"/>
  <c r="N1307" i="3" s="1"/>
  <c r="F50" i="3"/>
  <c r="I1064" i="3"/>
  <c r="D183" i="1"/>
  <c r="D436" i="3"/>
  <c r="X961" i="1"/>
  <c r="U770" i="1"/>
  <c r="D245" i="3"/>
  <c r="D665" i="3"/>
  <c r="L1305" i="3"/>
  <c r="D1362" i="1"/>
  <c r="I830" i="3"/>
  <c r="D1328" i="1"/>
  <c r="I796" i="3"/>
  <c r="I804" i="3"/>
  <c r="D1336" i="1"/>
  <c r="O517" i="3"/>
  <c r="N1042" i="1"/>
  <c r="N517" i="3" s="1"/>
  <c r="O1308" i="3"/>
  <c r="N438" i="1"/>
  <c r="N1308" i="3" s="1"/>
  <c r="X957" i="1"/>
  <c r="D432" i="3"/>
  <c r="I486" i="3"/>
  <c r="D1011" i="1"/>
  <c r="D1003" i="1"/>
  <c r="I478" i="3"/>
  <c r="X1358" i="1"/>
  <c r="D826" i="3"/>
  <c r="D1343" i="1"/>
  <c r="I811" i="3"/>
  <c r="I839" i="3"/>
  <c r="D1371" i="1"/>
  <c r="F1075" i="3"/>
  <c r="H1086" i="3"/>
  <c r="I189" i="1"/>
  <c r="I823" i="3"/>
  <c r="D1355" i="1"/>
  <c r="I808" i="3"/>
  <c r="D1340" i="1"/>
  <c r="I504" i="3"/>
  <c r="D1029" i="1"/>
  <c r="D849" i="3"/>
  <c r="X1382" i="1"/>
  <c r="F1079" i="3"/>
  <c r="O1075" i="3"/>
  <c r="N194" i="1"/>
  <c r="N1075" i="3" s="1"/>
  <c r="O1309" i="3"/>
  <c r="N439" i="1"/>
  <c r="N1309" i="3" s="1"/>
  <c r="I603" i="3"/>
  <c r="D1132" i="1"/>
  <c r="D603" i="3" s="1"/>
  <c r="I479" i="3"/>
  <c r="D1004" i="1"/>
  <c r="I480" i="3"/>
  <c r="D1005" i="1"/>
  <c r="I415" i="3"/>
  <c r="D940" i="1"/>
  <c r="D415" i="3" s="1"/>
  <c r="I803" i="3"/>
  <c r="D1335" i="1"/>
  <c r="I792" i="3"/>
  <c r="D1324" i="1"/>
  <c r="P1079" i="3"/>
  <c r="L1079" i="3"/>
  <c r="I197" i="1"/>
  <c r="F1306" i="3"/>
  <c r="P816" i="3"/>
  <c r="P1392" i="1"/>
  <c r="I389" i="1"/>
  <c r="I187" i="1"/>
  <c r="L1306" i="3"/>
  <c r="I482" i="3"/>
  <c r="D1007" i="1"/>
  <c r="I810" i="3"/>
  <c r="D1342" i="1"/>
  <c r="I838" i="3"/>
  <c r="I1390" i="1"/>
  <c r="D1370" i="1"/>
  <c r="P459" i="1"/>
  <c r="P1329" i="3" s="1"/>
  <c r="P1092" i="3"/>
  <c r="I1256" i="3"/>
  <c r="D385" i="1"/>
  <c r="D1256" i="3" s="1"/>
  <c r="X965" i="1"/>
  <c r="D440" i="3"/>
  <c r="D1359" i="1"/>
  <c r="I827" i="3"/>
  <c r="I191" i="1"/>
  <c r="L1308" i="3"/>
  <c r="I307" i="3"/>
  <c r="D832" i="1"/>
  <c r="D307" i="3" s="1"/>
  <c r="D797" i="3"/>
  <c r="X1329" i="1"/>
  <c r="I789" i="3"/>
  <c r="D1321" i="1"/>
  <c r="O1392" i="1"/>
  <c r="O816" i="3"/>
  <c r="N1348" i="1"/>
  <c r="N816" i="3" s="1"/>
  <c r="D416" i="1"/>
  <c r="D1286" i="3" s="1"/>
  <c r="I1286" i="3"/>
  <c r="I671" i="3"/>
  <c r="D1200" i="1"/>
  <c r="D671" i="3" s="1"/>
  <c r="D450" i="1"/>
  <c r="D1320" i="3" s="1"/>
  <c r="L1307" i="3"/>
  <c r="D1341" i="1"/>
  <c r="I809" i="3"/>
  <c r="I812" i="3"/>
  <c r="D1344" i="1"/>
  <c r="O459" i="1"/>
  <c r="O1092" i="3"/>
  <c r="N211" i="1"/>
  <c r="N1092" i="3" s="1"/>
  <c r="O1304" i="3"/>
  <c r="N434" i="1"/>
  <c r="N1304" i="3" s="1"/>
  <c r="I648" i="3"/>
  <c r="D1177" i="1"/>
  <c r="D648" i="3" s="1"/>
  <c r="D1013" i="1"/>
  <c r="I488" i="3"/>
  <c r="D1364" i="1"/>
  <c r="I832" i="3"/>
  <c r="I822" i="3"/>
  <c r="I1367" i="1"/>
  <c r="D1354" i="1"/>
  <c r="I798" i="3"/>
  <c r="D1330" i="1"/>
  <c r="I306" i="3"/>
  <c r="D831" i="1"/>
  <c r="D306" i="3" s="1"/>
  <c r="F1392" i="1"/>
  <c r="F816" i="3"/>
  <c r="D851" i="3"/>
  <c r="X1384" i="1"/>
  <c r="H816" i="3"/>
  <c r="H1392" i="1"/>
  <c r="D142" i="1"/>
  <c r="I1023" i="3"/>
  <c r="F469" i="3"/>
  <c r="I485" i="3"/>
  <c r="D1010" i="1"/>
  <c r="I788" i="3"/>
  <c r="I1346" i="1"/>
  <c r="D1320" i="1"/>
  <c r="I799" i="3"/>
  <c r="D1331" i="1"/>
  <c r="I852" i="3"/>
  <c r="D1385" i="1"/>
  <c r="I848" i="3"/>
  <c r="D1380" i="1"/>
  <c r="I292" i="3"/>
  <c r="D817" i="1"/>
  <c r="D292" i="3" s="1"/>
  <c r="D378" i="1"/>
  <c r="D1249" i="3" s="1"/>
  <c r="I1249" i="3"/>
  <c r="L1309" i="3"/>
  <c r="D829" i="3"/>
  <c r="X1361" i="1"/>
  <c r="I565" i="3"/>
  <c r="D1094" i="1"/>
  <c r="D565" i="3" s="1"/>
  <c r="L1304" i="3"/>
  <c r="D1363" i="1"/>
  <c r="I831" i="3"/>
  <c r="D1233" i="1"/>
  <c r="D704" i="3" s="1"/>
  <c r="I704" i="3"/>
  <c r="D1327" i="1"/>
  <c r="I795" i="3"/>
  <c r="N198" i="1"/>
  <c r="N1079" i="3" s="1"/>
  <c r="O1079" i="3"/>
  <c r="X1039" i="1"/>
  <c r="D514" i="3"/>
  <c r="D186" i="1"/>
  <c r="D1067" i="3" s="1"/>
  <c r="L469" i="3"/>
  <c r="D1012" i="1"/>
  <c r="I487" i="3"/>
  <c r="D1360" i="1"/>
  <c r="I828" i="3"/>
  <c r="I1097" i="1"/>
  <c r="N568" i="3"/>
  <c r="D880" i="1"/>
  <c r="D355" i="3" s="1"/>
  <c r="I355" i="3"/>
  <c r="I791" i="3"/>
  <c r="D1323" i="1"/>
  <c r="L1392" i="1"/>
  <c r="L816" i="3"/>
  <c r="I850" i="3"/>
  <c r="D1383" i="1"/>
  <c r="L517" i="3"/>
  <c r="H1079" i="3"/>
  <c r="X959" i="1"/>
  <c r="D434" i="3"/>
  <c r="O1305" i="3"/>
  <c r="N435" i="1"/>
  <c r="N1305" i="3" s="1"/>
  <c r="I476" i="3"/>
  <c r="D1001" i="1"/>
  <c r="I467" i="3"/>
  <c r="D992" i="1"/>
  <c r="D1325" i="1"/>
  <c r="I793" i="3"/>
  <c r="F1305" i="3"/>
  <c r="F1307" i="3"/>
  <c r="O1306" i="3"/>
  <c r="N436" i="1"/>
  <c r="N1306" i="3" s="1"/>
  <c r="D264" i="3"/>
  <c r="U789" i="1"/>
  <c r="D144" i="1"/>
  <c r="I1025" i="3"/>
  <c r="X938" i="1"/>
  <c r="D413" i="3"/>
  <c r="L1075" i="3"/>
  <c r="X1333" i="1"/>
  <c r="D801" i="3"/>
  <c r="D1009" i="1"/>
  <c r="I484" i="3"/>
  <c r="D511" i="3"/>
  <c r="X1036" i="1"/>
  <c r="L1399" i="1"/>
  <c r="L1398" i="1"/>
  <c r="L1402" i="1"/>
  <c r="L1400" i="1"/>
  <c r="L1401" i="1"/>
  <c r="O1398" i="1"/>
  <c r="O1402" i="1"/>
  <c r="O1401" i="1"/>
  <c r="O1400" i="1"/>
  <c r="O1399" i="1"/>
  <c r="P1400" i="1"/>
  <c r="P1398" i="1"/>
  <c r="P1401" i="1"/>
  <c r="P1402" i="1"/>
  <c r="P1399" i="1"/>
  <c r="H1398" i="1"/>
  <c r="H1400" i="1"/>
  <c r="H1402" i="1"/>
  <c r="H1399" i="1"/>
  <c r="H1401" i="1"/>
  <c r="F1402" i="1"/>
  <c r="F1399" i="1"/>
  <c r="F1398" i="1"/>
  <c r="F1400" i="1"/>
  <c r="F1401" i="1"/>
  <c r="L882" i="3" l="1"/>
  <c r="N432" i="1"/>
  <c r="N1302" i="3" s="1"/>
  <c r="D1407" i="1"/>
  <c r="D874" i="3" s="1"/>
  <c r="X1375" i="1"/>
  <c r="D506" i="3"/>
  <c r="D794" i="3"/>
  <c r="N433" i="1"/>
  <c r="I433" i="1" s="1"/>
  <c r="L205" i="1"/>
  <c r="L1086" i="3" s="1"/>
  <c r="D1409" i="1"/>
  <c r="D876" i="3" s="1"/>
  <c r="D1202" i="1"/>
  <c r="D673" i="3" s="1"/>
  <c r="D1412" i="1"/>
  <c r="D879" i="3" s="1"/>
  <c r="X1377" i="1"/>
  <c r="D193" i="1"/>
  <c r="D1074" i="3" s="1"/>
  <c r="D1410" i="1"/>
  <c r="X1410" i="1" s="1"/>
  <c r="D1413" i="1"/>
  <c r="X1413" i="1" s="1"/>
  <c r="O1302" i="3"/>
  <c r="D1411" i="1"/>
  <c r="D878" i="3" s="1"/>
  <c r="D1040" i="1"/>
  <c r="D515" i="3" s="1"/>
  <c r="X1014" i="1"/>
  <c r="N416" i="3"/>
  <c r="D475" i="3"/>
  <c r="F882" i="3"/>
  <c r="X1028" i="1"/>
  <c r="P430" i="1"/>
  <c r="P1300" i="3" s="1"/>
  <c r="D1179" i="1"/>
  <c r="D650" i="3" s="1"/>
  <c r="H430" i="1"/>
  <c r="H1300" i="3" s="1"/>
  <c r="X1388" i="1"/>
  <c r="L430" i="1"/>
  <c r="L1300" i="3" s="1"/>
  <c r="D806" i="3"/>
  <c r="D854" i="3"/>
  <c r="F430" i="1"/>
  <c r="F1300" i="3" s="1"/>
  <c r="D1063" i="3"/>
  <c r="N418" i="3"/>
  <c r="D1030" i="1"/>
  <c r="D505" i="3" s="1"/>
  <c r="I1042" i="1"/>
  <c r="D1042" i="1" s="1"/>
  <c r="D517" i="3" s="1"/>
  <c r="D196" i="1"/>
  <c r="H444" i="1" s="1"/>
  <c r="H1314" i="3" s="1"/>
  <c r="D875" i="3"/>
  <c r="D1415" i="1"/>
  <c r="D882" i="3" s="1"/>
  <c r="P953" i="1"/>
  <c r="P994" i="1" s="1"/>
  <c r="P469" i="3" s="1"/>
  <c r="X1002" i="1"/>
  <c r="D790" i="3"/>
  <c r="I194" i="1"/>
  <c r="I1075" i="3" s="1"/>
  <c r="I1069" i="3"/>
  <c r="I432" i="1"/>
  <c r="I1302" i="3" s="1"/>
  <c r="D840" i="3"/>
  <c r="X1372" i="1"/>
  <c r="X1374" i="1"/>
  <c r="N180" i="1"/>
  <c r="N1061" i="3" s="1"/>
  <c r="N945" i="1"/>
  <c r="I945" i="1" s="1"/>
  <c r="D847" i="3"/>
  <c r="X1379" i="1"/>
  <c r="I439" i="1"/>
  <c r="I1309" i="3" s="1"/>
  <c r="X1373" i="1"/>
  <c r="D841" i="3"/>
  <c r="I434" i="1"/>
  <c r="D434" i="1" s="1"/>
  <c r="D1304" i="3" s="1"/>
  <c r="I946" i="1"/>
  <c r="I421" i="3" s="1"/>
  <c r="I574" i="1"/>
  <c r="F868" i="3"/>
  <c r="F867" i="3"/>
  <c r="F1404" i="1"/>
  <c r="F871" i="3" s="1"/>
  <c r="F201" i="1"/>
  <c r="F1082" i="3" s="1"/>
  <c r="F203" i="1"/>
  <c r="F1084" i="3" s="1"/>
  <c r="F865" i="3"/>
  <c r="F866" i="3"/>
  <c r="F869" i="3"/>
  <c r="H868" i="3"/>
  <c r="H866" i="3"/>
  <c r="H869" i="3"/>
  <c r="H867" i="3"/>
  <c r="H865" i="3"/>
  <c r="H203" i="1"/>
  <c r="H1084" i="3" s="1"/>
  <c r="H1404" i="1"/>
  <c r="H871" i="3" s="1"/>
  <c r="H201" i="1"/>
  <c r="H1082" i="3" s="1"/>
  <c r="P866" i="3"/>
  <c r="P869" i="3"/>
  <c r="P868" i="3"/>
  <c r="P865" i="3"/>
  <c r="P1404" i="1"/>
  <c r="P871" i="3" s="1"/>
  <c r="P203" i="1"/>
  <c r="P1084" i="3" s="1"/>
  <c r="P201" i="1"/>
  <c r="P1082" i="3" s="1"/>
  <c r="P867" i="3"/>
  <c r="O866" i="3"/>
  <c r="N1399" i="1"/>
  <c r="N866" i="3" s="1"/>
  <c r="O867" i="3"/>
  <c r="N1400" i="1"/>
  <c r="N867" i="3" s="1"/>
  <c r="O868" i="3"/>
  <c r="N1401" i="1"/>
  <c r="N868" i="3" s="1"/>
  <c r="N1402" i="1"/>
  <c r="N869" i="3" s="1"/>
  <c r="O869" i="3"/>
  <c r="O203" i="1"/>
  <c r="O1404" i="1"/>
  <c r="O201" i="1"/>
  <c r="N1398" i="1"/>
  <c r="N865" i="3" s="1"/>
  <c r="O865" i="3"/>
  <c r="L868" i="3"/>
  <c r="L867" i="3"/>
  <c r="L869" i="3"/>
  <c r="L865" i="3"/>
  <c r="L201" i="1"/>
  <c r="L1082" i="3" s="1"/>
  <c r="L203" i="1"/>
  <c r="L1404" i="1"/>
  <c r="L866" i="3"/>
  <c r="F1318" i="3"/>
  <c r="X1386" i="1"/>
  <c r="D853" i="3"/>
  <c r="X1332" i="1"/>
  <c r="X1365" i="1"/>
  <c r="D833" i="3"/>
  <c r="I437" i="1"/>
  <c r="I1073" i="3"/>
  <c r="D1015" i="1"/>
  <c r="D490" i="3" s="1"/>
  <c r="H1318" i="3"/>
  <c r="D970" i="1"/>
  <c r="D445" i="3" s="1"/>
  <c r="I1071" i="3"/>
  <c r="D190" i="1"/>
  <c r="D1071" i="3" s="1"/>
  <c r="P1318" i="3"/>
  <c r="O1318" i="3"/>
  <c r="N448" i="1"/>
  <c r="N1318" i="3" s="1"/>
  <c r="L1318" i="3"/>
  <c r="I568" i="3"/>
  <c r="D1097" i="1"/>
  <c r="D568" i="3" s="1"/>
  <c r="X1380" i="1"/>
  <c r="D848" i="3"/>
  <c r="D789" i="3"/>
  <c r="X1321" i="1"/>
  <c r="I857" i="3"/>
  <c r="D1390" i="1"/>
  <c r="D857" i="3" s="1"/>
  <c r="X1007" i="1"/>
  <c r="D482" i="3"/>
  <c r="D389" i="1"/>
  <c r="D1260" i="3" s="1"/>
  <c r="I1260" i="3"/>
  <c r="P444" i="1"/>
  <c r="P1314" i="3" s="1"/>
  <c r="X1029" i="1"/>
  <c r="D504" i="3"/>
  <c r="I1070" i="3"/>
  <c r="D189" i="1"/>
  <c r="D1070" i="3" s="1"/>
  <c r="D839" i="3"/>
  <c r="X1371" i="1"/>
  <c r="D486" i="3"/>
  <c r="X1011" i="1"/>
  <c r="D804" i="3"/>
  <c r="X1336" i="1"/>
  <c r="X1337" i="1"/>
  <c r="D805" i="3"/>
  <c r="X1356" i="1"/>
  <c r="D824" i="3"/>
  <c r="X1339" i="1"/>
  <c r="D807" i="3"/>
  <c r="I944" i="1"/>
  <c r="N419" i="3"/>
  <c r="O1062" i="3"/>
  <c r="N181" i="1"/>
  <c r="I942" i="1"/>
  <c r="N417" i="3"/>
  <c r="F1086" i="3"/>
  <c r="I205" i="1"/>
  <c r="I1086" i="3" s="1"/>
  <c r="D484" i="3"/>
  <c r="X1009" i="1"/>
  <c r="D1025" i="3"/>
  <c r="O392" i="1"/>
  <c r="P392" i="1"/>
  <c r="P1263" i="3" s="1"/>
  <c r="D487" i="3"/>
  <c r="X1012" i="1"/>
  <c r="X1010" i="1"/>
  <c r="D485" i="3"/>
  <c r="X1354" i="1"/>
  <c r="D822" i="3"/>
  <c r="X1364" i="1"/>
  <c r="D832" i="3"/>
  <c r="O859" i="3"/>
  <c r="N1392" i="1"/>
  <c r="N859" i="3" s="1"/>
  <c r="O216" i="1"/>
  <c r="P859" i="3"/>
  <c r="P216" i="1"/>
  <c r="I1078" i="3"/>
  <c r="D197" i="1"/>
  <c r="X1335" i="1"/>
  <c r="D803" i="3"/>
  <c r="D480" i="3"/>
  <c r="X1005" i="1"/>
  <c r="I418" i="3"/>
  <c r="D943" i="1"/>
  <c r="D830" i="3"/>
  <c r="X1362" i="1"/>
  <c r="X1357" i="1"/>
  <c r="D825" i="3"/>
  <c r="N422" i="3"/>
  <c r="I947" i="1"/>
  <c r="D799" i="3"/>
  <c r="X1331" i="1"/>
  <c r="F213" i="1"/>
  <c r="F859" i="3"/>
  <c r="I1072" i="3"/>
  <c r="D191" i="1"/>
  <c r="D1072" i="3" s="1"/>
  <c r="X1001" i="1"/>
  <c r="D476" i="3"/>
  <c r="L859" i="3"/>
  <c r="D795" i="3"/>
  <c r="X1327" i="1"/>
  <c r="D831" i="3"/>
  <c r="X1363" i="1"/>
  <c r="X1385" i="1"/>
  <c r="D852" i="3"/>
  <c r="D788" i="3"/>
  <c r="X1320" i="1"/>
  <c r="D1023" i="3"/>
  <c r="O390" i="1"/>
  <c r="P390" i="1"/>
  <c r="P1261" i="3" s="1"/>
  <c r="D1367" i="1"/>
  <c r="D835" i="3" s="1"/>
  <c r="I835" i="3"/>
  <c r="N459" i="1"/>
  <c r="N1329" i="3" s="1"/>
  <c r="O1329" i="3"/>
  <c r="X1341" i="1"/>
  <c r="D809" i="3"/>
  <c r="I438" i="1"/>
  <c r="D827" i="3"/>
  <c r="X1359" i="1"/>
  <c r="X1342" i="1"/>
  <c r="D810" i="3"/>
  <c r="I436" i="1"/>
  <c r="D808" i="3"/>
  <c r="X1340" i="1"/>
  <c r="I435" i="1"/>
  <c r="P431" i="1"/>
  <c r="P1301" i="3" s="1"/>
  <c r="D1064" i="3"/>
  <c r="F431" i="1"/>
  <c r="H431" i="1"/>
  <c r="H1301" i="3" s="1"/>
  <c r="O431" i="1"/>
  <c r="L431" i="1"/>
  <c r="D802" i="3"/>
  <c r="X1334" i="1"/>
  <c r="X1006" i="1"/>
  <c r="D481" i="3"/>
  <c r="O426" i="3"/>
  <c r="N951" i="1"/>
  <c r="O953" i="1"/>
  <c r="N425" i="3"/>
  <c r="I950" i="1"/>
  <c r="X992" i="1"/>
  <c r="D467" i="3"/>
  <c r="D187" i="1"/>
  <c r="D1068" i="3" s="1"/>
  <c r="I1068" i="3"/>
  <c r="X1355" i="1"/>
  <c r="D823" i="3"/>
  <c r="D793" i="3"/>
  <c r="X1325" i="1"/>
  <c r="X1383" i="1"/>
  <c r="D850" i="3"/>
  <c r="D791" i="3"/>
  <c r="X1323" i="1"/>
  <c r="X1360" i="1"/>
  <c r="D828" i="3"/>
  <c r="D1346" i="1"/>
  <c r="D814" i="3" s="1"/>
  <c r="I814" i="3"/>
  <c r="I1348" i="1"/>
  <c r="H214" i="1"/>
  <c r="H859" i="3"/>
  <c r="D798" i="3"/>
  <c r="X1330" i="1"/>
  <c r="D488" i="3"/>
  <c r="X1013" i="1"/>
  <c r="X1344" i="1"/>
  <c r="D812" i="3"/>
  <c r="I416" i="3"/>
  <c r="D941" i="1"/>
  <c r="X1370" i="1"/>
  <c r="D838" i="3"/>
  <c r="O1300" i="3"/>
  <c r="I198" i="1"/>
  <c r="D792" i="3"/>
  <c r="X1324" i="1"/>
  <c r="D479" i="3"/>
  <c r="X1004" i="1"/>
  <c r="D1073" i="3"/>
  <c r="P440" i="1"/>
  <c r="P1310" i="3" s="1"/>
  <c r="F440" i="1"/>
  <c r="O440" i="1"/>
  <c r="H440" i="1"/>
  <c r="H1310" i="3" s="1"/>
  <c r="L440" i="1"/>
  <c r="X1343" i="1"/>
  <c r="D811" i="3"/>
  <c r="D478" i="3"/>
  <c r="X1003" i="1"/>
  <c r="X1328" i="1"/>
  <c r="D796" i="3"/>
  <c r="I57" i="3"/>
  <c r="D581" i="1"/>
  <c r="D57" i="3" s="1"/>
  <c r="P1061" i="3"/>
  <c r="X1412" i="1" l="1"/>
  <c r="N1303" i="3"/>
  <c r="X1407" i="1"/>
  <c r="F441" i="1"/>
  <c r="F1311" i="3" s="1"/>
  <c r="P428" i="3"/>
  <c r="O441" i="1"/>
  <c r="O1311" i="3" s="1"/>
  <c r="P441" i="1"/>
  <c r="P1311" i="3" s="1"/>
  <c r="H441" i="1"/>
  <c r="H1311" i="3" s="1"/>
  <c r="X1409" i="1"/>
  <c r="D877" i="3"/>
  <c r="L441" i="1"/>
  <c r="L1311" i="3" s="1"/>
  <c r="X1411" i="1"/>
  <c r="D880" i="3"/>
  <c r="Z1200" i="1"/>
  <c r="D946" i="1"/>
  <c r="D421" i="3" s="1"/>
  <c r="L444" i="1"/>
  <c r="L1314" i="3" s="1"/>
  <c r="I1402" i="1"/>
  <c r="I869" i="3" s="1"/>
  <c r="I1400" i="1"/>
  <c r="I867" i="3" s="1"/>
  <c r="N430" i="1"/>
  <c r="N1300" i="3" s="1"/>
  <c r="D439" i="1"/>
  <c r="D1309" i="3" s="1"/>
  <c r="I1304" i="3"/>
  <c r="I517" i="3"/>
  <c r="I1399" i="1"/>
  <c r="I866" i="3" s="1"/>
  <c r="I1401" i="1"/>
  <c r="D194" i="1"/>
  <c r="F442" i="1" s="1"/>
  <c r="F444" i="1"/>
  <c r="F1314" i="3" s="1"/>
  <c r="D1077" i="3"/>
  <c r="O444" i="1"/>
  <c r="O1314" i="3" s="1"/>
  <c r="I180" i="1"/>
  <c r="D180" i="1" s="1"/>
  <c r="N420" i="3"/>
  <c r="D432" i="1"/>
  <c r="D1302" i="3" s="1"/>
  <c r="I50" i="3"/>
  <c r="D574" i="1"/>
  <c r="D50" i="3" s="1"/>
  <c r="H1417" i="1"/>
  <c r="H124" i="1" s="1"/>
  <c r="I1398" i="1"/>
  <c r="I865" i="3" s="1"/>
  <c r="I1307" i="3"/>
  <c r="D437" i="1"/>
  <c r="D1307" i="3" s="1"/>
  <c r="P1417" i="1"/>
  <c r="F1417" i="1"/>
  <c r="F124" i="1" s="1"/>
  <c r="I448" i="1"/>
  <c r="L1084" i="3"/>
  <c r="O1082" i="3"/>
  <c r="N201" i="1"/>
  <c r="N203" i="1"/>
  <c r="N1084" i="3" s="1"/>
  <c r="O1084" i="3"/>
  <c r="L1417" i="1"/>
  <c r="L871" i="3"/>
  <c r="D205" i="1"/>
  <c r="L453" i="1" s="1"/>
  <c r="L1323" i="3" s="1"/>
  <c r="N1404" i="1"/>
  <c r="N871" i="3" s="1"/>
  <c r="O1417" i="1"/>
  <c r="O871" i="3"/>
  <c r="O1310" i="3"/>
  <c r="N440" i="1"/>
  <c r="N1310" i="3" s="1"/>
  <c r="F1310" i="3"/>
  <c r="D1348" i="1"/>
  <c r="D816" i="3" s="1"/>
  <c r="I816" i="3"/>
  <c r="L1301" i="3"/>
  <c r="I1303" i="3"/>
  <c r="D433" i="1"/>
  <c r="D1303" i="3" s="1"/>
  <c r="I422" i="3"/>
  <c r="D947" i="1"/>
  <c r="L445" i="1"/>
  <c r="D1078" i="3"/>
  <c r="H445" i="1"/>
  <c r="H1315" i="3" s="1"/>
  <c r="O445" i="1"/>
  <c r="P445" i="1"/>
  <c r="P1315" i="3" s="1"/>
  <c r="F445" i="1"/>
  <c r="I417" i="3"/>
  <c r="D942" i="1"/>
  <c r="L1310" i="3"/>
  <c r="O428" i="3"/>
  <c r="N953" i="1"/>
  <c r="O994" i="1"/>
  <c r="O1301" i="3"/>
  <c r="N431" i="1"/>
  <c r="N1301" i="3" s="1"/>
  <c r="I1306" i="3"/>
  <c r="D436" i="1"/>
  <c r="D1306" i="3" s="1"/>
  <c r="O1261" i="3"/>
  <c r="N390" i="1"/>
  <c r="I1392" i="1"/>
  <c r="F1094" i="3"/>
  <c r="D213" i="1"/>
  <c r="D1094" i="3" s="1"/>
  <c r="I419" i="3"/>
  <c r="D944" i="1"/>
  <c r="I1079" i="3"/>
  <c r="D198" i="1"/>
  <c r="H1095" i="3"/>
  <c r="D214" i="1"/>
  <c r="D1095" i="3" s="1"/>
  <c r="D950" i="1"/>
  <c r="I425" i="3"/>
  <c r="F1301" i="3"/>
  <c r="I420" i="3"/>
  <c r="D945" i="1"/>
  <c r="D420" i="3" s="1"/>
  <c r="O1263" i="3"/>
  <c r="N392" i="1"/>
  <c r="X941" i="1"/>
  <c r="D416" i="3"/>
  <c r="I951" i="1"/>
  <c r="N426" i="3"/>
  <c r="I1305" i="3"/>
  <c r="D435" i="1"/>
  <c r="D1305" i="3" s="1"/>
  <c r="D438" i="1"/>
  <c r="D1308" i="3" s="1"/>
  <c r="I1308" i="3"/>
  <c r="D418" i="3"/>
  <c r="X943" i="1"/>
  <c r="P1097" i="3"/>
  <c r="O1097" i="3"/>
  <c r="N216" i="1"/>
  <c r="N1062" i="3"/>
  <c r="I181" i="1"/>
  <c r="L1056" i="1"/>
  <c r="L1063" i="1"/>
  <c r="F999" i="1"/>
  <c r="N441" i="1" l="1"/>
  <c r="N1311" i="3" s="1"/>
  <c r="D1400" i="1"/>
  <c r="X946" i="1"/>
  <c r="L442" i="1"/>
  <c r="L1312" i="3" s="1"/>
  <c r="I441" i="1"/>
  <c r="D441" i="1" s="1"/>
  <c r="D1311" i="3" s="1"/>
  <c r="H884" i="3"/>
  <c r="D1399" i="1"/>
  <c r="D1402" i="1"/>
  <c r="D869" i="3" s="1"/>
  <c r="F884" i="3"/>
  <c r="I430" i="1"/>
  <c r="I1300" i="3" s="1"/>
  <c r="P442" i="1"/>
  <c r="P1312" i="3" s="1"/>
  <c r="N444" i="1"/>
  <c r="N1314" i="3" s="1"/>
  <c r="D1075" i="3"/>
  <c r="I1061" i="3"/>
  <c r="O442" i="1"/>
  <c r="O1312" i="3" s="1"/>
  <c r="H442" i="1"/>
  <c r="H1312" i="3" s="1"/>
  <c r="I868" i="3"/>
  <c r="D1401" i="1"/>
  <c r="D1398" i="1"/>
  <c r="D865" i="3" s="1"/>
  <c r="N1417" i="1"/>
  <c r="N884" i="3" s="1"/>
  <c r="I203" i="1"/>
  <c r="D203" i="1" s="1"/>
  <c r="H453" i="1"/>
  <c r="H1323" i="3" s="1"/>
  <c r="I453" i="1"/>
  <c r="I1323" i="3" s="1"/>
  <c r="F453" i="1"/>
  <c r="F1323" i="3" s="1"/>
  <c r="D1086" i="3"/>
  <c r="I1063" i="1"/>
  <c r="I538" i="3" s="1"/>
  <c r="L1067" i="1"/>
  <c r="I1067" i="1" s="1"/>
  <c r="I542" i="3" s="1"/>
  <c r="L538" i="3"/>
  <c r="L531" i="3"/>
  <c r="I1056" i="1"/>
  <c r="I531" i="3" s="1"/>
  <c r="L1060" i="1"/>
  <c r="L211" i="1" s="1"/>
  <c r="P124" i="1"/>
  <c r="P1005" i="3" s="1"/>
  <c r="D867" i="3"/>
  <c r="X1400" i="1"/>
  <c r="D866" i="3"/>
  <c r="X1399" i="1"/>
  <c r="I1084" i="3"/>
  <c r="O124" i="1"/>
  <c r="O884" i="3"/>
  <c r="L124" i="1"/>
  <c r="L1005" i="3" s="1"/>
  <c r="L884" i="3"/>
  <c r="N1082" i="3"/>
  <c r="I201" i="1"/>
  <c r="I1318" i="3"/>
  <c r="D448" i="1"/>
  <c r="D1318" i="3" s="1"/>
  <c r="P884" i="3"/>
  <c r="F461" i="1"/>
  <c r="I1404" i="1"/>
  <c r="F474" i="3"/>
  <c r="F1008" i="1"/>
  <c r="N1261" i="3"/>
  <c r="I390" i="1"/>
  <c r="O1315" i="3"/>
  <c r="N445" i="1"/>
  <c r="N1315" i="3" s="1"/>
  <c r="F1312" i="3"/>
  <c r="N1097" i="3"/>
  <c r="I216" i="1"/>
  <c r="I392" i="1"/>
  <c r="N1263" i="3"/>
  <c r="F1005" i="3"/>
  <c r="H1005" i="3"/>
  <c r="I1062" i="3"/>
  <c r="D181" i="1"/>
  <c r="I426" i="3"/>
  <c r="D951" i="1"/>
  <c r="D426" i="3" s="1"/>
  <c r="D425" i="3"/>
  <c r="X950" i="1"/>
  <c r="F446" i="1"/>
  <c r="D1079" i="3"/>
  <c r="L446" i="1"/>
  <c r="O446" i="1"/>
  <c r="H446" i="1"/>
  <c r="H1316" i="3" s="1"/>
  <c r="P446" i="1"/>
  <c r="P1316" i="3" s="1"/>
  <c r="N994" i="1"/>
  <c r="O469" i="3"/>
  <c r="F1315" i="3"/>
  <c r="I431" i="1"/>
  <c r="X944" i="1"/>
  <c r="D419" i="3"/>
  <c r="D422" i="3"/>
  <c r="X947" i="1"/>
  <c r="H462" i="1"/>
  <c r="D1392" i="1"/>
  <c r="D859" i="3" s="1"/>
  <c r="I859" i="3"/>
  <c r="I953" i="1"/>
  <c r="N428" i="3"/>
  <c r="I440" i="1"/>
  <c r="F428" i="1"/>
  <c r="D1061" i="3"/>
  <c r="H428" i="1"/>
  <c r="H1298" i="3" s="1"/>
  <c r="L428" i="1"/>
  <c r="L1298" i="3" s="1"/>
  <c r="O428" i="1"/>
  <c r="P428" i="1"/>
  <c r="P1298" i="3" s="1"/>
  <c r="X942" i="1"/>
  <c r="D417" i="3"/>
  <c r="L1315" i="3"/>
  <c r="L999" i="1"/>
  <c r="P999" i="1"/>
  <c r="O999" i="1"/>
  <c r="H999" i="1"/>
  <c r="H1056" i="1"/>
  <c r="H1063" i="1"/>
  <c r="F1056" i="1"/>
  <c r="F1063" i="1"/>
  <c r="F1082" i="1"/>
  <c r="H1083" i="1"/>
  <c r="L474" i="3" l="1"/>
  <c r="L1008" i="1"/>
  <c r="L483" i="3" s="1"/>
  <c r="I1311" i="3"/>
  <c r="D430" i="1"/>
  <c r="D1300" i="3" s="1"/>
  <c r="X1402" i="1"/>
  <c r="P1008" i="1"/>
  <c r="P483" i="3" s="1"/>
  <c r="P474" i="3"/>
  <c r="N442" i="1"/>
  <c r="I442" i="1" s="1"/>
  <c r="I444" i="1"/>
  <c r="X1398" i="1"/>
  <c r="L542" i="3"/>
  <c r="L535" i="3"/>
  <c r="H474" i="3"/>
  <c r="H1008" i="1"/>
  <c r="H483" i="3" s="1"/>
  <c r="O474" i="3"/>
  <c r="O1008" i="1"/>
  <c r="N999" i="1"/>
  <c r="N474" i="3" s="1"/>
  <c r="I445" i="1"/>
  <c r="I1315" i="3" s="1"/>
  <c r="I1417" i="1"/>
  <c r="D868" i="3"/>
  <c r="X1401" i="1"/>
  <c r="D1063" i="1"/>
  <c r="D538" i="3" s="1"/>
  <c r="F1067" i="1"/>
  <c r="F542" i="3" s="1"/>
  <c r="F538" i="3"/>
  <c r="F531" i="3"/>
  <c r="F1060" i="1"/>
  <c r="F535" i="3" s="1"/>
  <c r="D1056" i="1"/>
  <c r="D531" i="3" s="1"/>
  <c r="H538" i="3"/>
  <c r="H1067" i="1"/>
  <c r="H542" i="3" s="1"/>
  <c r="H531" i="3"/>
  <c r="H1060" i="1"/>
  <c r="H535" i="3" s="1"/>
  <c r="I1060" i="1"/>
  <c r="I535" i="3" s="1"/>
  <c r="D453" i="1"/>
  <c r="D1323" i="3" s="1"/>
  <c r="D1082" i="1"/>
  <c r="D201" i="1"/>
  <c r="I1082" i="3"/>
  <c r="D461" i="1"/>
  <c r="D1331" i="3" s="1"/>
  <c r="O1005" i="3"/>
  <c r="N124" i="1"/>
  <c r="D1404" i="1"/>
  <c r="D871" i="3" s="1"/>
  <c r="I871" i="3"/>
  <c r="F1331" i="3"/>
  <c r="D1084" i="3"/>
  <c r="P451" i="1"/>
  <c r="P1321" i="3" s="1"/>
  <c r="L451" i="1"/>
  <c r="L1321" i="3" s="1"/>
  <c r="F451" i="1"/>
  <c r="F1321" i="3" s="1"/>
  <c r="O451" i="1"/>
  <c r="H451" i="1"/>
  <c r="H1321" i="3" s="1"/>
  <c r="D1083" i="1"/>
  <c r="I1301" i="3"/>
  <c r="D431" i="1"/>
  <c r="D1301" i="3" s="1"/>
  <c r="F1316" i="3"/>
  <c r="I999" i="1"/>
  <c r="I428" i="3"/>
  <c r="D953" i="1"/>
  <c r="D428" i="3" s="1"/>
  <c r="O1316" i="3"/>
  <c r="N446" i="1"/>
  <c r="N1316" i="3" s="1"/>
  <c r="L1092" i="3"/>
  <c r="I211" i="1"/>
  <c r="N469" i="3"/>
  <c r="I994" i="1"/>
  <c r="L1017" i="1"/>
  <c r="O1298" i="3"/>
  <c r="N428" i="1"/>
  <c r="L1316" i="3"/>
  <c r="P429" i="1"/>
  <c r="P1299" i="3" s="1"/>
  <c r="D1062" i="3"/>
  <c r="F429" i="1"/>
  <c r="L429" i="1"/>
  <c r="H429" i="1"/>
  <c r="H1299" i="3" s="1"/>
  <c r="O429" i="1"/>
  <c r="D392" i="1"/>
  <c r="D1263" i="3" s="1"/>
  <c r="I1263" i="3"/>
  <c r="F483" i="3"/>
  <c r="F1017" i="1"/>
  <c r="F1298" i="3"/>
  <c r="D462" i="1"/>
  <c r="D1332" i="3" s="1"/>
  <c r="H1332" i="3"/>
  <c r="I1310" i="3"/>
  <c r="D440" i="1"/>
  <c r="D1310" i="3" s="1"/>
  <c r="D216" i="1"/>
  <c r="I464" i="1" s="1"/>
  <c r="I1097" i="3"/>
  <c r="D390" i="1"/>
  <c r="D1261" i="3" s="1"/>
  <c r="I1261" i="3"/>
  <c r="P1017" i="1" l="1"/>
  <c r="P492" i="3" s="1"/>
  <c r="F211" i="1"/>
  <c r="F1092" i="3" s="1"/>
  <c r="X1063" i="1"/>
  <c r="H1017" i="1"/>
  <c r="H492" i="3" s="1"/>
  <c r="N1008" i="1"/>
  <c r="I1008" i="1" s="1"/>
  <c r="H211" i="1"/>
  <c r="H1092" i="3" s="1"/>
  <c r="X1056" i="1"/>
  <c r="D444" i="1"/>
  <c r="D1314" i="3" s="1"/>
  <c r="I1314" i="3"/>
  <c r="N1312" i="3"/>
  <c r="O483" i="3"/>
  <c r="O1017" i="1"/>
  <c r="O492" i="3" s="1"/>
  <c r="I884" i="3"/>
  <c r="D1417" i="1"/>
  <c r="D884" i="3" s="1"/>
  <c r="D445" i="1"/>
  <c r="D1315" i="3" s="1"/>
  <c r="I446" i="1"/>
  <c r="I1316" i="3" s="1"/>
  <c r="D1067" i="1"/>
  <c r="D542" i="3" s="1"/>
  <c r="D1060" i="1"/>
  <c r="D535" i="3" s="1"/>
  <c r="N451" i="1"/>
  <c r="O1321" i="3"/>
  <c r="N1005" i="3"/>
  <c r="I124" i="1"/>
  <c r="F449" i="1"/>
  <c r="P449" i="1"/>
  <c r="O449" i="1"/>
  <c r="H449" i="1"/>
  <c r="L449" i="1"/>
  <c r="D1082" i="3"/>
  <c r="I1334" i="3"/>
  <c r="D464" i="1"/>
  <c r="D1334" i="3" s="1"/>
  <c r="F492" i="3"/>
  <c r="L1299" i="3"/>
  <c r="I428" i="1"/>
  <c r="N1298" i="3"/>
  <c r="I474" i="3"/>
  <c r="D999" i="1"/>
  <c r="F1299" i="3"/>
  <c r="I1312" i="3"/>
  <c r="D442" i="1"/>
  <c r="D1312" i="3" s="1"/>
  <c r="D1097" i="3"/>
  <c r="P464" i="1"/>
  <c r="O464" i="1"/>
  <c r="L492" i="3"/>
  <c r="D211" i="1"/>
  <c r="F459" i="1" s="1"/>
  <c r="N429" i="1"/>
  <c r="N1299" i="3" s="1"/>
  <c r="O1299" i="3"/>
  <c r="I469" i="3"/>
  <c r="D994" i="1"/>
  <c r="D469" i="3" s="1"/>
  <c r="I1092" i="3"/>
  <c r="Q563" i="1"/>
  <c r="N563" i="1" s="1"/>
  <c r="N891" i="1"/>
  <c r="F1048" i="1"/>
  <c r="L1048" i="1"/>
  <c r="O1048" i="1"/>
  <c r="P1048" i="1"/>
  <c r="H1048" i="1"/>
  <c r="O1085" i="1"/>
  <c r="P1085" i="1"/>
  <c r="I459" i="1" l="1"/>
  <c r="I1329" i="3" s="1"/>
  <c r="N483" i="3"/>
  <c r="N1017" i="1"/>
  <c r="N492" i="3" s="1"/>
  <c r="D446" i="1"/>
  <c r="D1316" i="3" s="1"/>
  <c r="H1053" i="1"/>
  <c r="H528" i="3" s="1"/>
  <c r="H523" i="3"/>
  <c r="P523" i="3"/>
  <c r="P1053" i="1"/>
  <c r="P528" i="3" s="1"/>
  <c r="O1053" i="1"/>
  <c r="N1048" i="1"/>
  <c r="N523" i="3" s="1"/>
  <c r="O523" i="3"/>
  <c r="L523" i="3"/>
  <c r="L1053" i="1"/>
  <c r="I1048" i="1"/>
  <c r="I523" i="3" s="1"/>
  <c r="F523" i="3"/>
  <c r="F1053" i="1"/>
  <c r="F528" i="3" s="1"/>
  <c r="H1319" i="3"/>
  <c r="P1319" i="3"/>
  <c r="D124" i="1"/>
  <c r="I1005" i="3"/>
  <c r="O1319" i="3"/>
  <c r="N449" i="1"/>
  <c r="N1319" i="3" s="1"/>
  <c r="I429" i="1"/>
  <c r="L1319" i="3"/>
  <c r="F1319" i="3"/>
  <c r="N1321" i="3"/>
  <c r="I451" i="1"/>
  <c r="N1085" i="1"/>
  <c r="I1085" i="1" s="1"/>
  <c r="D1085" i="1" s="1"/>
  <c r="P1334" i="3"/>
  <c r="X999" i="1"/>
  <c r="D474" i="3"/>
  <c r="I1017" i="1"/>
  <c r="F1329" i="3"/>
  <c r="H459" i="1"/>
  <c r="H1329" i="3" s="1"/>
  <c r="D1092" i="3"/>
  <c r="L459" i="1"/>
  <c r="L1329" i="3" s="1"/>
  <c r="O1334" i="3"/>
  <c r="N464" i="1"/>
  <c r="N1334" i="3" s="1"/>
  <c r="I483" i="3"/>
  <c r="D1008" i="1"/>
  <c r="D483" i="3" s="1"/>
  <c r="I1298" i="3"/>
  <c r="D428" i="1"/>
  <c r="D1298" i="3" s="1"/>
  <c r="N39" i="3"/>
  <c r="I563" i="1"/>
  <c r="I39" i="3" s="1"/>
  <c r="N366" i="3"/>
  <c r="I891" i="1"/>
  <c r="I366" i="3" s="1"/>
  <c r="D1048" i="1" l="1"/>
  <c r="D523" i="3" s="1"/>
  <c r="I449" i="1"/>
  <c r="O371" i="1"/>
  <c r="D1005" i="3"/>
  <c r="P371" i="1"/>
  <c r="F371" i="1"/>
  <c r="H371" i="1"/>
  <c r="L371" i="1"/>
  <c r="I1299" i="3"/>
  <c r="D429" i="1"/>
  <c r="D1299" i="3" s="1"/>
  <c r="D459" i="1"/>
  <c r="D1329" i="3" s="1"/>
  <c r="I1321" i="3"/>
  <c r="D451" i="1"/>
  <c r="D1321" i="3" s="1"/>
  <c r="L528" i="3"/>
  <c r="N1053" i="1"/>
  <c r="N528" i="3" s="1"/>
  <c r="O528" i="3"/>
  <c r="I492" i="3"/>
  <c r="D1017" i="1"/>
  <c r="D492" i="3" s="1"/>
  <c r="O1431" i="1"/>
  <c r="O1421" i="1"/>
  <c r="O1429" i="1"/>
  <c r="O1426" i="1"/>
  <c r="O1422" i="1"/>
  <c r="O1425" i="1"/>
  <c r="O1427" i="1"/>
  <c r="O1423" i="1"/>
  <c r="O1428" i="1"/>
  <c r="O1420" i="1"/>
  <c r="O1424" i="1"/>
  <c r="O1430" i="1"/>
  <c r="H1431" i="1"/>
  <c r="H1430" i="1"/>
  <c r="H1427" i="1"/>
  <c r="H1423" i="1"/>
  <c r="H1421" i="1"/>
  <c r="H1428" i="1"/>
  <c r="H1426" i="1"/>
  <c r="H1420" i="1"/>
  <c r="H1422" i="1"/>
  <c r="H1429" i="1"/>
  <c r="H1425" i="1"/>
  <c r="H1424" i="1"/>
  <c r="P1423" i="1"/>
  <c r="P1428" i="1"/>
  <c r="P1421" i="1"/>
  <c r="P1431" i="1"/>
  <c r="P1429" i="1"/>
  <c r="P1427" i="1"/>
  <c r="P1426" i="1"/>
  <c r="P1424" i="1"/>
  <c r="P1420" i="1"/>
  <c r="P1425" i="1"/>
  <c r="P1422" i="1"/>
  <c r="P1430" i="1"/>
  <c r="L1429" i="1"/>
  <c r="L1428" i="1"/>
  <c r="L1421" i="1"/>
  <c r="L1424" i="1"/>
  <c r="L1426" i="1"/>
  <c r="L1427" i="1"/>
  <c r="L1431" i="1"/>
  <c r="L1423" i="1"/>
  <c r="L1430" i="1"/>
  <c r="L1425" i="1"/>
  <c r="L1422" i="1"/>
  <c r="L1420" i="1"/>
  <c r="F1423" i="1"/>
  <c r="F1420" i="1"/>
  <c r="F1426" i="1"/>
  <c r="F1427" i="1"/>
  <c r="F1424" i="1"/>
  <c r="F1429" i="1"/>
  <c r="F1428" i="1"/>
  <c r="F1430" i="1"/>
  <c r="F1421" i="1"/>
  <c r="F1422" i="1"/>
  <c r="F1431" i="1"/>
  <c r="F1425" i="1"/>
  <c r="I1319" i="3" l="1"/>
  <c r="D449" i="1"/>
  <c r="D1319" i="3" s="1"/>
  <c r="F892" i="3"/>
  <c r="F898" i="3"/>
  <c r="F889" i="3"/>
  <c r="F888" i="3"/>
  <c r="F897" i="3"/>
  <c r="F895" i="3"/>
  <c r="F896" i="3"/>
  <c r="F891" i="3"/>
  <c r="F894" i="3"/>
  <c r="F893" i="3"/>
  <c r="F887" i="3"/>
  <c r="F1433" i="1"/>
  <c r="F890" i="3"/>
  <c r="L887" i="3"/>
  <c r="L1433" i="1"/>
  <c r="L889" i="3"/>
  <c r="L892" i="3"/>
  <c r="L897" i="3"/>
  <c r="L890" i="3"/>
  <c r="L898" i="3"/>
  <c r="L894" i="3"/>
  <c r="L893" i="3"/>
  <c r="L891" i="3"/>
  <c r="L888" i="3"/>
  <c r="L895" i="3"/>
  <c r="L896" i="3"/>
  <c r="P897" i="3"/>
  <c r="P889" i="3"/>
  <c r="P892" i="3"/>
  <c r="P887" i="3"/>
  <c r="P1433" i="1"/>
  <c r="P891" i="3"/>
  <c r="P893" i="3"/>
  <c r="P894" i="3"/>
  <c r="P896" i="3"/>
  <c r="P898" i="3"/>
  <c r="P888" i="3"/>
  <c r="P895" i="3"/>
  <c r="P890" i="3"/>
  <c r="H891" i="3"/>
  <c r="H892" i="3"/>
  <c r="H896" i="3"/>
  <c r="H889" i="3"/>
  <c r="H1433" i="1"/>
  <c r="H887" i="3"/>
  <c r="H893" i="3"/>
  <c r="H895" i="3"/>
  <c r="H888" i="3"/>
  <c r="H890" i="3"/>
  <c r="H894" i="3"/>
  <c r="H897" i="3"/>
  <c r="H898" i="3"/>
  <c r="O897" i="3"/>
  <c r="N1430" i="1"/>
  <c r="N897" i="3" s="1"/>
  <c r="N1424" i="1"/>
  <c r="N891" i="3" s="1"/>
  <c r="O891" i="3"/>
  <c r="O1433" i="1"/>
  <c r="N1420" i="1"/>
  <c r="N887" i="3" s="1"/>
  <c r="O887" i="3"/>
  <c r="N1428" i="1"/>
  <c r="N895" i="3" s="1"/>
  <c r="O895" i="3"/>
  <c r="O890" i="3"/>
  <c r="N1423" i="1"/>
  <c r="N890" i="3" s="1"/>
  <c r="N1427" i="1"/>
  <c r="N894" i="3" s="1"/>
  <c r="O894" i="3"/>
  <c r="O892" i="3"/>
  <c r="N1425" i="1"/>
  <c r="N892" i="3" s="1"/>
  <c r="N1422" i="1"/>
  <c r="N889" i="3" s="1"/>
  <c r="O889" i="3"/>
  <c r="O893" i="3"/>
  <c r="N1426" i="1"/>
  <c r="N893" i="3" s="1"/>
  <c r="N1429" i="1"/>
  <c r="N896" i="3" s="1"/>
  <c r="O896" i="3"/>
  <c r="O888" i="3"/>
  <c r="N1421" i="1"/>
  <c r="N888" i="3" s="1"/>
  <c r="N1431" i="1"/>
  <c r="N898" i="3" s="1"/>
  <c r="O898" i="3"/>
  <c r="F1242" i="3"/>
  <c r="I1053" i="1"/>
  <c r="L1242" i="3"/>
  <c r="P1242" i="3"/>
  <c r="H1242" i="3"/>
  <c r="N371" i="1"/>
  <c r="O1242" i="3"/>
  <c r="I1423" i="1" l="1"/>
  <c r="I890" i="3" s="1"/>
  <c r="I1420" i="1"/>
  <c r="I887" i="3" s="1"/>
  <c r="I1424" i="1"/>
  <c r="I1425" i="1"/>
  <c r="H1435" i="1"/>
  <c r="H900" i="3"/>
  <c r="I1427" i="1"/>
  <c r="I528" i="3"/>
  <c r="D1053" i="1"/>
  <c r="D528" i="3" s="1"/>
  <c r="P1435" i="1"/>
  <c r="P900" i="3"/>
  <c r="L1435" i="1"/>
  <c r="L900" i="3"/>
  <c r="I1429" i="1"/>
  <c r="I1421" i="1"/>
  <c r="I1426" i="1"/>
  <c r="I1430" i="1"/>
  <c r="I1428" i="1"/>
  <c r="F900" i="3"/>
  <c r="F1435" i="1"/>
  <c r="N1242" i="3"/>
  <c r="I371" i="1"/>
  <c r="N1433" i="1"/>
  <c r="N900" i="3" s="1"/>
  <c r="O1435" i="1"/>
  <c r="O900" i="3"/>
  <c r="I1431" i="1"/>
  <c r="I1422" i="1"/>
  <c r="D1423" i="1" l="1"/>
  <c r="X1423" i="1" s="1"/>
  <c r="D1420" i="1"/>
  <c r="X1420" i="1" s="1"/>
  <c r="D1425" i="1"/>
  <c r="I892" i="3"/>
  <c r="I891" i="3"/>
  <c r="D1424" i="1"/>
  <c r="N1435" i="1"/>
  <c r="N902" i="3" s="1"/>
  <c r="O122" i="1"/>
  <c r="O902" i="3"/>
  <c r="L902" i="3"/>
  <c r="L122" i="1"/>
  <c r="AB1083" i="1"/>
  <c r="I893" i="3"/>
  <c r="D1426" i="1"/>
  <c r="D1427" i="1"/>
  <c r="I894" i="3"/>
  <c r="I898" i="3"/>
  <c r="D1431" i="1"/>
  <c r="D371" i="1"/>
  <c r="D1242" i="3" s="1"/>
  <c r="I1242" i="3"/>
  <c r="I888" i="3"/>
  <c r="D1421" i="1"/>
  <c r="I1433" i="1"/>
  <c r="P122" i="1"/>
  <c r="P1003" i="3" s="1"/>
  <c r="P902" i="3"/>
  <c r="I897" i="3"/>
  <c r="D1430" i="1"/>
  <c r="I889" i="3"/>
  <c r="D1422" i="1"/>
  <c r="Z1083" i="1"/>
  <c r="F902" i="3"/>
  <c r="F122" i="1"/>
  <c r="F1003" i="3" s="1"/>
  <c r="D1428" i="1"/>
  <c r="I895" i="3"/>
  <c r="I896" i="3"/>
  <c r="D1429" i="1"/>
  <c r="H902" i="3"/>
  <c r="AA1083" i="1"/>
  <c r="H122" i="1"/>
  <c r="H1003" i="3" s="1"/>
  <c r="D890" i="3" l="1"/>
  <c r="D887" i="3"/>
  <c r="D891" i="3"/>
  <c r="X1424" i="1"/>
  <c r="D892" i="3"/>
  <c r="X1425" i="1"/>
  <c r="X1431" i="1"/>
  <c r="D898" i="3"/>
  <c r="L1003" i="3"/>
  <c r="X1428" i="1"/>
  <c r="D895" i="3"/>
  <c r="X1422" i="1"/>
  <c r="D889" i="3"/>
  <c r="D893" i="3"/>
  <c r="X1426" i="1"/>
  <c r="X1430" i="1"/>
  <c r="D897" i="3"/>
  <c r="I900" i="3"/>
  <c r="D1433" i="1"/>
  <c r="D900" i="3" s="1"/>
  <c r="Y1083" i="1"/>
  <c r="Z1082" i="1" s="1"/>
  <c r="Z1081" i="1" s="1"/>
  <c r="D888" i="3"/>
  <c r="X1421" i="1"/>
  <c r="D894" i="3"/>
  <c r="X1427" i="1"/>
  <c r="N122" i="1"/>
  <c r="N1003" i="3" s="1"/>
  <c r="O1003" i="3"/>
  <c r="X1429" i="1"/>
  <c r="D896" i="3"/>
  <c r="I1435" i="1"/>
  <c r="AA1082" i="1" l="1"/>
  <c r="AA1081" i="1" s="1"/>
  <c r="I902" i="3"/>
  <c r="D1435" i="1"/>
  <c r="I122" i="1"/>
  <c r="AB1082" i="1"/>
  <c r="AB1081" i="1" s="1"/>
  <c r="AD1081" i="1" l="1"/>
  <c r="T1081" i="1" s="1"/>
  <c r="I1003" i="3"/>
  <c r="D122" i="1"/>
  <c r="U1435" i="1"/>
  <c r="D902" i="3"/>
  <c r="D1003" i="3" l="1"/>
  <c r="O370" i="1"/>
  <c r="F370" i="1"/>
  <c r="H370" i="1"/>
  <c r="P370" i="1"/>
  <c r="L370" i="1"/>
  <c r="Q370" i="1"/>
  <c r="P1081" i="1"/>
  <c r="P750" i="1"/>
  <c r="P741" i="1"/>
  <c r="P737" i="1"/>
  <c r="P1211" i="1"/>
  <c r="P735" i="1"/>
  <c r="P1079" i="1"/>
  <c r="P740" i="1"/>
  <c r="P1077" i="1"/>
  <c r="P736" i="1"/>
  <c r="P1210" i="1"/>
  <c r="P742" i="1"/>
  <c r="P743" i="1"/>
  <c r="P1088" i="1"/>
  <c r="P1078" i="1"/>
  <c r="P1076" i="1"/>
  <c r="P738" i="1"/>
  <c r="P739" i="1"/>
  <c r="P1087" i="1"/>
  <c r="P734" i="1"/>
  <c r="P1080" i="1"/>
  <c r="P1089" i="1"/>
  <c r="O736" i="1"/>
  <c r="O739" i="1"/>
  <c r="O1089" i="1"/>
  <c r="O740" i="1"/>
  <c r="O741" i="1"/>
  <c r="O737" i="1"/>
  <c r="O1078" i="1"/>
  <c r="O734" i="1"/>
  <c r="O735" i="1"/>
  <c r="O1088" i="1"/>
  <c r="O738" i="1"/>
  <c r="O742" i="1"/>
  <c r="O1211" i="1"/>
  <c r="O1210" i="1"/>
  <c r="O743" i="1"/>
  <c r="O1077" i="1"/>
  <c r="O1087" i="1"/>
  <c r="O1079" i="1"/>
  <c r="O1076" i="1"/>
  <c r="O750" i="1"/>
  <c r="O1080" i="1"/>
  <c r="O1081" i="1"/>
  <c r="L1081" i="1"/>
  <c r="L739" i="1"/>
  <c r="L743" i="1"/>
  <c r="L1088" i="1"/>
  <c r="L734" i="1"/>
  <c r="L742" i="1"/>
  <c r="L1078" i="1"/>
  <c r="L1210" i="1"/>
  <c r="L1079" i="1"/>
  <c r="L740" i="1"/>
  <c r="L1080" i="1"/>
  <c r="L1077" i="1"/>
  <c r="L738" i="1"/>
  <c r="L741" i="1"/>
  <c r="L1076" i="1"/>
  <c r="L750" i="1"/>
  <c r="L1211" i="1"/>
  <c r="L735" i="1"/>
  <c r="L1089" i="1"/>
  <c r="L736" i="1"/>
  <c r="L1087" i="1"/>
  <c r="L737" i="1"/>
  <c r="F1081" i="1"/>
  <c r="F1088" i="1"/>
  <c r="F736" i="1"/>
  <c r="F1210" i="1"/>
  <c r="F1076" i="1"/>
  <c r="F1080" i="1"/>
  <c r="F1077" i="1"/>
  <c r="F743" i="1"/>
  <c r="F741" i="1"/>
  <c r="F738" i="1"/>
  <c r="F739" i="1"/>
  <c r="F1087" i="1"/>
  <c r="F735" i="1"/>
  <c r="F737" i="1"/>
  <c r="F1078" i="1"/>
  <c r="F1079" i="1"/>
  <c r="F1211" i="1"/>
  <c r="F1089" i="1"/>
  <c r="F750" i="1"/>
  <c r="F734" i="1"/>
  <c r="F742" i="1"/>
  <c r="F740" i="1"/>
  <c r="Q741" i="1"/>
  <c r="Q737" i="1"/>
  <c r="Q1210" i="1"/>
  <c r="Q1079" i="1"/>
  <c r="Q1077" i="1"/>
  <c r="Q1088" i="1"/>
  <c r="Q1078" i="1"/>
  <c r="Q1089" i="1"/>
  <c r="Q1080" i="1"/>
  <c r="Q739" i="1"/>
  <c r="Q736" i="1"/>
  <c r="Q738" i="1"/>
  <c r="Q740" i="1"/>
  <c r="Q1211" i="1"/>
  <c r="Q743" i="1"/>
  <c r="Q735" i="1"/>
  <c r="Q734" i="1"/>
  <c r="Q750" i="1"/>
  <c r="Q742" i="1"/>
  <c r="Q1087" i="1"/>
  <c r="Q1076" i="1"/>
  <c r="Q1081" i="1"/>
  <c r="H1077" i="1"/>
  <c r="H736" i="1"/>
  <c r="H1076" i="1"/>
  <c r="H1211" i="1"/>
  <c r="H737" i="1"/>
  <c r="H1210" i="1"/>
  <c r="H739" i="1"/>
  <c r="H1087" i="1"/>
  <c r="H1078" i="1"/>
  <c r="H1088" i="1"/>
  <c r="H891" i="1"/>
  <c r="H734" i="1"/>
  <c r="H735" i="1"/>
  <c r="H750" i="1"/>
  <c r="H740" i="1"/>
  <c r="H743" i="1"/>
  <c r="H742" i="1"/>
  <c r="H1089" i="1"/>
  <c r="H1079" i="1"/>
  <c r="H1217" i="1"/>
  <c r="H738" i="1"/>
  <c r="H741" i="1"/>
  <c r="H1080" i="1"/>
  <c r="H1081" i="1"/>
  <c r="H556" i="3" l="1"/>
  <c r="H555" i="3"/>
  <c r="H216" i="3"/>
  <c r="H213" i="3"/>
  <c r="H579" i="1"/>
  <c r="H55" i="3" s="1"/>
  <c r="H688" i="3"/>
  <c r="T1218" i="1"/>
  <c r="Y1219" i="1" s="1"/>
  <c r="H554" i="3"/>
  <c r="H1107" i="1"/>
  <c r="H560" i="3"/>
  <c r="H217" i="3"/>
  <c r="H218" i="3"/>
  <c r="H215" i="3"/>
  <c r="H751" i="1"/>
  <c r="H226" i="3" s="1"/>
  <c r="H225" i="3"/>
  <c r="H210" i="3"/>
  <c r="H209" i="3"/>
  <c r="H744" i="1"/>
  <c r="H563" i="1"/>
  <c r="H39" i="3" s="1"/>
  <c r="H366" i="3"/>
  <c r="H559" i="3"/>
  <c r="H553" i="3"/>
  <c r="H558" i="3"/>
  <c r="H214" i="3"/>
  <c r="H681" i="3"/>
  <c r="H212" i="3"/>
  <c r="H682" i="3"/>
  <c r="H551" i="3"/>
  <c r="H1090" i="1"/>
  <c r="H561" i="3" s="1"/>
  <c r="H211" i="3"/>
  <c r="H552" i="3"/>
  <c r="Q1090" i="1"/>
  <c r="Q751" i="1"/>
  <c r="Q744" i="1"/>
  <c r="F215" i="3"/>
  <c r="F217" i="3"/>
  <c r="F744" i="1"/>
  <c r="F209" i="3"/>
  <c r="F225" i="3"/>
  <c r="F751" i="1"/>
  <c r="F560" i="3"/>
  <c r="F1107" i="1"/>
  <c r="F682" i="3"/>
  <c r="F554" i="3"/>
  <c r="F553" i="3"/>
  <c r="F212" i="3"/>
  <c r="F210" i="3"/>
  <c r="F558" i="3"/>
  <c r="F214" i="3"/>
  <c r="F213" i="3"/>
  <c r="F216" i="3"/>
  <c r="F218" i="3"/>
  <c r="F552" i="3"/>
  <c r="F555" i="3"/>
  <c r="F551" i="3"/>
  <c r="F1090" i="1"/>
  <c r="F561" i="3" s="1"/>
  <c r="F681" i="3"/>
  <c r="F211" i="3"/>
  <c r="F559" i="3"/>
  <c r="F556" i="3"/>
  <c r="L212" i="3"/>
  <c r="L558" i="3"/>
  <c r="L211" i="3"/>
  <c r="L560" i="3"/>
  <c r="L1107" i="1"/>
  <c r="L210" i="3"/>
  <c r="L682" i="3"/>
  <c r="L225" i="3"/>
  <c r="L751" i="1"/>
  <c r="L551" i="3"/>
  <c r="L1090" i="1"/>
  <c r="L216" i="3"/>
  <c r="L213" i="3"/>
  <c r="L552" i="3"/>
  <c r="L555" i="3"/>
  <c r="L215" i="3"/>
  <c r="L554" i="3"/>
  <c r="L681" i="3"/>
  <c r="L553" i="3"/>
  <c r="L217" i="3"/>
  <c r="L209" i="3"/>
  <c r="L744" i="1"/>
  <c r="L559" i="3"/>
  <c r="L218" i="3"/>
  <c r="L214" i="3"/>
  <c r="L556" i="3"/>
  <c r="N1081" i="1"/>
  <c r="N556" i="3" s="1"/>
  <c r="O556" i="3"/>
  <c r="N1080" i="1"/>
  <c r="N555" i="3" s="1"/>
  <c r="O555" i="3"/>
  <c r="N750" i="1"/>
  <c r="N225" i="3" s="1"/>
  <c r="O225" i="3"/>
  <c r="O751" i="1"/>
  <c r="N1076" i="1"/>
  <c r="N551" i="3" s="1"/>
  <c r="O551" i="3"/>
  <c r="O1090" i="1"/>
  <c r="O554" i="3"/>
  <c r="N1079" i="1"/>
  <c r="N554" i="3" s="1"/>
  <c r="N1087" i="1"/>
  <c r="N558" i="3" s="1"/>
  <c r="O558" i="3"/>
  <c r="N1077" i="1"/>
  <c r="N552" i="3" s="1"/>
  <c r="O552" i="3"/>
  <c r="N743" i="1"/>
  <c r="N218" i="3" s="1"/>
  <c r="O218" i="3"/>
  <c r="O681" i="3"/>
  <c r="N1210" i="1"/>
  <c r="N681" i="3" s="1"/>
  <c r="O682" i="3"/>
  <c r="N1211" i="1"/>
  <c r="N682" i="3" s="1"/>
  <c r="O217" i="3"/>
  <c r="N742" i="1"/>
  <c r="N217" i="3" s="1"/>
  <c r="N738" i="1"/>
  <c r="N213" i="3" s="1"/>
  <c r="O213" i="3"/>
  <c r="N1088" i="1"/>
  <c r="N559" i="3" s="1"/>
  <c r="O559" i="3"/>
  <c r="O210" i="3"/>
  <c r="N735" i="1"/>
  <c r="N210" i="3" s="1"/>
  <c r="O209" i="3"/>
  <c r="O744" i="1"/>
  <c r="N734" i="1"/>
  <c r="N209" i="3" s="1"/>
  <c r="N1078" i="1"/>
  <c r="N553" i="3" s="1"/>
  <c r="O553" i="3"/>
  <c r="N737" i="1"/>
  <c r="N212" i="3" s="1"/>
  <c r="O212" i="3"/>
  <c r="O216" i="3"/>
  <c r="N741" i="1"/>
  <c r="N216" i="3" s="1"/>
  <c r="O215" i="3"/>
  <c r="N740" i="1"/>
  <c r="N215" i="3" s="1"/>
  <c r="O560" i="3"/>
  <c r="N1089" i="1"/>
  <c r="I1089" i="1" s="1"/>
  <c r="I560" i="3" s="1"/>
  <c r="O214" i="3"/>
  <c r="N739" i="1"/>
  <c r="N214" i="3" s="1"/>
  <c r="O211" i="3"/>
  <c r="N736" i="1"/>
  <c r="N211" i="3" s="1"/>
  <c r="P560" i="3"/>
  <c r="P555" i="3"/>
  <c r="P209" i="3"/>
  <c r="P744" i="1"/>
  <c r="P558" i="3"/>
  <c r="P214" i="3"/>
  <c r="P213" i="3"/>
  <c r="P551" i="3"/>
  <c r="P1090" i="1"/>
  <c r="P561" i="3" s="1"/>
  <c r="P553" i="3"/>
  <c r="P559" i="3"/>
  <c r="P218" i="3"/>
  <c r="P217" i="3"/>
  <c r="P681" i="3"/>
  <c r="P211" i="3"/>
  <c r="P552" i="3"/>
  <c r="P215" i="3"/>
  <c r="P554" i="3"/>
  <c r="P210" i="3"/>
  <c r="P682" i="3"/>
  <c r="P212" i="3"/>
  <c r="P216" i="3"/>
  <c r="P751" i="1"/>
  <c r="P226" i="3" s="1"/>
  <c r="P225" i="3"/>
  <c r="P556" i="3"/>
  <c r="H1241" i="3"/>
  <c r="F1241" i="3"/>
  <c r="L1241" i="3"/>
  <c r="N370" i="1"/>
  <c r="N1241" i="3" s="1"/>
  <c r="O1241" i="3"/>
  <c r="P1241" i="3"/>
  <c r="I736" i="1" l="1"/>
  <c r="I211" i="3" s="1"/>
  <c r="I1088" i="1"/>
  <c r="I559" i="3" s="1"/>
  <c r="I734" i="1"/>
  <c r="I209" i="3" s="1"/>
  <c r="I750" i="1"/>
  <c r="I225" i="3" s="1"/>
  <c r="I741" i="1"/>
  <c r="I216" i="3" s="1"/>
  <c r="I1076" i="1"/>
  <c r="I551" i="3" s="1"/>
  <c r="I737" i="1"/>
  <c r="I212" i="3" s="1"/>
  <c r="I1210" i="1"/>
  <c r="I739" i="1"/>
  <c r="I214" i="3" s="1"/>
  <c r="I742" i="1"/>
  <c r="I217" i="3" s="1"/>
  <c r="N1090" i="1"/>
  <c r="N561" i="3" s="1"/>
  <c r="O561" i="3"/>
  <c r="I740" i="1"/>
  <c r="F226" i="3"/>
  <c r="I370" i="1"/>
  <c r="O132" i="1"/>
  <c r="N744" i="1"/>
  <c r="N219" i="3" s="1"/>
  <c r="O120" i="1"/>
  <c r="O219" i="3"/>
  <c r="I1081" i="1"/>
  <c r="L219" i="3"/>
  <c r="L132" i="1"/>
  <c r="L120" i="1"/>
  <c r="I1077" i="1"/>
  <c r="L226" i="3"/>
  <c r="I1087" i="1"/>
  <c r="D736" i="1"/>
  <c r="Q132" i="1"/>
  <c r="Q120" i="1"/>
  <c r="H219" i="3"/>
  <c r="H132" i="1"/>
  <c r="H1013" i="3" s="1"/>
  <c r="H120" i="1"/>
  <c r="H1001" i="3" s="1"/>
  <c r="I1078" i="1"/>
  <c r="D1088" i="1"/>
  <c r="F120" i="1"/>
  <c r="F219" i="3"/>
  <c r="F132" i="1"/>
  <c r="F1013" i="3" s="1"/>
  <c r="I1211" i="1"/>
  <c r="D737" i="1"/>
  <c r="D1089" i="1"/>
  <c r="P120" i="1"/>
  <c r="P1001" i="3" s="1"/>
  <c r="P132" i="1"/>
  <c r="P1013" i="3" s="1"/>
  <c r="P219" i="3"/>
  <c r="N1107" i="1"/>
  <c r="N560" i="3"/>
  <c r="N751" i="1"/>
  <c r="N226" i="3" s="1"/>
  <c r="O226" i="3"/>
  <c r="I743" i="1"/>
  <c r="I1079" i="1"/>
  <c r="I1080" i="1"/>
  <c r="I738" i="1"/>
  <c r="L561" i="3"/>
  <c r="I735" i="1"/>
  <c r="Q1279" i="1"/>
  <c r="L1279" i="1"/>
  <c r="H1279" i="1"/>
  <c r="D734" i="1" l="1"/>
  <c r="D1076" i="1"/>
  <c r="X1076" i="1" s="1"/>
  <c r="D750" i="1"/>
  <c r="D225" i="3" s="1"/>
  <c r="I744" i="1"/>
  <c r="I219" i="3" s="1"/>
  <c r="D742" i="1"/>
  <c r="D217" i="3" s="1"/>
  <c r="D741" i="1"/>
  <c r="D216" i="3" s="1"/>
  <c r="D739" i="1"/>
  <c r="U739" i="1" s="1"/>
  <c r="I1090" i="1"/>
  <c r="D1090" i="1" s="1"/>
  <c r="D561" i="3" s="1"/>
  <c r="I681" i="3"/>
  <c r="D1210" i="1"/>
  <c r="D681" i="3" s="1"/>
  <c r="I210" i="3"/>
  <c r="D735" i="1"/>
  <c r="I555" i="3"/>
  <c r="D1080" i="1"/>
  <c r="I558" i="3"/>
  <c r="D1087" i="1"/>
  <c r="I556" i="3"/>
  <c r="D1081" i="1"/>
  <c r="N132" i="1"/>
  <c r="N1013" i="3" s="1"/>
  <c r="O1013" i="3"/>
  <c r="I554" i="3"/>
  <c r="D1079" i="1"/>
  <c r="I682" i="3"/>
  <c r="D1211" i="1"/>
  <c r="D682" i="3" s="1"/>
  <c r="I751" i="1"/>
  <c r="I218" i="3"/>
  <c r="D743" i="1"/>
  <c r="D209" i="3"/>
  <c r="U734" i="1"/>
  <c r="D559" i="3"/>
  <c r="X1088" i="1"/>
  <c r="L1013" i="3"/>
  <c r="N120" i="1"/>
  <c r="N1001" i="3" s="1"/>
  <c r="O1001" i="3"/>
  <c r="D212" i="3"/>
  <c r="U737" i="1"/>
  <c r="I215" i="3"/>
  <c r="D740" i="1"/>
  <c r="F1001" i="3"/>
  <c r="F121" i="1"/>
  <c r="U742" i="1"/>
  <c r="L1001" i="3"/>
  <c r="I1241" i="3"/>
  <c r="D370" i="1"/>
  <c r="D1241" i="3" s="1"/>
  <c r="I213" i="3"/>
  <c r="D738" i="1"/>
  <c r="X1089" i="1"/>
  <c r="D1107" i="1"/>
  <c r="D560" i="3"/>
  <c r="I553" i="3"/>
  <c r="D1078" i="1"/>
  <c r="D211" i="3"/>
  <c r="U736" i="1"/>
  <c r="I552" i="3"/>
  <c r="D1077" i="1"/>
  <c r="H750" i="3"/>
  <c r="L750" i="3"/>
  <c r="U741" i="1" l="1"/>
  <c r="D551" i="3"/>
  <c r="D744" i="1"/>
  <c r="D219" i="3" s="1"/>
  <c r="D214" i="3"/>
  <c r="I561" i="3"/>
  <c r="I132" i="1"/>
  <c r="I120" i="1"/>
  <c r="I1001" i="3" s="1"/>
  <c r="U743" i="1"/>
  <c r="D218" i="3"/>
  <c r="I226" i="3"/>
  <c r="D751" i="1"/>
  <c r="X1081" i="1"/>
  <c r="D556" i="3"/>
  <c r="X1078" i="1"/>
  <c r="D553" i="3"/>
  <c r="D121" i="1"/>
  <c r="D1002" i="3" s="1"/>
  <c r="F1002" i="3"/>
  <c r="D213" i="3"/>
  <c r="U738" i="1"/>
  <c r="D558" i="3"/>
  <c r="X1087" i="1"/>
  <c r="D210" i="3"/>
  <c r="U735" i="1"/>
  <c r="D555" i="3"/>
  <c r="X1080" i="1"/>
  <c r="X1077" i="1"/>
  <c r="D552" i="3"/>
  <c r="U740" i="1"/>
  <c r="D215" i="3"/>
  <c r="D554" i="3"/>
  <c r="X1079" i="1"/>
  <c r="U744" i="1" l="1"/>
  <c r="D120" i="1"/>
  <c r="L368" i="1" s="1"/>
  <c r="I1013" i="3"/>
  <c r="D132" i="1"/>
  <c r="U751" i="1"/>
  <c r="D226" i="3"/>
  <c r="P368" i="1"/>
  <c r="F369" i="1"/>
  <c r="L593" i="1"/>
  <c r="L595" i="1"/>
  <c r="F594" i="1"/>
  <c r="P595" i="1"/>
  <c r="P593" i="1"/>
  <c r="O368" i="1" l="1"/>
  <c r="D1001" i="3"/>
  <c r="Q368" i="1"/>
  <c r="F368" i="1"/>
  <c r="F1239" i="3" s="1"/>
  <c r="H368" i="1"/>
  <c r="F380" i="1"/>
  <c r="P380" i="1"/>
  <c r="D1013" i="3"/>
  <c r="O380" i="1"/>
  <c r="Q380" i="1"/>
  <c r="H380" i="1"/>
  <c r="L380" i="1"/>
  <c r="P596" i="1"/>
  <c r="P68" i="3"/>
  <c r="P134" i="1"/>
  <c r="P1015" i="3" s="1"/>
  <c r="P70" i="3"/>
  <c r="F69" i="3"/>
  <c r="D594" i="1"/>
  <c r="D69" i="3" s="1"/>
  <c r="F133" i="1"/>
  <c r="L134" i="1"/>
  <c r="L70" i="3"/>
  <c r="L68" i="3"/>
  <c r="L596" i="1"/>
  <c r="P1239" i="3"/>
  <c r="F1240" i="3"/>
  <c r="D369" i="1"/>
  <c r="D1240" i="3" s="1"/>
  <c r="L1239" i="3"/>
  <c r="Q593" i="1"/>
  <c r="Q595" i="1"/>
  <c r="F595" i="1"/>
  <c r="F593" i="1"/>
  <c r="O595" i="1"/>
  <c r="O593" i="1"/>
  <c r="H595" i="1"/>
  <c r="H593" i="1"/>
  <c r="F1238" i="1"/>
  <c r="F791" i="1"/>
  <c r="F885" i="1"/>
  <c r="F1147" i="1"/>
  <c r="F823" i="1"/>
  <c r="F834" i="1"/>
  <c r="F1229" i="1"/>
  <c r="F875" i="1"/>
  <c r="Q1229" i="1"/>
  <c r="Q1238" i="1"/>
  <c r="Q1147" i="1"/>
  <c r="Q885" i="1"/>
  <c r="Q834" i="1"/>
  <c r="Q791" i="1"/>
  <c r="Q823" i="1"/>
  <c r="Q875" i="1"/>
  <c r="P1229" i="1"/>
  <c r="P885" i="1"/>
  <c r="P823" i="1"/>
  <c r="P1238" i="1"/>
  <c r="P834" i="1"/>
  <c r="P875" i="1"/>
  <c r="P791" i="1"/>
  <c r="P1147" i="1"/>
  <c r="H834" i="1"/>
  <c r="H885" i="1"/>
  <c r="H791" i="1"/>
  <c r="H1229" i="1"/>
  <c r="H875" i="1"/>
  <c r="H1147" i="1"/>
  <c r="H823" i="1"/>
  <c r="H1238" i="1"/>
  <c r="L1147" i="1"/>
  <c r="L875" i="1"/>
  <c r="L834" i="1"/>
  <c r="L823" i="1"/>
  <c r="L791" i="1"/>
  <c r="L885" i="1"/>
  <c r="L1238" i="1"/>
  <c r="L1229" i="1"/>
  <c r="O791" i="1"/>
  <c r="O1147" i="1"/>
  <c r="O885" i="1"/>
  <c r="O834" i="1"/>
  <c r="O1238" i="1"/>
  <c r="O823" i="1"/>
  <c r="O875" i="1"/>
  <c r="O1229" i="1"/>
  <c r="H68" i="3" l="1"/>
  <c r="H596" i="1"/>
  <c r="H71" i="3" s="1"/>
  <c r="H70" i="3"/>
  <c r="H134" i="1"/>
  <c r="H1015" i="3" s="1"/>
  <c r="O596" i="1"/>
  <c r="O753" i="1" s="1"/>
  <c r="N593" i="1"/>
  <c r="O68" i="3"/>
  <c r="O134" i="1"/>
  <c r="N134" i="1" s="1"/>
  <c r="N1015" i="3" s="1"/>
  <c r="N595" i="1"/>
  <c r="N70" i="3" s="1"/>
  <c r="O70" i="3"/>
  <c r="F68" i="3"/>
  <c r="F596" i="1"/>
  <c r="F71" i="3" s="1"/>
  <c r="F134" i="1"/>
  <c r="F1015" i="3" s="1"/>
  <c r="F70" i="3"/>
  <c r="Q134" i="1"/>
  <c r="Q596" i="1"/>
  <c r="Q753" i="1" s="1"/>
  <c r="Q150" i="1" s="1"/>
  <c r="H1239" i="3"/>
  <c r="O1239" i="3"/>
  <c r="N368" i="1"/>
  <c r="O1230" i="1"/>
  <c r="N1229" i="1"/>
  <c r="N700" i="3" s="1"/>
  <c r="O700" i="3"/>
  <c r="N875" i="1"/>
  <c r="N350" i="3" s="1"/>
  <c r="O877" i="1"/>
  <c r="O350" i="3"/>
  <c r="O298" i="3"/>
  <c r="N823" i="1"/>
  <c r="N298" i="3" s="1"/>
  <c r="O825" i="1"/>
  <c r="O1239" i="1"/>
  <c r="O709" i="3"/>
  <c r="N1238" i="1"/>
  <c r="N709" i="3" s="1"/>
  <c r="O309" i="3"/>
  <c r="N834" i="1"/>
  <c r="N309" i="3" s="1"/>
  <c r="O138" i="1"/>
  <c r="O360" i="3"/>
  <c r="O886" i="1"/>
  <c r="N885" i="1"/>
  <c r="N360" i="3" s="1"/>
  <c r="N1147" i="1"/>
  <c r="N618" i="3" s="1"/>
  <c r="O618" i="3"/>
  <c r="O266" i="3"/>
  <c r="N791" i="1"/>
  <c r="N266" i="3" s="1"/>
  <c r="L1230" i="1"/>
  <c r="L700" i="3"/>
  <c r="L1239" i="1"/>
  <c r="L709" i="3"/>
  <c r="L886" i="1"/>
  <c r="L360" i="3"/>
  <c r="I885" i="1"/>
  <c r="I360" i="3" s="1"/>
  <c r="L266" i="3"/>
  <c r="L298" i="3"/>
  <c r="L825" i="1"/>
  <c r="L309" i="3"/>
  <c r="L138" i="1"/>
  <c r="L350" i="3"/>
  <c r="L877" i="1"/>
  <c r="L618" i="3"/>
  <c r="H709" i="3"/>
  <c r="H1239" i="1"/>
  <c r="H825" i="1"/>
  <c r="H298" i="3"/>
  <c r="H618" i="3"/>
  <c r="H877" i="1"/>
  <c r="H350" i="3"/>
  <c r="H1230" i="1"/>
  <c r="H700" i="3"/>
  <c r="H266" i="3"/>
  <c r="H360" i="3"/>
  <c r="H886" i="1"/>
  <c r="H309" i="3"/>
  <c r="H138" i="1"/>
  <c r="P618" i="3"/>
  <c r="P266" i="3"/>
  <c r="P350" i="3"/>
  <c r="P877" i="1"/>
  <c r="P309" i="3"/>
  <c r="P138" i="1"/>
  <c r="P1019" i="3" s="1"/>
  <c r="P1239" i="1"/>
  <c r="P709" i="3"/>
  <c r="P825" i="1"/>
  <c r="P298" i="3"/>
  <c r="P886" i="1"/>
  <c r="P360" i="3"/>
  <c r="P700" i="3"/>
  <c r="P1230" i="1"/>
  <c r="Q877" i="1"/>
  <c r="Q825" i="1"/>
  <c r="Q546" i="1" s="1"/>
  <c r="Q138" i="1"/>
  <c r="Q386" i="1" s="1"/>
  <c r="Q886" i="1"/>
  <c r="Q559" i="1" s="1"/>
  <c r="Q1239" i="1"/>
  <c r="Q1289" i="1" s="1"/>
  <c r="Q1230" i="1"/>
  <c r="Q179" i="1" s="1"/>
  <c r="F877" i="1"/>
  <c r="F350" i="3"/>
  <c r="F1230" i="1"/>
  <c r="F700" i="3"/>
  <c r="F309" i="3"/>
  <c r="F138" i="1"/>
  <c r="F298" i="3"/>
  <c r="F825" i="1"/>
  <c r="F618" i="3"/>
  <c r="F360" i="3"/>
  <c r="F886" i="1"/>
  <c r="F266" i="3"/>
  <c r="F1239" i="1"/>
  <c r="F709" i="3"/>
  <c r="O1251" i="3"/>
  <c r="N380" i="1"/>
  <c r="N1251" i="3" s="1"/>
  <c r="L1251" i="3"/>
  <c r="H1251" i="3"/>
  <c r="P1251" i="3"/>
  <c r="F1251" i="3"/>
  <c r="N1239" i="3"/>
  <c r="I368" i="1"/>
  <c r="L71" i="3"/>
  <c r="L753" i="1"/>
  <c r="L1015" i="3"/>
  <c r="H753" i="1"/>
  <c r="D133" i="1"/>
  <c r="D1014" i="3" s="1"/>
  <c r="F1014" i="3"/>
  <c r="P753" i="1"/>
  <c r="P71" i="3"/>
  <c r="Q835" i="1"/>
  <c r="O1015" i="3" l="1"/>
  <c r="N596" i="1"/>
  <c r="Q148" i="1"/>
  <c r="Q541" i="1"/>
  <c r="I595" i="1"/>
  <c r="I70" i="3" s="1"/>
  <c r="O71" i="3"/>
  <c r="F753" i="1"/>
  <c r="F150" i="1" s="1"/>
  <c r="F1031" i="3" s="1"/>
  <c r="I1238" i="1"/>
  <c r="I709" i="3" s="1"/>
  <c r="I823" i="1"/>
  <c r="I298" i="3" s="1"/>
  <c r="N68" i="3"/>
  <c r="I593" i="1"/>
  <c r="I1147" i="1"/>
  <c r="I618" i="3" s="1"/>
  <c r="I834" i="1"/>
  <c r="I309" i="3" s="1"/>
  <c r="I791" i="1"/>
  <c r="I1229" i="1"/>
  <c r="I700" i="3" s="1"/>
  <c r="D885" i="1"/>
  <c r="D360" i="3" s="1"/>
  <c r="F381" i="1"/>
  <c r="D381" i="1" s="1"/>
  <c r="D1252" i="3" s="1"/>
  <c r="Q836" i="1"/>
  <c r="F352" i="3"/>
  <c r="F892" i="1"/>
  <c r="F367" i="3" s="1"/>
  <c r="F558" i="1"/>
  <c r="P701" i="3"/>
  <c r="P179" i="1"/>
  <c r="P1060" i="3" s="1"/>
  <c r="P217" i="1"/>
  <c r="P1098" i="3" s="1"/>
  <c r="H559" i="1"/>
  <c r="H35" i="3" s="1"/>
  <c r="H361" i="3"/>
  <c r="F559" i="1"/>
  <c r="F35" i="3" s="1"/>
  <c r="F361" i="3"/>
  <c r="F1019" i="3"/>
  <c r="H546" i="1"/>
  <c r="H22" i="3" s="1"/>
  <c r="H300" i="3"/>
  <c r="L546" i="1"/>
  <c r="L300" i="3"/>
  <c r="L701" i="3"/>
  <c r="L179" i="1"/>
  <c r="L217" i="1"/>
  <c r="O1019" i="3"/>
  <c r="N138" i="1"/>
  <c r="N1019" i="3" s="1"/>
  <c r="F546" i="1"/>
  <c r="F300" i="3"/>
  <c r="P352" i="3"/>
  <c r="P892" i="1"/>
  <c r="P367" i="3" s="1"/>
  <c r="P558" i="1"/>
  <c r="H1019" i="3"/>
  <c r="H558" i="1"/>
  <c r="H352" i="3"/>
  <c r="H892" i="1"/>
  <c r="H367" i="3" s="1"/>
  <c r="H1289" i="1"/>
  <c r="H760" i="3" s="1"/>
  <c r="H710" i="3"/>
  <c r="I875" i="1"/>
  <c r="L1019" i="3"/>
  <c r="L1289" i="1"/>
  <c r="L710" i="3"/>
  <c r="O710" i="3"/>
  <c r="O1289" i="1"/>
  <c r="N1239" i="1"/>
  <c r="N710" i="3" s="1"/>
  <c r="H179" i="1"/>
  <c r="H1060" i="3" s="1"/>
  <c r="H701" i="3"/>
  <c r="H217" i="1"/>
  <c r="H1098" i="3" s="1"/>
  <c r="F1289" i="1"/>
  <c r="F710" i="3"/>
  <c r="F179" i="1"/>
  <c r="F1060" i="3" s="1"/>
  <c r="F701" i="3"/>
  <c r="F217" i="1"/>
  <c r="F1098" i="3" s="1"/>
  <c r="P546" i="1"/>
  <c r="P22" i="3" s="1"/>
  <c r="P300" i="3"/>
  <c r="I380" i="1"/>
  <c r="D1238" i="1"/>
  <c r="D709" i="3" s="1"/>
  <c r="Q558" i="1"/>
  <c r="Q564" i="1" s="1"/>
  <c r="Q892" i="1"/>
  <c r="P559" i="1"/>
  <c r="P35" i="3" s="1"/>
  <c r="P361" i="3"/>
  <c r="P1289" i="1"/>
  <c r="P760" i="3" s="1"/>
  <c r="P710" i="3"/>
  <c r="L892" i="1"/>
  <c r="L352" i="3"/>
  <c r="L558" i="1"/>
  <c r="L559" i="1"/>
  <c r="L361" i="3"/>
  <c r="O361" i="3"/>
  <c r="N886" i="1"/>
  <c r="N361" i="3" s="1"/>
  <c r="O559" i="1"/>
  <c r="O300" i="3"/>
  <c r="O546" i="1"/>
  <c r="N825" i="1"/>
  <c r="N300" i="3" s="1"/>
  <c r="O892" i="1"/>
  <c r="O352" i="3"/>
  <c r="N877" i="1"/>
  <c r="N352" i="3" s="1"/>
  <c r="O558" i="1"/>
  <c r="O179" i="1"/>
  <c r="O701" i="3"/>
  <c r="N1230" i="1"/>
  <c r="N701" i="3" s="1"/>
  <c r="O217" i="1"/>
  <c r="P541" i="1"/>
  <c r="P17" i="3" s="1"/>
  <c r="P148" i="1"/>
  <c r="P1029" i="3" s="1"/>
  <c r="P228" i="3"/>
  <c r="P150" i="1"/>
  <c r="P1031" i="3" s="1"/>
  <c r="N71" i="3"/>
  <c r="I596" i="1"/>
  <c r="H228" i="3"/>
  <c r="H151" i="1"/>
  <c r="H148" i="1"/>
  <c r="H1029" i="3" s="1"/>
  <c r="H541" i="1"/>
  <c r="H17" i="3" s="1"/>
  <c r="I1239" i="3"/>
  <c r="D368" i="1"/>
  <c r="D1239" i="3" s="1"/>
  <c r="F228" i="3"/>
  <c r="F148" i="1"/>
  <c r="F1029" i="3" s="1"/>
  <c r="I134" i="1"/>
  <c r="O541" i="1"/>
  <c r="O148" i="1"/>
  <c r="O150" i="1"/>
  <c r="N753" i="1"/>
  <c r="N228" i="3" s="1"/>
  <c r="O228" i="3"/>
  <c r="L228" i="3"/>
  <c r="L541" i="1"/>
  <c r="L17" i="3" s="1"/>
  <c r="L148" i="1"/>
  <c r="F1151" i="1"/>
  <c r="F793" i="1"/>
  <c r="D1147" i="1" l="1"/>
  <c r="D618" i="3" s="1"/>
  <c r="F149" i="1"/>
  <c r="F541" i="1"/>
  <c r="F17" i="3" s="1"/>
  <c r="D823" i="1"/>
  <c r="D298" i="3" s="1"/>
  <c r="D595" i="1"/>
  <c r="D70" i="3" s="1"/>
  <c r="F1252" i="3"/>
  <c r="I68" i="3"/>
  <c r="D593" i="1"/>
  <c r="D68" i="3" s="1"/>
  <c r="D834" i="1"/>
  <c r="D309" i="3" s="1"/>
  <c r="D1229" i="1"/>
  <c r="D700" i="3" s="1"/>
  <c r="D793" i="1"/>
  <c r="D268" i="3" s="1"/>
  <c r="F268" i="3"/>
  <c r="F622" i="3"/>
  <c r="D1151" i="1"/>
  <c r="D622" i="3" s="1"/>
  <c r="I266" i="3"/>
  <c r="D791" i="1"/>
  <c r="D266" i="3" s="1"/>
  <c r="N546" i="1"/>
  <c r="N22" i="3" s="1"/>
  <c r="O22" i="3"/>
  <c r="I877" i="1"/>
  <c r="O760" i="3"/>
  <c r="N1289" i="1"/>
  <c r="N760" i="3" s="1"/>
  <c r="L760" i="3"/>
  <c r="F22" i="3"/>
  <c r="L1098" i="3"/>
  <c r="I753" i="1"/>
  <c r="I228" i="3" s="1"/>
  <c r="L34" i="3"/>
  <c r="L564" i="1"/>
  <c r="F760" i="3"/>
  <c r="H564" i="1"/>
  <c r="H40" i="3" s="1"/>
  <c r="H34" i="3"/>
  <c r="L1060" i="3"/>
  <c r="L22" i="3"/>
  <c r="O1060" i="3"/>
  <c r="N179" i="1"/>
  <c r="N1060" i="3" s="1"/>
  <c r="N892" i="1"/>
  <c r="N367" i="3" s="1"/>
  <c r="O367" i="3"/>
  <c r="O35" i="3"/>
  <c r="N559" i="1"/>
  <c r="N35" i="3" s="1"/>
  <c r="I886" i="1"/>
  <c r="I1239" i="1"/>
  <c r="I138" i="1"/>
  <c r="I1251" i="3"/>
  <c r="D380" i="1"/>
  <c r="D1251" i="3" s="1"/>
  <c r="I350" i="3"/>
  <c r="D875" i="1"/>
  <c r="D350" i="3" s="1"/>
  <c r="P564" i="1"/>
  <c r="P40" i="3" s="1"/>
  <c r="P34" i="3"/>
  <c r="O1098" i="3"/>
  <c r="N217" i="1"/>
  <c r="N1098" i="3" s="1"/>
  <c r="N558" i="1"/>
  <c r="N34" i="3" s="1"/>
  <c r="O564" i="1"/>
  <c r="O34" i="3"/>
  <c r="L35" i="3"/>
  <c r="I559" i="1"/>
  <c r="I35" i="3" s="1"/>
  <c r="L367" i="3"/>
  <c r="I1230" i="1"/>
  <c r="I825" i="1"/>
  <c r="F564" i="1"/>
  <c r="F40" i="3" s="1"/>
  <c r="F34" i="3"/>
  <c r="Q550" i="1"/>
  <c r="Q837" i="1"/>
  <c r="N148" i="1"/>
  <c r="N1029" i="3" s="1"/>
  <c r="O1029" i="3"/>
  <c r="I1015" i="3"/>
  <c r="D134" i="1"/>
  <c r="O1031" i="3"/>
  <c r="N150" i="1"/>
  <c r="L1029" i="3"/>
  <c r="N541" i="1"/>
  <c r="O17" i="3"/>
  <c r="F1030" i="3"/>
  <c r="D149" i="1"/>
  <c r="D1030" i="3" s="1"/>
  <c r="D151" i="1"/>
  <c r="D1032" i="3" s="1"/>
  <c r="H1032" i="3"/>
  <c r="D596" i="1"/>
  <c r="I71" i="3"/>
  <c r="I217" i="1" l="1"/>
  <c r="I1098" i="3" s="1"/>
  <c r="D753" i="1"/>
  <c r="D228" i="3" s="1"/>
  <c r="I179" i="1"/>
  <c r="I1060" i="3" s="1"/>
  <c r="I546" i="1"/>
  <c r="I22" i="3" s="1"/>
  <c r="H399" i="1"/>
  <c r="D399" i="1" s="1"/>
  <c r="D1270" i="3" s="1"/>
  <c r="I148" i="1"/>
  <c r="D148" i="1" s="1"/>
  <c r="I1289" i="1"/>
  <c r="I760" i="3" s="1"/>
  <c r="D559" i="1"/>
  <c r="D35" i="3" s="1"/>
  <c r="N564" i="1"/>
  <c r="N40" i="3" s="1"/>
  <c r="O40" i="3"/>
  <c r="I300" i="3"/>
  <c r="D825" i="1"/>
  <c r="I558" i="1"/>
  <c r="I352" i="3"/>
  <c r="D877" i="1"/>
  <c r="I701" i="3"/>
  <c r="D1230" i="1"/>
  <c r="D701" i="3" s="1"/>
  <c r="L40" i="3"/>
  <c r="I710" i="3"/>
  <c r="D1239" i="1"/>
  <c r="D710" i="3" s="1"/>
  <c r="I361" i="3"/>
  <c r="D886" i="1"/>
  <c r="D361" i="3" s="1"/>
  <c r="I892" i="1"/>
  <c r="I367" i="3" s="1"/>
  <c r="I1019" i="3"/>
  <c r="D138" i="1"/>
  <c r="L382" i="1"/>
  <c r="Q382" i="1"/>
  <c r="O382" i="1"/>
  <c r="D1015" i="3"/>
  <c r="F382" i="1"/>
  <c r="H382" i="1"/>
  <c r="P382" i="1"/>
  <c r="D71" i="3"/>
  <c r="U596" i="1"/>
  <c r="N17" i="3"/>
  <c r="I541" i="1"/>
  <c r="F397" i="1"/>
  <c r="I150" i="1"/>
  <c r="N1031" i="3"/>
  <c r="O794" i="1"/>
  <c r="O1149" i="1"/>
  <c r="P1149" i="1"/>
  <c r="P794" i="1"/>
  <c r="L1149" i="1"/>
  <c r="L794" i="1"/>
  <c r="F794" i="1"/>
  <c r="F1149" i="1"/>
  <c r="Q794" i="1"/>
  <c r="Q1149" i="1"/>
  <c r="H1149" i="1"/>
  <c r="H794" i="1"/>
  <c r="D179" i="1" l="1"/>
  <c r="D217" i="1"/>
  <c r="I465" i="1" s="1"/>
  <c r="I1335" i="3" s="1"/>
  <c r="H1270" i="3"/>
  <c r="F465" i="1"/>
  <c r="F1335" i="3" s="1"/>
  <c r="U753" i="1"/>
  <c r="I1029" i="3"/>
  <c r="D1289" i="1"/>
  <c r="D760" i="3" s="1"/>
  <c r="D546" i="1"/>
  <c r="D22" i="3" s="1"/>
  <c r="I564" i="1"/>
  <c r="I40" i="3" s="1"/>
  <c r="O465" i="1"/>
  <c r="P465" i="1"/>
  <c r="P1335" i="3" s="1"/>
  <c r="L465" i="1"/>
  <c r="L1335" i="3" s="1"/>
  <c r="D1098" i="3"/>
  <c r="H427" i="1"/>
  <c r="H1297" i="3" s="1"/>
  <c r="F427" i="1"/>
  <c r="F1297" i="3" s="1"/>
  <c r="Q427" i="1"/>
  <c r="O427" i="1"/>
  <c r="L427" i="1"/>
  <c r="L1297" i="3" s="1"/>
  <c r="D1060" i="3"/>
  <c r="P427" i="1"/>
  <c r="P1297" i="3" s="1"/>
  <c r="I34" i="3"/>
  <c r="D558" i="1"/>
  <c r="D1019" i="3"/>
  <c r="O386" i="1"/>
  <c r="H386" i="1"/>
  <c r="P386" i="1"/>
  <c r="L386" i="1"/>
  <c r="F386" i="1"/>
  <c r="U825" i="1"/>
  <c r="D300" i="3"/>
  <c r="D352" i="3"/>
  <c r="D892" i="1"/>
  <c r="D367" i="3" s="1"/>
  <c r="H796" i="1"/>
  <c r="H269" i="3"/>
  <c r="H620" i="3"/>
  <c r="H1153" i="1"/>
  <c r="Q1153" i="1"/>
  <c r="Q573" i="1" s="1"/>
  <c r="Q796" i="1"/>
  <c r="F1153" i="1"/>
  <c r="F620" i="3"/>
  <c r="F269" i="3"/>
  <c r="F796" i="1"/>
  <c r="L796" i="1"/>
  <c r="L269" i="3"/>
  <c r="L1153" i="1"/>
  <c r="L620" i="3"/>
  <c r="P269" i="3"/>
  <c r="P796" i="1"/>
  <c r="P620" i="3"/>
  <c r="P1153" i="1"/>
  <c r="N1149" i="1"/>
  <c r="N620" i="3" s="1"/>
  <c r="O620" i="3"/>
  <c r="O1153" i="1"/>
  <c r="N794" i="1"/>
  <c r="N269" i="3" s="1"/>
  <c r="O796" i="1"/>
  <c r="O269" i="3"/>
  <c r="F1268" i="3"/>
  <c r="D397" i="1"/>
  <c r="D1268" i="3" s="1"/>
  <c r="H1253" i="3"/>
  <c r="D541" i="1"/>
  <c r="D17" i="3" s="1"/>
  <c r="I17" i="3"/>
  <c r="F1253" i="3"/>
  <c r="L1253" i="3"/>
  <c r="F396" i="1"/>
  <c r="O396" i="1"/>
  <c r="L396" i="1"/>
  <c r="Q396" i="1"/>
  <c r="P396" i="1"/>
  <c r="D1029" i="3"/>
  <c r="H396" i="1"/>
  <c r="D150" i="1"/>
  <c r="I1031" i="3"/>
  <c r="P1253" i="3"/>
  <c r="O1253" i="3"/>
  <c r="N382" i="1"/>
  <c r="N1253" i="3" s="1"/>
  <c r="L1099" i="3"/>
  <c r="P835" i="1"/>
  <c r="O835" i="1"/>
  <c r="L835" i="1"/>
  <c r="F835" i="1"/>
  <c r="H835" i="1"/>
  <c r="L1072" i="1"/>
  <c r="L1212" i="1"/>
  <c r="H1216" i="1"/>
  <c r="H1212" i="1"/>
  <c r="H1072" i="1"/>
  <c r="Q1212" i="1"/>
  <c r="Q1072" i="1"/>
  <c r="P1212" i="1"/>
  <c r="P1072" i="1"/>
  <c r="O1072" i="1"/>
  <c r="O1212" i="1"/>
  <c r="F1212" i="1"/>
  <c r="F1072" i="1"/>
  <c r="H465" i="1" l="1"/>
  <c r="H1335" i="3" s="1"/>
  <c r="I794" i="1"/>
  <c r="I269" i="3" s="1"/>
  <c r="N465" i="1"/>
  <c r="N1335" i="3" s="1"/>
  <c r="O1335" i="3"/>
  <c r="H836" i="1"/>
  <c r="H310" i="3"/>
  <c r="F310" i="3"/>
  <c r="F836" i="1"/>
  <c r="L836" i="1"/>
  <c r="L310" i="3"/>
  <c r="N835" i="1"/>
  <c r="N310" i="3" s="1"/>
  <c r="O310" i="3"/>
  <c r="O836" i="1"/>
  <c r="P310" i="3"/>
  <c r="P836" i="1"/>
  <c r="H1257" i="3"/>
  <c r="O1297" i="3"/>
  <c r="N427" i="1"/>
  <c r="F1257" i="3"/>
  <c r="F25" i="11"/>
  <c r="F27" i="11" s="1"/>
  <c r="L1257" i="3"/>
  <c r="O1257" i="3"/>
  <c r="N386" i="1"/>
  <c r="N1257" i="3" s="1"/>
  <c r="P1257" i="3"/>
  <c r="D564" i="1"/>
  <c r="D40" i="3" s="1"/>
  <c r="D34" i="3"/>
  <c r="F547" i="3"/>
  <c r="F1073" i="1"/>
  <c r="F139" i="1"/>
  <c r="F1020" i="3" s="1"/>
  <c r="F683" i="3"/>
  <c r="O683" i="3"/>
  <c r="N1212" i="1"/>
  <c r="N683" i="3" s="1"/>
  <c r="O139" i="1"/>
  <c r="N1072" i="1"/>
  <c r="N547" i="3" s="1"/>
  <c r="O1073" i="1"/>
  <c r="O547" i="3"/>
  <c r="P547" i="3"/>
  <c r="P139" i="1"/>
  <c r="P1020" i="3" s="1"/>
  <c r="P1073" i="1"/>
  <c r="P683" i="3"/>
  <c r="Q139" i="1"/>
  <c r="Q1073" i="1"/>
  <c r="Q1103" i="1" s="1"/>
  <c r="H139" i="1"/>
  <c r="H1020" i="3" s="1"/>
  <c r="H1073" i="1"/>
  <c r="H547" i="3"/>
  <c r="H683" i="3"/>
  <c r="H578" i="1"/>
  <c r="H54" i="3" s="1"/>
  <c r="H687" i="3"/>
  <c r="L683" i="3"/>
  <c r="L547" i="3"/>
  <c r="L139" i="1"/>
  <c r="L1020" i="3" s="1"/>
  <c r="L1073" i="1"/>
  <c r="F1267" i="3"/>
  <c r="N396" i="1"/>
  <c r="O1267" i="3"/>
  <c r="P798" i="1"/>
  <c r="P543" i="1"/>
  <c r="P271" i="3"/>
  <c r="L573" i="1"/>
  <c r="L624" i="3"/>
  <c r="D794" i="1"/>
  <c r="D269" i="3" s="1"/>
  <c r="H624" i="3"/>
  <c r="H573" i="1"/>
  <c r="H49" i="3" s="1"/>
  <c r="P1267" i="3"/>
  <c r="O271" i="3"/>
  <c r="O798" i="1"/>
  <c r="N796" i="1"/>
  <c r="N271" i="3" s="1"/>
  <c r="O543" i="1"/>
  <c r="Q398" i="1"/>
  <c r="P398" i="1"/>
  <c r="P1269" i="3" s="1"/>
  <c r="D1031" i="3"/>
  <c r="O398" i="1"/>
  <c r="F398" i="1"/>
  <c r="F1269" i="3" s="1"/>
  <c r="I382" i="1"/>
  <c r="P624" i="3"/>
  <c r="P573" i="1"/>
  <c r="P49" i="3" s="1"/>
  <c r="I1149" i="1"/>
  <c r="Q543" i="1"/>
  <c r="Q544" i="1" s="1"/>
  <c r="Q547" i="1" s="1"/>
  <c r="Q798" i="1"/>
  <c r="Q176" i="1" s="1"/>
  <c r="F543" i="1"/>
  <c r="F798" i="1"/>
  <c r="F271" i="3"/>
  <c r="F624" i="3"/>
  <c r="F573" i="1"/>
  <c r="H1267" i="3"/>
  <c r="L1267" i="3"/>
  <c r="N1153" i="1"/>
  <c r="N624" i="3" s="1"/>
  <c r="O573" i="1"/>
  <c r="O624" i="3"/>
  <c r="L798" i="1"/>
  <c r="L543" i="1"/>
  <c r="L271" i="3"/>
  <c r="H271" i="3"/>
  <c r="H798" i="1"/>
  <c r="H543" i="1"/>
  <c r="I835" i="1" l="1"/>
  <c r="I310" i="3" s="1"/>
  <c r="D465" i="1"/>
  <c r="D1335" i="3" s="1"/>
  <c r="I1072" i="1"/>
  <c r="I547" i="3" s="1"/>
  <c r="L837" i="1"/>
  <c r="L550" i="1"/>
  <c r="L311" i="3"/>
  <c r="N1297" i="3"/>
  <c r="I427" i="1"/>
  <c r="F837" i="1"/>
  <c r="F550" i="1"/>
  <c r="F311" i="3"/>
  <c r="I796" i="1"/>
  <c r="O550" i="1"/>
  <c r="O837" i="1"/>
  <c r="O311" i="3"/>
  <c r="N836" i="1"/>
  <c r="N311" i="3" s="1"/>
  <c r="I386" i="1"/>
  <c r="P311" i="3"/>
  <c r="P550" i="1"/>
  <c r="P26" i="3" s="1"/>
  <c r="P837" i="1"/>
  <c r="P312" i="3" s="1"/>
  <c r="D835" i="1"/>
  <c r="D310" i="3" s="1"/>
  <c r="H550" i="1"/>
  <c r="H26" i="3" s="1"/>
  <c r="H311" i="3"/>
  <c r="H837" i="1"/>
  <c r="H312" i="3" s="1"/>
  <c r="F544" i="1"/>
  <c r="F19" i="3"/>
  <c r="I1253" i="3"/>
  <c r="D382" i="1"/>
  <c r="D1253" i="3" s="1"/>
  <c r="N798" i="1"/>
  <c r="N273" i="3" s="1"/>
  <c r="O273" i="3"/>
  <c r="O176" i="1"/>
  <c r="L49" i="3"/>
  <c r="N139" i="1"/>
  <c r="N1020" i="3" s="1"/>
  <c r="O1020" i="3"/>
  <c r="D1072" i="1"/>
  <c r="H273" i="3"/>
  <c r="H176" i="1"/>
  <c r="H1057" i="3" s="1"/>
  <c r="L19" i="3"/>
  <c r="L544" i="1"/>
  <c r="N398" i="1"/>
  <c r="O1269" i="3"/>
  <c r="O19" i="3"/>
  <c r="N543" i="1"/>
  <c r="N19" i="3" s="1"/>
  <c r="O544" i="1"/>
  <c r="I1153" i="1"/>
  <c r="P19" i="3"/>
  <c r="P544" i="1"/>
  <c r="P548" i="3"/>
  <c r="P1103" i="1"/>
  <c r="N1073" i="1"/>
  <c r="N548" i="3" s="1"/>
  <c r="O1103" i="1"/>
  <c r="O548" i="3"/>
  <c r="F1103" i="1"/>
  <c r="F548" i="3"/>
  <c r="H544" i="1"/>
  <c r="H19" i="3"/>
  <c r="O49" i="3"/>
  <c r="N573" i="1"/>
  <c r="N49" i="3" s="1"/>
  <c r="N1267" i="3"/>
  <c r="I396" i="1"/>
  <c r="H1103" i="1"/>
  <c r="H548" i="3"/>
  <c r="L176" i="1"/>
  <c r="L273" i="3"/>
  <c r="F49" i="3"/>
  <c r="F273" i="3"/>
  <c r="F176" i="1"/>
  <c r="F1057" i="3" s="1"/>
  <c r="I620" i="3"/>
  <c r="D1149" i="1"/>
  <c r="D620" i="3" s="1"/>
  <c r="P273" i="3"/>
  <c r="P176" i="1"/>
  <c r="P1057" i="3" s="1"/>
  <c r="L548" i="3"/>
  <c r="L1103" i="1"/>
  <c r="I1212" i="1"/>
  <c r="Q206" i="1"/>
  <c r="Q1105" i="1"/>
  <c r="I1073" i="1" l="1"/>
  <c r="I548" i="3" s="1"/>
  <c r="I836" i="1"/>
  <c r="I311" i="3" s="1"/>
  <c r="F26" i="3"/>
  <c r="I271" i="3"/>
  <c r="D796" i="1"/>
  <c r="F312" i="3"/>
  <c r="D427" i="1"/>
  <c r="D1297" i="3" s="1"/>
  <c r="I1297" i="3"/>
  <c r="L26" i="3"/>
  <c r="I1257" i="3"/>
  <c r="D386" i="1"/>
  <c r="D1257" i="3" s="1"/>
  <c r="N550" i="1"/>
  <c r="N26" i="3" s="1"/>
  <c r="O26" i="3"/>
  <c r="I798" i="1"/>
  <c r="I273" i="3" s="1"/>
  <c r="O312" i="3"/>
  <c r="N837" i="1"/>
  <c r="N312" i="3" s="1"/>
  <c r="L312" i="3"/>
  <c r="Q572" i="1"/>
  <c r="Q844" i="1"/>
  <c r="Q553" i="1" s="1"/>
  <c r="O547" i="1"/>
  <c r="N544" i="1"/>
  <c r="N20" i="3" s="1"/>
  <c r="O20" i="3"/>
  <c r="N1269" i="3"/>
  <c r="I398" i="1"/>
  <c r="L206" i="1"/>
  <c r="L1087" i="3" s="1"/>
  <c r="L574" i="3"/>
  <c r="L1105" i="1"/>
  <c r="L1106" i="1"/>
  <c r="L1108" i="1" s="1"/>
  <c r="H206" i="1"/>
  <c r="H1087" i="3" s="1"/>
  <c r="H1106" i="1"/>
  <c r="H1108" i="1" s="1"/>
  <c r="H574" i="3"/>
  <c r="H1105" i="1"/>
  <c r="F1106" i="1"/>
  <c r="F1108" i="1" s="1"/>
  <c r="F574" i="3"/>
  <c r="F206" i="1"/>
  <c r="F1087" i="3" s="1"/>
  <c r="F1105" i="1"/>
  <c r="P206" i="1"/>
  <c r="P1087" i="3" s="1"/>
  <c r="P574" i="3"/>
  <c r="P1105" i="1"/>
  <c r="I624" i="3"/>
  <c r="D1153" i="1"/>
  <c r="I1267" i="3"/>
  <c r="D396" i="1"/>
  <c r="D1267" i="3" s="1"/>
  <c r="L1057" i="3"/>
  <c r="H20" i="3"/>
  <c r="H547" i="1"/>
  <c r="H23" i="3" s="1"/>
  <c r="O574" i="3"/>
  <c r="O1105" i="1"/>
  <c r="N1103" i="1"/>
  <c r="O206" i="1"/>
  <c r="P20" i="3"/>
  <c r="P547" i="1"/>
  <c r="P23" i="3" s="1"/>
  <c r="I544" i="1"/>
  <c r="I20" i="3" s="1"/>
  <c r="L547" i="1"/>
  <c r="L20" i="3"/>
  <c r="D547" i="3"/>
  <c r="X1072" i="1"/>
  <c r="I573" i="1"/>
  <c r="F547" i="1"/>
  <c r="F23" i="3" s="1"/>
  <c r="F20" i="3"/>
  <c r="D544" i="1"/>
  <c r="D20" i="3" s="1"/>
  <c r="I683" i="3"/>
  <c r="D1212" i="1"/>
  <c r="D683" i="3" s="1"/>
  <c r="I543" i="1"/>
  <c r="I139" i="1"/>
  <c r="O1057" i="3"/>
  <c r="N176" i="1"/>
  <c r="N1057" i="3" s="1"/>
  <c r="D1073" i="1"/>
  <c r="D548" i="3" s="1"/>
  <c r="I837" i="1" l="1"/>
  <c r="I312" i="3" s="1"/>
  <c r="I550" i="1"/>
  <c r="I26" i="3" s="1"/>
  <c r="D836" i="1"/>
  <c r="D311" i="3" s="1"/>
  <c r="D837" i="1"/>
  <c r="D312" i="3" s="1"/>
  <c r="U796" i="1"/>
  <c r="D271" i="3"/>
  <c r="D798" i="1"/>
  <c r="D273" i="3" s="1"/>
  <c r="I1020" i="3"/>
  <c r="D139" i="1"/>
  <c r="H576" i="3"/>
  <c r="H572" i="1"/>
  <c r="H48" i="3" s="1"/>
  <c r="O844" i="1"/>
  <c r="O572" i="1"/>
  <c r="O576" i="3"/>
  <c r="N1105" i="1"/>
  <c r="N576" i="3" s="1"/>
  <c r="I176" i="1"/>
  <c r="AB1153" i="1"/>
  <c r="D624" i="3"/>
  <c r="I1269" i="3"/>
  <c r="D398" i="1"/>
  <c r="D1269" i="3" s="1"/>
  <c r="O23" i="3"/>
  <c r="N547" i="1"/>
  <c r="N23" i="3" s="1"/>
  <c r="I19" i="3"/>
  <c r="D543" i="1"/>
  <c r="D19" i="3" s="1"/>
  <c r="I49" i="3"/>
  <c r="D573" i="1"/>
  <c r="D49" i="3" s="1"/>
  <c r="L23" i="3"/>
  <c r="O1087" i="3"/>
  <c r="N206" i="1"/>
  <c r="P576" i="3"/>
  <c r="P572" i="1"/>
  <c r="P48" i="3" s="1"/>
  <c r="P844" i="1"/>
  <c r="L572" i="1"/>
  <c r="L48" i="3" s="1"/>
  <c r="L844" i="1"/>
  <c r="L576" i="3"/>
  <c r="F844" i="1"/>
  <c r="F576" i="3"/>
  <c r="F572" i="1"/>
  <c r="F48" i="3" s="1"/>
  <c r="N574" i="3"/>
  <c r="I1103" i="1"/>
  <c r="N1106" i="1"/>
  <c r="N1108" i="1" s="1"/>
  <c r="Q1280" i="1"/>
  <c r="L1280" i="1"/>
  <c r="H1280" i="1"/>
  <c r="D550" i="1" l="1"/>
  <c r="D26" i="3" s="1"/>
  <c r="I1105" i="1"/>
  <c r="I576" i="3" s="1"/>
  <c r="I547" i="1"/>
  <c r="P319" i="3"/>
  <c r="P553" i="1"/>
  <c r="P29" i="3" s="1"/>
  <c r="L319" i="3"/>
  <c r="L553" i="1"/>
  <c r="L29" i="3" s="1"/>
  <c r="N572" i="1"/>
  <c r="O48" i="3"/>
  <c r="F387" i="1"/>
  <c r="D1020" i="3"/>
  <c r="H387" i="1"/>
  <c r="O387" i="1"/>
  <c r="Q387" i="1"/>
  <c r="P387" i="1"/>
  <c r="L387" i="1"/>
  <c r="I1057" i="3"/>
  <c r="D176" i="1"/>
  <c r="O553" i="1"/>
  <c r="O319" i="3"/>
  <c r="N844" i="1"/>
  <c r="I574" i="3"/>
  <c r="D1103" i="1"/>
  <c r="F319" i="3"/>
  <c r="F553" i="1"/>
  <c r="F29" i="3" s="1"/>
  <c r="N1087" i="3"/>
  <c r="I206" i="1"/>
  <c r="D1105" i="1"/>
  <c r="H751" i="3"/>
  <c r="L751" i="3"/>
  <c r="H840" i="1"/>
  <c r="L840" i="1"/>
  <c r="O840" i="1"/>
  <c r="F840" i="1"/>
  <c r="P840" i="1"/>
  <c r="Q840" i="1"/>
  <c r="I23" i="3" l="1"/>
  <c r="D547" i="1"/>
  <c r="D23" i="3" s="1"/>
  <c r="Q842" i="1"/>
  <c r="P842" i="1"/>
  <c r="P315" i="3"/>
  <c r="F842" i="1"/>
  <c r="F315" i="3"/>
  <c r="O842" i="1"/>
  <c r="O315" i="3"/>
  <c r="N840" i="1"/>
  <c r="N315" i="3" s="1"/>
  <c r="L315" i="3"/>
  <c r="L842" i="1"/>
  <c r="H315" i="3"/>
  <c r="H842" i="1"/>
  <c r="I1087" i="3"/>
  <c r="D206" i="1"/>
  <c r="D1106" i="1"/>
  <c r="D1108" i="1" s="1"/>
  <c r="D574" i="3"/>
  <c r="N553" i="1"/>
  <c r="O29" i="3"/>
  <c r="P1258" i="3"/>
  <c r="P424" i="1"/>
  <c r="D1057" i="3"/>
  <c r="O424" i="1"/>
  <c r="F424" i="1"/>
  <c r="Q424" i="1"/>
  <c r="L424" i="1"/>
  <c r="H424" i="1"/>
  <c r="N25" i="11"/>
  <c r="N27" i="11" s="1"/>
  <c r="P25" i="11"/>
  <c r="P27" i="11" s="1"/>
  <c r="F1258" i="3"/>
  <c r="O25" i="11"/>
  <c r="O27" i="11" s="1"/>
  <c r="J25" i="11"/>
  <c r="J27" i="11" s="1"/>
  <c r="N319" i="3"/>
  <c r="I844" i="1"/>
  <c r="O1258" i="3"/>
  <c r="N387" i="1"/>
  <c r="AB1104" i="1"/>
  <c r="D576" i="3"/>
  <c r="L1258" i="3"/>
  <c r="H1258" i="3"/>
  <c r="N48" i="3"/>
  <c r="I572" i="1"/>
  <c r="F1207" i="1"/>
  <c r="L1207" i="1"/>
  <c r="P1207" i="1"/>
  <c r="Q1207" i="1"/>
  <c r="O1207" i="1"/>
  <c r="H1207" i="1"/>
  <c r="I840" i="1" l="1"/>
  <c r="I315" i="3" s="1"/>
  <c r="H1213" i="1"/>
  <c r="H678" i="3"/>
  <c r="N1207" i="1"/>
  <c r="N678" i="3" s="1"/>
  <c r="O678" i="3"/>
  <c r="O1213" i="1"/>
  <c r="Q1213" i="1"/>
  <c r="P678" i="3"/>
  <c r="P1213" i="1"/>
  <c r="L678" i="3"/>
  <c r="L1213" i="1"/>
  <c r="I1207" i="1"/>
  <c r="I678" i="3" s="1"/>
  <c r="F1213" i="1"/>
  <c r="F678" i="3"/>
  <c r="H1294" i="3"/>
  <c r="N424" i="1"/>
  <c r="N1294" i="3" s="1"/>
  <c r="O1294" i="3"/>
  <c r="H454" i="1"/>
  <c r="H1324" i="3" s="1"/>
  <c r="D1087" i="3"/>
  <c r="L454" i="1"/>
  <c r="L1324" i="3" s="1"/>
  <c r="O454" i="1"/>
  <c r="F454" i="1"/>
  <c r="F1324" i="3" s="1"/>
  <c r="P454" i="1"/>
  <c r="P1324" i="3" s="1"/>
  <c r="Q454" i="1"/>
  <c r="L846" i="1"/>
  <c r="L317" i="3"/>
  <c r="L552" i="1"/>
  <c r="F846" i="1"/>
  <c r="F317" i="3"/>
  <c r="F552" i="1"/>
  <c r="D572" i="1"/>
  <c r="D48" i="3" s="1"/>
  <c r="I48" i="3"/>
  <c r="O552" i="1"/>
  <c r="O317" i="3"/>
  <c r="O846" i="1"/>
  <c r="N842" i="1"/>
  <c r="P1294" i="3"/>
  <c r="H317" i="3"/>
  <c r="H846" i="1"/>
  <c r="H552" i="1"/>
  <c r="D840" i="1"/>
  <c r="D315" i="3" s="1"/>
  <c r="P317" i="3"/>
  <c r="P552" i="1"/>
  <c r="P846" i="1"/>
  <c r="I319" i="3"/>
  <c r="D844" i="1"/>
  <c r="D319" i="3" s="1"/>
  <c r="L1294" i="3"/>
  <c r="I424" i="1"/>
  <c r="N29" i="3"/>
  <c r="I553" i="1"/>
  <c r="N1258" i="3"/>
  <c r="I387" i="1"/>
  <c r="F1294" i="3"/>
  <c r="Q846" i="1"/>
  <c r="Q850" i="1" s="1"/>
  <c r="Q894" i="1" s="1"/>
  <c r="Q177" i="1" s="1"/>
  <c r="Q552" i="1"/>
  <c r="Q555" i="1" s="1"/>
  <c r="Q566" i="1" s="1"/>
  <c r="P28" i="3" l="1"/>
  <c r="P555" i="1"/>
  <c r="O850" i="1"/>
  <c r="O321" i="3"/>
  <c r="N846" i="1"/>
  <c r="D387" i="1"/>
  <c r="D1258" i="3" s="1"/>
  <c r="I1258" i="3"/>
  <c r="I1294" i="3"/>
  <c r="D424" i="1"/>
  <c r="D1294" i="3" s="1"/>
  <c r="P321" i="3"/>
  <c r="P850" i="1"/>
  <c r="H555" i="1"/>
  <c r="H28" i="3"/>
  <c r="N317" i="3"/>
  <c r="I842" i="1"/>
  <c r="F321" i="3"/>
  <c r="F850" i="1"/>
  <c r="F575" i="1"/>
  <c r="F1241" i="1"/>
  <c r="F684" i="3"/>
  <c r="P575" i="1"/>
  <c r="P51" i="3" s="1"/>
  <c r="P684" i="3"/>
  <c r="P1241" i="1"/>
  <c r="H850" i="1"/>
  <c r="H321" i="3"/>
  <c r="I29" i="3"/>
  <c r="D553" i="1"/>
  <c r="D29" i="3" s="1"/>
  <c r="F555" i="1"/>
  <c r="F28" i="3"/>
  <c r="L684" i="3"/>
  <c r="L575" i="1"/>
  <c r="L1241" i="1"/>
  <c r="Q575" i="1"/>
  <c r="Q1241" i="1"/>
  <c r="Q1252" i="1" s="1"/>
  <c r="L28" i="3"/>
  <c r="L555" i="1"/>
  <c r="N552" i="1"/>
  <c r="N28" i="3" s="1"/>
  <c r="O555" i="1"/>
  <c r="O28" i="3"/>
  <c r="L850" i="1"/>
  <c r="L321" i="3"/>
  <c r="O1324" i="3"/>
  <c r="N454" i="1"/>
  <c r="D1207" i="1"/>
  <c r="D678" i="3" s="1"/>
  <c r="O575" i="1"/>
  <c r="O1241" i="1"/>
  <c r="N1213" i="1"/>
  <c r="N684" i="3" s="1"/>
  <c r="O684" i="3"/>
  <c r="H1241" i="1"/>
  <c r="H575" i="1"/>
  <c r="H51" i="3" s="1"/>
  <c r="H684" i="3"/>
  <c r="O51" i="3" l="1"/>
  <c r="N575" i="1"/>
  <c r="N51" i="3" s="1"/>
  <c r="L51" i="3"/>
  <c r="L325" i="3"/>
  <c r="L894" i="1"/>
  <c r="L566" i="1"/>
  <c r="L42" i="3" s="1"/>
  <c r="L31" i="3"/>
  <c r="P712" i="3"/>
  <c r="P1252" i="1"/>
  <c r="P723" i="3" s="1"/>
  <c r="F712" i="3"/>
  <c r="F1252" i="1"/>
  <c r="I317" i="3"/>
  <c r="D842" i="1"/>
  <c r="D317" i="3" s="1"/>
  <c r="P894" i="1"/>
  <c r="P325" i="3"/>
  <c r="O894" i="1"/>
  <c r="N850" i="1"/>
  <c r="O325" i="3"/>
  <c r="H894" i="1"/>
  <c r="H325" i="3"/>
  <c r="H31" i="3"/>
  <c r="H566" i="1"/>
  <c r="H42" i="3" s="1"/>
  <c r="N1324" i="3"/>
  <c r="I454" i="1"/>
  <c r="I1213" i="1"/>
  <c r="F51" i="3"/>
  <c r="P31" i="3"/>
  <c r="P566" i="1"/>
  <c r="P42" i="3" s="1"/>
  <c r="H712" i="3"/>
  <c r="H1252" i="1"/>
  <c r="H723" i="3" s="1"/>
  <c r="F566" i="1"/>
  <c r="F42" i="3" s="1"/>
  <c r="F31" i="3"/>
  <c r="N1241" i="1"/>
  <c r="N712" i="3" s="1"/>
  <c r="O712" i="3"/>
  <c r="O1252" i="1"/>
  <c r="N555" i="1"/>
  <c r="N31" i="3" s="1"/>
  <c r="O31" i="3"/>
  <c r="O566" i="1"/>
  <c r="I552" i="1"/>
  <c r="L712" i="3"/>
  <c r="L1252" i="1"/>
  <c r="F894" i="1"/>
  <c r="F325" i="3"/>
  <c r="N321" i="3"/>
  <c r="I846" i="1"/>
  <c r="I1241" i="1" l="1"/>
  <c r="I712" i="3" s="1"/>
  <c r="I321" i="3"/>
  <c r="D846" i="1"/>
  <c r="D321" i="3" s="1"/>
  <c r="F177" i="1"/>
  <c r="F1058" i="3" s="1"/>
  <c r="F369" i="3"/>
  <c r="F218" i="1"/>
  <c r="F1099" i="3" s="1"/>
  <c r="I28" i="3"/>
  <c r="D552" i="1"/>
  <c r="D28" i="3" s="1"/>
  <c r="O723" i="3"/>
  <c r="N1252" i="1"/>
  <c r="N723" i="3" s="1"/>
  <c r="I684" i="3"/>
  <c r="D1213" i="1"/>
  <c r="D684" i="3" s="1"/>
  <c r="N325" i="3"/>
  <c r="I850" i="1"/>
  <c r="O42" i="3"/>
  <c r="N566" i="1"/>
  <c r="L177" i="1"/>
  <c r="L1058" i="3" s="1"/>
  <c r="L369" i="3"/>
  <c r="L723" i="3"/>
  <c r="I1252" i="1"/>
  <c r="I723" i="3" s="1"/>
  <c r="H177" i="1"/>
  <c r="H1058" i="3" s="1"/>
  <c r="H369" i="3"/>
  <c r="F723" i="3"/>
  <c r="I555" i="1"/>
  <c r="D454" i="1"/>
  <c r="D1324" i="3" s="1"/>
  <c r="I1324" i="3"/>
  <c r="O369" i="3"/>
  <c r="N894" i="1"/>
  <c r="N369" i="3" s="1"/>
  <c r="O177" i="1"/>
  <c r="O218" i="1"/>
  <c r="P218" i="1"/>
  <c r="P1099" i="3" s="1"/>
  <c r="P369" i="3"/>
  <c r="P177" i="1"/>
  <c r="P1058" i="3" s="1"/>
  <c r="I575" i="1"/>
  <c r="D1241" i="1" l="1"/>
  <c r="D712" i="3" s="1"/>
  <c r="D1252" i="1"/>
  <c r="W1252" i="1" s="1"/>
  <c r="I51" i="3"/>
  <c r="D575" i="1"/>
  <c r="D51" i="3" s="1"/>
  <c r="U1252" i="1"/>
  <c r="I894" i="1"/>
  <c r="I369" i="3" s="1"/>
  <c r="N42" i="3"/>
  <c r="I566" i="1"/>
  <c r="I42" i="3" s="1"/>
  <c r="N177" i="1"/>
  <c r="O1058" i="3"/>
  <c r="O1099" i="3"/>
  <c r="N218" i="1"/>
  <c r="I31" i="3"/>
  <c r="D555" i="1"/>
  <c r="D850" i="1"/>
  <c r="I325" i="3"/>
  <c r="D723" i="3" l="1"/>
  <c r="D894" i="1"/>
  <c r="D369" i="3" s="1"/>
  <c r="D325" i="3"/>
  <c r="D566" i="1"/>
  <c r="D42" i="3" s="1"/>
  <c r="D31" i="3"/>
  <c r="N1058" i="3"/>
  <c r="I177" i="1"/>
  <c r="I218" i="1"/>
  <c r="N1099" i="3"/>
  <c r="I1058" i="3" l="1"/>
  <c r="D177" i="1"/>
  <c r="D218" i="1"/>
  <c r="I1099" i="3"/>
  <c r="D1099" i="3" l="1"/>
  <c r="O466" i="1"/>
  <c r="F466" i="1"/>
  <c r="P466" i="1"/>
  <c r="D1058" i="3"/>
  <c r="P425" i="1"/>
  <c r="L425" i="1"/>
  <c r="Q425" i="1"/>
  <c r="H425" i="1"/>
  <c r="O425" i="1"/>
  <c r="F425" i="1"/>
  <c r="I466" i="1"/>
  <c r="I1336" i="3" s="1"/>
  <c r="H1271" i="1"/>
  <c r="H1278" i="1"/>
  <c r="H1287" i="1"/>
  <c r="H1283" i="1"/>
  <c r="H1262" i="1"/>
  <c r="H1290" i="1"/>
  <c r="H1288" i="1"/>
  <c r="F1279" i="1"/>
  <c r="F1280" i="1"/>
  <c r="O1279" i="1"/>
  <c r="O1280" i="1"/>
  <c r="P1290" i="1"/>
  <c r="P1262" i="1"/>
  <c r="P1283" i="1"/>
  <c r="P1288" i="1"/>
  <c r="P1271" i="1"/>
  <c r="P1287" i="1"/>
  <c r="P1278" i="1"/>
  <c r="O1288" i="1"/>
  <c r="O1278" i="1"/>
  <c r="O1287" i="1"/>
  <c r="O1271" i="1"/>
  <c r="O1290" i="1"/>
  <c r="O1283" i="1"/>
  <c r="O1262" i="1"/>
  <c r="L1262" i="1"/>
  <c r="L1288" i="1"/>
  <c r="L1290" i="1"/>
  <c r="L1278" i="1"/>
  <c r="L1271" i="1"/>
  <c r="L1283" i="1"/>
  <c r="L1287" i="1"/>
  <c r="F1287" i="1"/>
  <c r="F1288" i="1"/>
  <c r="F1278" i="1"/>
  <c r="F1283" i="1"/>
  <c r="F1271" i="1"/>
  <c r="F1262" i="1"/>
  <c r="F1290" i="1"/>
  <c r="P1279" i="1"/>
  <c r="P1280" i="1"/>
  <c r="Q1290" i="1"/>
  <c r="Q1262" i="1"/>
  <c r="Q1283" i="1"/>
  <c r="Q1271" i="1"/>
  <c r="Q1278" i="1"/>
  <c r="Q1288" i="1"/>
  <c r="Q1287" i="1"/>
  <c r="Q1272" i="1" l="1"/>
  <c r="Q1265" i="1"/>
  <c r="P751" i="3"/>
  <c r="P750" i="3"/>
  <c r="F761" i="3"/>
  <c r="F1265" i="1"/>
  <c r="F733" i="3"/>
  <c r="F1272" i="1"/>
  <c r="F743" i="3" s="1"/>
  <c r="F742" i="3"/>
  <c r="F754" i="3"/>
  <c r="F749" i="3"/>
  <c r="F759" i="3"/>
  <c r="F758" i="3"/>
  <c r="L758" i="3"/>
  <c r="L754" i="3"/>
  <c r="L742" i="3"/>
  <c r="L1272" i="1"/>
  <c r="L749" i="3"/>
  <c r="L761" i="3"/>
  <c r="L759" i="3"/>
  <c r="L1265" i="1"/>
  <c r="L733" i="3"/>
  <c r="N1262" i="1"/>
  <c r="N733" i="3" s="1"/>
  <c r="O1265" i="1"/>
  <c r="O733" i="3"/>
  <c r="N1283" i="1"/>
  <c r="N754" i="3" s="1"/>
  <c r="O754" i="3"/>
  <c r="O761" i="3"/>
  <c r="N1290" i="1"/>
  <c r="N761" i="3" s="1"/>
  <c r="O1272" i="1"/>
  <c r="O742" i="3"/>
  <c r="N1271" i="1"/>
  <c r="N742" i="3" s="1"/>
  <c r="N1287" i="1"/>
  <c r="N758" i="3" s="1"/>
  <c r="O758" i="3"/>
  <c r="O749" i="3"/>
  <c r="N1278" i="1"/>
  <c r="N749" i="3" s="1"/>
  <c r="N1288" i="1"/>
  <c r="N759" i="3" s="1"/>
  <c r="O759" i="3"/>
  <c r="P749" i="3"/>
  <c r="P758" i="3"/>
  <c r="P1272" i="1"/>
  <c r="P743" i="3" s="1"/>
  <c r="P742" i="3"/>
  <c r="P759" i="3"/>
  <c r="P754" i="3"/>
  <c r="P733" i="3"/>
  <c r="P1265" i="1"/>
  <c r="P761" i="3"/>
  <c r="N1280" i="1"/>
  <c r="O751" i="3"/>
  <c r="N1279" i="1"/>
  <c r="O750" i="3"/>
  <c r="F751" i="3"/>
  <c r="F750" i="3"/>
  <c r="H759" i="3"/>
  <c r="H761" i="3"/>
  <c r="H733" i="3"/>
  <c r="H1265" i="1"/>
  <c r="H754" i="3"/>
  <c r="H758" i="3"/>
  <c r="H749" i="3"/>
  <c r="H742" i="3"/>
  <c r="H1272" i="1"/>
  <c r="H743" i="3" s="1"/>
  <c r="P1336" i="3"/>
  <c r="F1295" i="3"/>
  <c r="L1295" i="3"/>
  <c r="O1295" i="3"/>
  <c r="N425" i="1"/>
  <c r="N1295" i="3" s="1"/>
  <c r="P1295" i="3"/>
  <c r="N466" i="1"/>
  <c r="N1336" i="3" s="1"/>
  <c r="O1336" i="3"/>
  <c r="D466" i="1"/>
  <c r="D1336" i="3" s="1"/>
  <c r="F1336" i="3"/>
  <c r="H1295" i="3"/>
  <c r="I1290" i="1" l="1"/>
  <c r="I761" i="3" s="1"/>
  <c r="I1287" i="1"/>
  <c r="I758" i="3" s="1"/>
  <c r="I425" i="1"/>
  <c r="H736" i="3"/>
  <c r="H1274" i="1"/>
  <c r="H745" i="3" s="1"/>
  <c r="L743" i="3"/>
  <c r="I1288" i="1"/>
  <c r="I1278" i="1"/>
  <c r="I1271" i="1"/>
  <c r="Q1274" i="1"/>
  <c r="Q1275" i="1"/>
  <c r="Q1277" i="1" s="1"/>
  <c r="Q1281" i="1" s="1"/>
  <c r="I1280" i="1"/>
  <c r="N751" i="3"/>
  <c r="O1274" i="1"/>
  <c r="Y1274" i="1"/>
  <c r="N1265" i="1"/>
  <c r="N736" i="3" s="1"/>
  <c r="O736" i="3"/>
  <c r="L736" i="3"/>
  <c r="X1274" i="1"/>
  <c r="L1274" i="1"/>
  <c r="W1274" i="1"/>
  <c r="F1274" i="1"/>
  <c r="F736" i="3"/>
  <c r="N750" i="3"/>
  <c r="I1279" i="1"/>
  <c r="P736" i="3"/>
  <c r="Z1274" i="1"/>
  <c r="P1274" i="1"/>
  <c r="O743" i="3"/>
  <c r="N1272" i="1"/>
  <c r="N743" i="3" s="1"/>
  <c r="I1262" i="1"/>
  <c r="I1283" i="1"/>
  <c r="D1287" i="1" l="1"/>
  <c r="D758" i="3" s="1"/>
  <c r="D1290" i="1"/>
  <c r="D761" i="3" s="1"/>
  <c r="F745" i="3"/>
  <c r="F1275" i="1"/>
  <c r="I733" i="3"/>
  <c r="D1262" i="1"/>
  <c r="L745" i="3"/>
  <c r="L1275" i="1"/>
  <c r="I751" i="3"/>
  <c r="D1280" i="1"/>
  <c r="D751" i="3" s="1"/>
  <c r="I742" i="3"/>
  <c r="D1271" i="1"/>
  <c r="D742" i="3" s="1"/>
  <c r="I1272" i="1"/>
  <c r="I749" i="3"/>
  <c r="D1278" i="1"/>
  <c r="D749" i="3" s="1"/>
  <c r="I750" i="3"/>
  <c r="D1279" i="1"/>
  <c r="D750" i="3" s="1"/>
  <c r="AA1274" i="1"/>
  <c r="W1275" i="1" s="1"/>
  <c r="O745" i="3"/>
  <c r="O1275" i="1"/>
  <c r="N1274" i="1"/>
  <c r="Q1284" i="1"/>
  <c r="Q1286" i="1" s="1"/>
  <c r="Q1291" i="1" s="1"/>
  <c r="Q576" i="1" s="1"/>
  <c r="Q582" i="1" s="1"/>
  <c r="Q584" i="1" s="1"/>
  <c r="Q585" i="1" s="1"/>
  <c r="I759" i="3"/>
  <c r="D1288" i="1"/>
  <c r="D759" i="3" s="1"/>
  <c r="I754" i="3"/>
  <c r="D1283" i="1"/>
  <c r="D754" i="3" s="1"/>
  <c r="P1275" i="1"/>
  <c r="P745" i="3"/>
  <c r="I1265" i="1"/>
  <c r="I736" i="3" s="1"/>
  <c r="I1295" i="3"/>
  <c r="D425" i="1"/>
  <c r="D1295" i="3" s="1"/>
  <c r="N745" i="3" l="1"/>
  <c r="I1274" i="1"/>
  <c r="X1275" i="1"/>
  <c r="Z1275" i="1"/>
  <c r="N1275" i="1"/>
  <c r="O746" i="3"/>
  <c r="O1277" i="1"/>
  <c r="I743" i="3"/>
  <c r="D1272" i="1"/>
  <c r="D743" i="3" s="1"/>
  <c r="D733" i="3"/>
  <c r="D1265" i="1"/>
  <c r="Q1293" i="1"/>
  <c r="Q1294" i="1" s="1"/>
  <c r="F1277" i="1"/>
  <c r="F746" i="3"/>
  <c r="P746" i="3"/>
  <c r="P1277" i="1"/>
  <c r="L1277" i="1"/>
  <c r="L746" i="3"/>
  <c r="Y1275" i="1"/>
  <c r="AB1275" i="1" l="1"/>
  <c r="P1281" i="1"/>
  <c r="P748" i="3"/>
  <c r="N1277" i="1"/>
  <c r="O1281" i="1"/>
  <c r="O748" i="3"/>
  <c r="I745" i="3"/>
  <c r="T1274" i="1"/>
  <c r="D736" i="3"/>
  <c r="D1274" i="1"/>
  <c r="L748" i="3"/>
  <c r="L1281" i="1"/>
  <c r="F748" i="3"/>
  <c r="F1281" i="1"/>
  <c r="N746" i="3"/>
  <c r="I1275" i="1"/>
  <c r="I746" i="3" s="1"/>
  <c r="O752" i="3" l="1"/>
  <c r="N1281" i="1"/>
  <c r="N752" i="3" s="1"/>
  <c r="O1284" i="1"/>
  <c r="L1284" i="1"/>
  <c r="L752" i="3"/>
  <c r="N748" i="3"/>
  <c r="I1277" i="1"/>
  <c r="I748" i="3" s="1"/>
  <c r="F1284" i="1"/>
  <c r="F752" i="3"/>
  <c r="T1275" i="1"/>
  <c r="D1275" i="1"/>
  <c r="D745" i="3"/>
  <c r="P752" i="3"/>
  <c r="P1284" i="1"/>
  <c r="N1284" i="1" l="1"/>
  <c r="N755" i="3" s="1"/>
  <c r="O1286" i="1"/>
  <c r="O755" i="3"/>
  <c r="P755" i="3"/>
  <c r="P1286" i="1"/>
  <c r="X1276" i="1"/>
  <c r="AA1275" i="1" s="1"/>
  <c r="H1275" i="1"/>
  <c r="D746" i="3"/>
  <c r="D1277" i="1"/>
  <c r="F755" i="3"/>
  <c r="F1286" i="1"/>
  <c r="L1286" i="1"/>
  <c r="L755" i="3"/>
  <c r="I1281" i="1"/>
  <c r="I752" i="3" s="1"/>
  <c r="I1284" i="1" l="1"/>
  <c r="I755" i="3" s="1"/>
  <c r="L757" i="3"/>
  <c r="L1291" i="1"/>
  <c r="F757" i="3"/>
  <c r="F1291" i="1"/>
  <c r="H746" i="3"/>
  <c r="H1277" i="1"/>
  <c r="O757" i="3"/>
  <c r="O1291" i="1"/>
  <c r="N1286" i="1"/>
  <c r="D1281" i="1"/>
  <c r="D748" i="3"/>
  <c r="P1291" i="1"/>
  <c r="P757" i="3"/>
  <c r="P762" i="3" l="1"/>
  <c r="P576" i="1"/>
  <c r="P1293" i="1"/>
  <c r="O576" i="1"/>
  <c r="N1291" i="1"/>
  <c r="N762" i="3" s="1"/>
  <c r="O1293" i="1"/>
  <c r="O762" i="3"/>
  <c r="F576" i="1"/>
  <c r="F762" i="3"/>
  <c r="F1293" i="1"/>
  <c r="AA1280" i="1"/>
  <c r="Y1281" i="1" s="1"/>
  <c r="D752" i="3"/>
  <c r="D1284" i="1"/>
  <c r="H748" i="3"/>
  <c r="H1281" i="1"/>
  <c r="I1291" i="1"/>
  <c r="I762" i="3" s="1"/>
  <c r="L1293" i="1"/>
  <c r="L762" i="3"/>
  <c r="L576" i="1"/>
  <c r="N757" i="3"/>
  <c r="I1286" i="1"/>
  <c r="I757" i="3" s="1"/>
  <c r="L582" i="1" l="1"/>
  <c r="L52" i="3"/>
  <c r="F582" i="1"/>
  <c r="F52" i="3"/>
  <c r="O582" i="1"/>
  <c r="N576" i="1"/>
  <c r="N52" i="3" s="1"/>
  <c r="O52" i="3"/>
  <c r="H752" i="3"/>
  <c r="H1284" i="1"/>
  <c r="F764" i="3"/>
  <c r="F1294" i="1"/>
  <c r="F765" i="3" s="1"/>
  <c r="O764" i="3"/>
  <c r="O1294" i="1"/>
  <c r="O765" i="3" s="1"/>
  <c r="N1293" i="1"/>
  <c r="P52" i="3"/>
  <c r="P582" i="1"/>
  <c r="P1294" i="1"/>
  <c r="P765" i="3" s="1"/>
  <c r="P764" i="3"/>
  <c r="L1294" i="1"/>
  <c r="L765" i="3" s="1"/>
  <c r="L764" i="3"/>
  <c r="D1286" i="1"/>
  <c r="D755" i="3"/>
  <c r="I576" i="1" l="1"/>
  <c r="I52" i="3" s="1"/>
  <c r="F58" i="3"/>
  <c r="F584" i="1"/>
  <c r="N764" i="3"/>
  <c r="N1294" i="1"/>
  <c r="N765" i="3" s="1"/>
  <c r="I1293" i="1"/>
  <c r="D757" i="3"/>
  <c r="D1291" i="1"/>
  <c r="H755" i="3"/>
  <c r="H1286" i="1"/>
  <c r="O584" i="1"/>
  <c r="O58" i="3"/>
  <c r="N582" i="1"/>
  <c r="N58" i="3" s="1"/>
  <c r="P58" i="3"/>
  <c r="P584" i="1"/>
  <c r="L584" i="1"/>
  <c r="L58" i="3"/>
  <c r="L585" i="1" l="1"/>
  <c r="L61" i="3" s="1"/>
  <c r="L60" i="3"/>
  <c r="D576" i="1"/>
  <c r="AA1290" i="1"/>
  <c r="Y1291" i="1" s="1"/>
  <c r="D1293" i="1"/>
  <c r="D762" i="3"/>
  <c r="P585" i="1"/>
  <c r="P61" i="3" s="1"/>
  <c r="P60" i="3"/>
  <c r="N584" i="1"/>
  <c r="O585" i="1"/>
  <c r="O61" i="3" s="1"/>
  <c r="O60" i="3"/>
  <c r="F585" i="1"/>
  <c r="F61" i="3" s="1"/>
  <c r="F60" i="3"/>
  <c r="I582" i="1"/>
  <c r="I58" i="3" s="1"/>
  <c r="H757" i="3"/>
  <c r="H1291" i="1"/>
  <c r="I764" i="3"/>
  <c r="I1294" i="1"/>
  <c r="I765" i="3" s="1"/>
  <c r="H762" i="3" l="1"/>
  <c r="H1293" i="1"/>
  <c r="H576" i="1"/>
  <c r="D582" i="1"/>
  <c r="D52" i="3"/>
  <c r="N585" i="1"/>
  <c r="N61" i="3" s="1"/>
  <c r="I584" i="1"/>
  <c r="N60" i="3"/>
  <c r="D1294" i="1"/>
  <c r="D765" i="3" s="1"/>
  <c r="X1293" i="1"/>
  <c r="D764" i="3"/>
  <c r="D58" i="3" l="1"/>
  <c r="D584" i="1"/>
  <c r="I60" i="3"/>
  <c r="I585" i="1"/>
  <c r="I61" i="3" s="1"/>
  <c r="H1294" i="1"/>
  <c r="H765" i="3" s="1"/>
  <c r="H764" i="3"/>
  <c r="H52" i="3"/>
  <c r="H582" i="1"/>
  <c r="W584" i="1" l="1"/>
  <c r="D585" i="1"/>
  <c r="D61" i="3" s="1"/>
  <c r="D60" i="3"/>
  <c r="H584" i="1"/>
  <c r="H58" i="3"/>
  <c r="H585" i="1" l="1"/>
  <c r="H61" i="3" s="1"/>
  <c r="H60" i="3"/>
</calcChain>
</file>

<file path=xl/sharedStrings.xml><?xml version="1.0" encoding="utf-8"?>
<sst xmlns="http://schemas.openxmlformats.org/spreadsheetml/2006/main" count="3056" uniqueCount="1547">
  <si>
    <t>DIRECT ASSIGN 366 KY</t>
  </si>
  <si>
    <t>DIRECT ASSIGN 367 KY</t>
  </si>
  <si>
    <t>DIRECT ASSIGN 368 KY</t>
  </si>
  <si>
    <t xml:space="preserve"> 374-ARO COST KY ELEC DISTRIB</t>
  </si>
  <si>
    <t>DEM374K</t>
  </si>
  <si>
    <t>DIRECT ASSIGN 374 KY</t>
  </si>
  <si>
    <t>DIRECT ASSIGN 369-SERV KY</t>
  </si>
  <si>
    <t>DIRECT ASSIGN 370 METERS KY</t>
  </si>
  <si>
    <t>DIRECT ASSIGN 371 CUST INST KY</t>
  </si>
  <si>
    <t>DIRECT ASSIGN 373 ST LIGHT KY</t>
  </si>
  <si>
    <t>DIRECT ASSIGN 361-VA</t>
  </si>
  <si>
    <t>DIRECT ASSIGN 362-VA</t>
  </si>
  <si>
    <t>DIRECT ASSIGN 360-VA</t>
  </si>
  <si>
    <t>DIRECT ASSIGN 364-VA</t>
  </si>
  <si>
    <t>DIRECT ASSIGN 365-VA</t>
  </si>
  <si>
    <t>DIRECT ASSIGN 367-VA</t>
  </si>
  <si>
    <t>DIRECT ASSIGN 368-VA</t>
  </si>
  <si>
    <t>DIRECT ASSIGN 360-362-FERC VA</t>
  </si>
  <si>
    <t>DEM360V</t>
  </si>
  <si>
    <t>DEM361V</t>
  </si>
  <si>
    <t>DEM362V</t>
  </si>
  <si>
    <t>DEM364V</t>
  </si>
  <si>
    <t>DEM365V</t>
  </si>
  <si>
    <t>DEM367V</t>
  </si>
  <si>
    <t xml:space="preserve"> TENNESSEE DISTRIBUTION PLANT</t>
  </si>
  <si>
    <t xml:space="preserve"> TOTAL TENNESSEE DISTRIB PLANT</t>
  </si>
  <si>
    <t>DEM360T</t>
  </si>
  <si>
    <t>DEM361T</t>
  </si>
  <si>
    <t>DEM362T</t>
  </si>
  <si>
    <t>DEM364T</t>
  </si>
  <si>
    <t>DEM365T</t>
  </si>
  <si>
    <t>DEM368T</t>
  </si>
  <si>
    <t>CUST371T</t>
  </si>
  <si>
    <t>CUST370T</t>
  </si>
  <si>
    <t>CUST369T</t>
  </si>
  <si>
    <t>DIRECT ASSIGN 360-TN</t>
  </si>
  <si>
    <t>DIRECT ASSIGN 361-TN</t>
  </si>
  <si>
    <t>DIRECT ASSIGN 362-TN</t>
  </si>
  <si>
    <t>DIRECT ASSIGN 364-TN</t>
  </si>
  <si>
    <t>DIRECT ASSIGN 365-TN</t>
  </si>
  <si>
    <t>DIRECT ASSIGN 368-TN</t>
  </si>
  <si>
    <t>DIRECT ASSIGN 369-TN</t>
  </si>
  <si>
    <t>DIRECT ASSIGN 370-TN</t>
  </si>
  <si>
    <t>DIRECT ASSIGN 371-TN</t>
  </si>
  <si>
    <t xml:space="preserve"> 389-LAND &amp; LAND RIGHTS</t>
  </si>
  <si>
    <t xml:space="preserve"> 390-STRUCTURES AND IMPROVEMENTS</t>
  </si>
  <si>
    <t xml:space="preserve"> 391-OFFICE EQUIPMENT</t>
  </si>
  <si>
    <t xml:space="preserve"> 392-TRANSPORTATION EQUIPMENT</t>
  </si>
  <si>
    <t xml:space="preserve"> 393-STORES EQUIPMENT</t>
  </si>
  <si>
    <t xml:space="preserve"> 394-TOOLS, SHOP, AND GARAGE EQUIP</t>
  </si>
  <si>
    <t xml:space="preserve"> 395-LABORATORY EQUIPMENT</t>
  </si>
  <si>
    <t xml:space="preserve"> 396-POWER OPERATED EQUIPMENT</t>
  </si>
  <si>
    <t xml:space="preserve"> 397-COMMUNICATION EQUIPMENT</t>
  </si>
  <si>
    <t xml:space="preserve"> 398-MISC EQUIPMENT</t>
  </si>
  <si>
    <t xml:space="preserve"> TOTAL GENERAL PLANT</t>
  </si>
  <si>
    <t xml:space="preserve"> PRODUCTION</t>
  </si>
  <si>
    <t xml:space="preserve"> TRANSMISSION</t>
  </si>
  <si>
    <t xml:space="preserve"> DISTRIBUTION</t>
  </si>
  <si>
    <t>Total plant held for future use</t>
  </si>
  <si>
    <t>DIR ASSIGN ACCT 371 CUST INST VA</t>
  </si>
  <si>
    <t xml:space="preserve"> DISTRIBUTION PLANT-VA &amp; TN </t>
  </si>
  <si>
    <t xml:space="preserve"> DISTRIBUTION PLANT-KY &amp; FERC</t>
  </si>
  <si>
    <t xml:space="preserve"> DISTRIBUTION - KY &amp; FERC</t>
  </si>
  <si>
    <t xml:space="preserve">  TRANSMISSION - VA</t>
  </si>
  <si>
    <t xml:space="preserve">   DISTRIBUTION-KENTUCKY</t>
  </si>
  <si>
    <t xml:space="preserve">   DISTRIBUTION-VIRGINIA</t>
  </si>
  <si>
    <t xml:space="preserve">   DISTRIBUTION-TENNESSEE</t>
  </si>
  <si>
    <t>CHARITABLE CONTRIBUTIONS-VA ONLY</t>
  </si>
  <si>
    <t>OPEB UNFUNDED-VIRGINIA</t>
  </si>
  <si>
    <t>CUSTOMER DEPOSITS-VIRGINIA</t>
  </si>
  <si>
    <t>GAIN/LOSS PROP DISPOSITION (NET)</t>
  </si>
  <si>
    <t>RETURN</t>
  </si>
  <si>
    <t>ELECTRIC PLANT IN SERVICE</t>
  </si>
  <si>
    <t>INTANGIBLE PLANT</t>
  </si>
  <si>
    <t>TOTAL INTANGIBLE PLANT</t>
  </si>
  <si>
    <t>PRODUCTION PLANT</t>
  </si>
  <si>
    <t xml:space="preserve">  FERC-AFUDC PRE</t>
  </si>
  <si>
    <t xml:space="preserve">  FERC-AFUDC POST</t>
  </si>
  <si>
    <t xml:space="preserve"> TOTAL HYDRAULIC PROD PLANT</t>
  </si>
  <si>
    <t xml:space="preserve"> TOTAL OTHER PROD PLANT</t>
  </si>
  <si>
    <t>ELECTRIC PLANT IN SERVICE CON'T</t>
  </si>
  <si>
    <t>TRANSMISSION PLANT</t>
  </si>
  <si>
    <t xml:space="preserve">  KENTUCKY SYSTEM PROPERTY</t>
  </si>
  <si>
    <t xml:space="preserve">  VIRGINIA PROPERTY-500 KV LINE</t>
  </si>
  <si>
    <t xml:space="preserve">  VIRGINIA PROPERTY</t>
  </si>
  <si>
    <t>DISTRIBUTION PLANT</t>
  </si>
  <si>
    <t xml:space="preserve"> KENTUCKY DISTRIBUTION PLANT</t>
  </si>
  <si>
    <t xml:space="preserve">    DISTRIBUTION</t>
  </si>
  <si>
    <t>REGULATORY CREDITS</t>
  </si>
  <si>
    <t>REGULATORY CREDITS AND ACCRETION</t>
  </si>
  <si>
    <t>ACCRETION</t>
  </si>
  <si>
    <t>TOTAL REGULATORY CREDITS</t>
  </si>
  <si>
    <t>TOTAL ACCRETION EXPENSE</t>
  </si>
  <si>
    <t xml:space="preserve">    POWER POOL</t>
  </si>
  <si>
    <t xml:space="preserve">    ALL OTHER</t>
  </si>
  <si>
    <t xml:space="preserve"> TOTAL KENTUCKY DISTRIB PLANT</t>
  </si>
  <si>
    <t xml:space="preserve"> VIRGINIA DISTRIBUTION PLANT</t>
  </si>
  <si>
    <t xml:space="preserve"> TOTAL VIRGINIA DISTRIB PLANT</t>
  </si>
  <si>
    <t>Less Allocated RWIP</t>
  </si>
  <si>
    <t>ACCUMULATED PROVISION FOR DEP</t>
  </si>
  <si>
    <t>Total Intangible Plant Reserve</t>
  </si>
  <si>
    <t>Intangable Reserve-Franchises and Consents</t>
  </si>
  <si>
    <t>Intangable Plant-Misc</t>
  </si>
  <si>
    <t>Total Intangible Plant Misc Reserve</t>
  </si>
  <si>
    <t xml:space="preserve">Use franchises and consents balance only; leasehold is part of General Plant reserve </t>
  </si>
  <si>
    <t>Production</t>
  </si>
  <si>
    <t>General</t>
  </si>
  <si>
    <t>Cumulative</t>
  </si>
  <si>
    <t>Total 13 Months</t>
  </si>
  <si>
    <t>13 Month Average</t>
  </si>
  <si>
    <t xml:space="preserve"> PRODUCTION PLANT</t>
  </si>
  <si>
    <t xml:space="preserve">  STEAM PRODUCTION PLANT</t>
  </si>
  <si>
    <t xml:space="preserve">    SYSTEM</t>
  </si>
  <si>
    <t xml:space="preserve">    FERC-AFUDC PRE</t>
  </si>
  <si>
    <t xml:space="preserve">    FERC-AFUDC POST</t>
  </si>
  <si>
    <t xml:space="preserve">     TOTAL STEAM PROD PLT</t>
  </si>
  <si>
    <t xml:space="preserve">  HYDRAULIC PRODUCTION PLANT</t>
  </si>
  <si>
    <t xml:space="preserve">     TOTAL HYDRO PROD PLT</t>
  </si>
  <si>
    <t xml:space="preserve">  OTHER PRODUCTION PLANT</t>
  </si>
  <si>
    <t xml:space="preserve">     TOTAL OTHER PROD PLT</t>
  </si>
  <si>
    <t xml:space="preserve"> TOTAL PRODUCTION PLANT</t>
  </si>
  <si>
    <t xml:space="preserve"> TRANSMISSION PLANT</t>
  </si>
  <si>
    <t xml:space="preserve"> TOTAL TRANSMISSION PLANT</t>
  </si>
  <si>
    <t xml:space="preserve"> TOTAL DISTRIBUTION PLANT</t>
  </si>
  <si>
    <t xml:space="preserve"> GENERAL PLANT</t>
  </si>
  <si>
    <t>TOTAL DEPRECIATION RESERVE</t>
  </si>
  <si>
    <t>ADDITIONS TO NET PLANT</t>
  </si>
  <si>
    <t>CONSTRUCTION WORK IN PROGRESS</t>
  </si>
  <si>
    <t xml:space="preserve">   SYSTEM</t>
  </si>
  <si>
    <t xml:space="preserve">   FERC-AFUDC PRE</t>
  </si>
  <si>
    <t xml:space="preserve">   FERC-AFUDC POST</t>
  </si>
  <si>
    <t xml:space="preserve">    TOTAL PRODUCTION PLANT</t>
  </si>
  <si>
    <t xml:space="preserve">   TRANS VIRGINIA-KY SYSTEM</t>
  </si>
  <si>
    <t xml:space="preserve">   TRANS VIRGINIA</t>
  </si>
  <si>
    <t xml:space="preserve">    TOTAL TRANSMISSION PLT</t>
  </si>
  <si>
    <t xml:space="preserve"> DISTRIBUTION - VA &amp; TN </t>
  </si>
  <si>
    <t xml:space="preserve">    TOTAL DISTRIBUTION PLT</t>
  </si>
  <si>
    <t xml:space="preserve"> GENERAL</t>
  </si>
  <si>
    <t>TOTAL CWIP</t>
  </si>
  <si>
    <t>WORKING CAPITAL</t>
  </si>
  <si>
    <t xml:space="preserve"> MATERIALS &amp; SUPPLIES</t>
  </si>
  <si>
    <t xml:space="preserve">  FUEL STOCK</t>
  </si>
  <si>
    <t xml:space="preserve">  PLANT MATERIAL &amp; SUPPLIES</t>
  </si>
  <si>
    <t xml:space="preserve">    PRODUCTION</t>
  </si>
  <si>
    <t xml:space="preserve">    TRANSMISSION</t>
  </si>
  <si>
    <t>APPORTIONED STATE TAXABLE INCOME</t>
  </si>
  <si>
    <t>Donations Workpaper</t>
  </si>
  <si>
    <t>Net of Tax (1-.389)</t>
  </si>
  <si>
    <t>GAINS/LOSSES-NET OF TAXES (1-.389)</t>
  </si>
  <si>
    <t>Financial Statements Net Operating Income</t>
  </si>
  <si>
    <t>(1)</t>
  </si>
  <si>
    <t xml:space="preserve">  DEPREC-EQUITY AFUDC PRE</t>
  </si>
  <si>
    <t xml:space="preserve">  DEPREC-EQUITY AFUDC POST</t>
  </si>
  <si>
    <t xml:space="preserve">    GENERAL</t>
  </si>
  <si>
    <t xml:space="preserve">    STORES UNDISTRIBUTED</t>
  </si>
  <si>
    <t xml:space="preserve">  TOTAL PLT MAT &amp; SUPPLIES</t>
  </si>
  <si>
    <t xml:space="preserve"> TOTAL MATERIALS &amp; SUPPLIES</t>
  </si>
  <si>
    <t xml:space="preserve"> PREPAYMENTS</t>
  </si>
  <si>
    <t xml:space="preserve">  PUBLIC SERVICE COMM TAX</t>
  </si>
  <si>
    <t xml:space="preserve"> TOTAL PREPAYMENTS</t>
  </si>
  <si>
    <t xml:space="preserve"> WORKING CASH - CALC BY JURIS</t>
  </si>
  <si>
    <t>TOTAL WORKING CAPITAL</t>
  </si>
  <si>
    <t>EMISSION ALLOWANCES</t>
  </si>
  <si>
    <t>TOTAL ADDITIONS TO NET PLANT</t>
  </si>
  <si>
    <t>DEDUCTIONS FROM NET PLANT</t>
  </si>
  <si>
    <t>ACCUMULATED DEFERRED INC TAX</t>
  </si>
  <si>
    <t xml:space="preserve"> DISTRIBUTION - VA</t>
  </si>
  <si>
    <t xml:space="preserve"> DISTRIBUTION PLT KY,FERC &amp; TN</t>
  </si>
  <si>
    <t>TOTAL DEFERRED INCOME TAX</t>
  </si>
  <si>
    <t>ACCUM DEFER INVEST TAX CREDITS</t>
  </si>
  <si>
    <t xml:space="preserve">  PRODUCTION</t>
  </si>
  <si>
    <t xml:space="preserve">  TRANSMISSION</t>
  </si>
  <si>
    <t xml:space="preserve">  TRANSMISSION VA</t>
  </si>
  <si>
    <t xml:space="preserve">  DISTRIBUTION - VA</t>
  </si>
  <si>
    <t xml:space="preserve">  DISTRIBUTION PLT KY,FERC &amp; TN</t>
  </si>
  <si>
    <t xml:space="preserve">  GENERAL</t>
  </si>
  <si>
    <t>TOTAL DEFERRED INVEST CREDIT</t>
  </si>
  <si>
    <t>TOTAL DEDUCTIONS FROM NET PLT</t>
  </si>
  <si>
    <t>SALES OF ELECTRICITY</t>
  </si>
  <si>
    <t>OTHER OPERATING REVENUES</t>
  </si>
  <si>
    <t>TOTAL OTHER REVENUES</t>
  </si>
  <si>
    <t>TOTAL OPERATING REVENUES</t>
  </si>
  <si>
    <t>OPERATION &amp; MAINTENANCE EXP</t>
  </si>
  <si>
    <t>PRODUCTION EXPENSE-STEAM</t>
  </si>
  <si>
    <t xml:space="preserve">  500-SUPERV &amp; ENGINEERING</t>
  </si>
  <si>
    <t xml:space="preserve">  501-FUEL</t>
  </si>
  <si>
    <t xml:space="preserve">  501-I/S SALES &amp; PARIS VAR EXP.</t>
  </si>
  <si>
    <t xml:space="preserve">  502 &amp; 504-STEAM EXPENSES</t>
  </si>
  <si>
    <t xml:space="preserve">  505-ELECTRIC EXPENSES</t>
  </si>
  <si>
    <t xml:space="preserve">  506-MISC STEAM POWER EXP</t>
  </si>
  <si>
    <t xml:space="preserve">  507 &amp; 509 - RENTS &amp; ALLOWANCE</t>
  </si>
  <si>
    <t xml:space="preserve">    TOTAL STEAM OPERATIONS</t>
  </si>
  <si>
    <t xml:space="preserve">  510-SUPERV &amp; ENGINEERING</t>
  </si>
  <si>
    <t xml:space="preserve">  511-STRUCTURES</t>
  </si>
  <si>
    <t xml:space="preserve">  512-BOILER PLANT</t>
  </si>
  <si>
    <t xml:space="preserve">  513-ELECTRIC PLANT</t>
  </si>
  <si>
    <t xml:space="preserve">  514-MISC STEAM PLANT</t>
  </si>
  <si>
    <t xml:space="preserve">    TOTAL STEAM MAINTENANCE</t>
  </si>
  <si>
    <t>TOTAL STEAM GENERATION</t>
  </si>
  <si>
    <t>PRODUCTION EXPENSE-HYDRO</t>
  </si>
  <si>
    <t xml:space="preserve">  535-SUPERV &amp; ENGINEERING</t>
  </si>
  <si>
    <t xml:space="preserve">  536-WATER FOR POWER</t>
  </si>
  <si>
    <t xml:space="preserve">  537-HYDRAULIC EXPENSES</t>
  </si>
  <si>
    <t xml:space="preserve">  538-ELECTRIC EXPENSES</t>
  </si>
  <si>
    <t xml:space="preserve">  539-MISC HYDR POWER GENER</t>
  </si>
  <si>
    <t xml:space="preserve">  540-RENTS</t>
  </si>
  <si>
    <t xml:space="preserve">    TOTAL HYDRO OPERATIONS</t>
  </si>
  <si>
    <t xml:space="preserve">  541-SUPERV &amp; ENGINEERING</t>
  </si>
  <si>
    <t xml:space="preserve">  542-STRUCTURES</t>
  </si>
  <si>
    <t xml:space="preserve">  543-RESERV, DAMS &amp; WATERWAY</t>
  </si>
  <si>
    <t xml:space="preserve">  544-ELECTRIC PLANT</t>
  </si>
  <si>
    <t xml:space="preserve">  545-MISC HYDRAULIC PLANT</t>
  </si>
  <si>
    <t xml:space="preserve">    TOTAL HYDRO MAINTENANCE</t>
  </si>
  <si>
    <t>TOTAL HYDRO GENERATION</t>
  </si>
  <si>
    <t>Deferred Fuel workpaper (Virginia Only) - Fuel Monitoring System - FMS Reports</t>
  </si>
  <si>
    <t>OPERATION &amp; MAINT EXP CON'T</t>
  </si>
  <si>
    <t>PRODUCTION EXPENSE-OTHER</t>
  </si>
  <si>
    <t xml:space="preserve">  546-SUPERV &amp; ENGINEERING</t>
  </si>
  <si>
    <t xml:space="preserve">  547-FUEL</t>
  </si>
  <si>
    <t xml:space="preserve">  548-GENERATION EXPENSES</t>
  </si>
  <si>
    <t xml:space="preserve">    TOTAL OTHER OPERATIONS</t>
  </si>
  <si>
    <t xml:space="preserve">  552-STRUCTURES</t>
  </si>
  <si>
    <t xml:space="preserve">  553-GENERATING &amp; ELECT PLT</t>
  </si>
  <si>
    <t xml:space="preserve">  554-MISC OTH POWER GEN PLT</t>
  </si>
  <si>
    <t xml:space="preserve">    TOTAL OTHER MAINTENANCE</t>
  </si>
  <si>
    <t>TOTAL OTHER GENERATION</t>
  </si>
  <si>
    <t>555-PURCHASED POWER</t>
  </si>
  <si>
    <t xml:space="preserve">  CAPACITY COMPONENT</t>
  </si>
  <si>
    <t xml:space="preserve">  ENERGY COMPONENT</t>
  </si>
  <si>
    <t xml:space="preserve">    TOTAL ACCT 555</t>
  </si>
  <si>
    <t>556-SYSTEM CONTROL &amp; DISP</t>
  </si>
  <si>
    <t>557-OTHER EXPENSES</t>
  </si>
  <si>
    <t>TOTAL PRODUCTION EXPENSES</t>
  </si>
  <si>
    <t>TRANSMISSION EXPENSES</t>
  </si>
  <si>
    <t xml:space="preserve">  560-SUPERV &amp; ENGINEERING</t>
  </si>
  <si>
    <t xml:space="preserve">  561-LOAD DISPATCHING</t>
  </si>
  <si>
    <t xml:space="preserve">  562-STATION EXPENSES</t>
  </si>
  <si>
    <t xml:space="preserve">  563-OVERHEAD LINE EXPENSES</t>
  </si>
  <si>
    <t xml:space="preserve">  564-UNDERGROUND LINE EXP</t>
  </si>
  <si>
    <t>Virginia 0 (zero) Cash Working Capital (No formula allowed only Lead/Lag Study or Zero)</t>
  </si>
  <si>
    <t xml:space="preserve">  565-TRANSM OF ELECT BY OTH</t>
  </si>
  <si>
    <t xml:space="preserve">  566-MISC TRANSMISSION EXP</t>
  </si>
  <si>
    <t xml:space="preserve">  567-RENTS</t>
  </si>
  <si>
    <t xml:space="preserve">    TOTAL TRANSM OPERATIONS</t>
  </si>
  <si>
    <t xml:space="preserve">  568-SUPERV &amp; ENGINEERING</t>
  </si>
  <si>
    <t xml:space="preserve">  569-MAINT OF STRUCTURES</t>
  </si>
  <si>
    <t xml:space="preserve">  570-MAINT OF STATION EQUIP</t>
  </si>
  <si>
    <t xml:space="preserve">  571-MAINT OF OH LINES</t>
  </si>
  <si>
    <t xml:space="preserve">  572-MAINT OF UG LINES</t>
  </si>
  <si>
    <t xml:space="preserve">  573-MAINT OF MISC TRAN PLT</t>
  </si>
  <si>
    <t xml:space="preserve">    TOTAL TRANSM MAINTENANCE</t>
  </si>
  <si>
    <t>TOTAL TRANSMISSION EXPENSES</t>
  </si>
  <si>
    <t>DISTRIBUTION EXPENSES</t>
  </si>
  <si>
    <t xml:space="preserve">  580-SUPERV &amp; ENGINEERING</t>
  </si>
  <si>
    <t xml:space="preserve">  582-STATION EXPENSES</t>
  </si>
  <si>
    <t xml:space="preserve">  583-OVERHEAD LINES</t>
  </si>
  <si>
    <t xml:space="preserve">  584-UNDERGROUND LINES</t>
  </si>
  <si>
    <t xml:space="preserve">  585-STREET LIGHTING</t>
  </si>
  <si>
    <t xml:space="preserve">  586-METERS</t>
  </si>
  <si>
    <t xml:space="preserve">  587-CUSTOMER INSTALLATIONS</t>
  </si>
  <si>
    <t xml:space="preserve">  588-MISCELLANEOUS EXP</t>
  </si>
  <si>
    <t xml:space="preserve">  589-RENTS</t>
  </si>
  <si>
    <t xml:space="preserve">    TOTAL DISTR OPERATIONS</t>
  </si>
  <si>
    <t xml:space="preserve">  590-SUPERV &amp; ENGINEERING</t>
  </si>
  <si>
    <t xml:space="preserve">  591-MAINT OF STRUCTURES</t>
  </si>
  <si>
    <t xml:space="preserve">  592-MAINT OF STATION EQUIP</t>
  </si>
  <si>
    <t xml:space="preserve">  593-MAINT OF OH LINES</t>
  </si>
  <si>
    <t xml:space="preserve">  594-MAINT OF UG LINES</t>
  </si>
  <si>
    <t xml:space="preserve">  595-MAINT OF LINE TRANSF</t>
  </si>
  <si>
    <t xml:space="preserve">  596-MAINT OF ST LIGHTING</t>
  </si>
  <si>
    <t xml:space="preserve">  597-MAINT OF METERS</t>
  </si>
  <si>
    <t xml:space="preserve">  598-MISCELLANEOUS</t>
  </si>
  <si>
    <t xml:space="preserve">    TOTAL DISTR MAINTENANCE</t>
  </si>
  <si>
    <t>TOTAL DISTRIBUTION EXPENSES</t>
  </si>
  <si>
    <t>CUSTOMER ACCOUNTING EXPENSES</t>
  </si>
  <si>
    <t xml:space="preserve">  901-SUPERVISION</t>
  </si>
  <si>
    <t xml:space="preserve">  902-METER READING</t>
  </si>
  <si>
    <t xml:space="preserve">  903-CUSTOMER RECORDS</t>
  </si>
  <si>
    <t xml:space="preserve">  904-UNCOLLECTIBLE ACCOUNTS</t>
  </si>
  <si>
    <t xml:space="preserve">  905-MISCELLANEOUS</t>
  </si>
  <si>
    <t>TOTAL CUSTOMER ACCOUNTS</t>
  </si>
  <si>
    <t>CUSTOMER SERVICES</t>
  </si>
  <si>
    <t xml:space="preserve">  907-SUPERVISION</t>
  </si>
  <si>
    <t xml:space="preserve">  908-CUSTOMER ASSISTANCE</t>
  </si>
  <si>
    <t xml:space="preserve">  909-INFORMATION &amp; INSTRUCT</t>
  </si>
  <si>
    <t xml:space="preserve">  910-MISCELLANEOUS</t>
  </si>
  <si>
    <t>TOTAL CUSTOMER SERVICE</t>
  </si>
  <si>
    <t>SALES EXPENSE</t>
  </si>
  <si>
    <t xml:space="preserve">  911-SUPERVISION</t>
  </si>
  <si>
    <t xml:space="preserve">  912-DEMONSTRATING &amp; SELLING</t>
  </si>
  <si>
    <t xml:space="preserve">  913-ADVERTISING</t>
  </si>
  <si>
    <t xml:space="preserve">  916-MISCELLANEOUS</t>
  </si>
  <si>
    <t>TOTAL SALES EXPENSE</t>
  </si>
  <si>
    <t>ADMINISTRATIVE &amp; GENERAL</t>
  </si>
  <si>
    <t>Trial Balance-Accum Prov Post Ret Benefits 228301,228307 (Virginia Only)</t>
  </si>
  <si>
    <t xml:space="preserve"> PLANT COMPONENT</t>
  </si>
  <si>
    <t xml:space="preserve">  924-PROPERTY INSURANCE</t>
  </si>
  <si>
    <t xml:space="preserve">     TOTAL NET PLT COMPONENT</t>
  </si>
  <si>
    <t xml:space="preserve"> LABOR COMPONENT</t>
  </si>
  <si>
    <t xml:space="preserve">  920-ADMIN &amp; GENERAL EXP</t>
  </si>
  <si>
    <t xml:space="preserve">  921-OFFICE SUPPLIES &amp; EXP</t>
  </si>
  <si>
    <t xml:space="preserve">  922-ADMIN EXP TRANSF-CRED</t>
  </si>
  <si>
    <t xml:space="preserve">  923-OUTSIDE SERVICES</t>
  </si>
  <si>
    <t xml:space="preserve">  925-INJURIES &amp; DAMAGES</t>
  </si>
  <si>
    <t xml:space="preserve">  926-PENSIONS &amp; BENEFITS</t>
  </si>
  <si>
    <t xml:space="preserve">  926-PENSIONS &amp; BENES-DIR KY</t>
  </si>
  <si>
    <t xml:space="preserve">  926-PENSIONS &amp; BENES-DIR VAJ</t>
  </si>
  <si>
    <t xml:space="preserve">  926-PENSIONS &amp; BENES-DIR VNJ</t>
  </si>
  <si>
    <t xml:space="preserve">  926-PENSIONS &amp; BENES-DIR FERC</t>
  </si>
  <si>
    <t xml:space="preserve">  929-DUPLICATE CHARGES-CR</t>
  </si>
  <si>
    <t xml:space="preserve">  930-MISC GENERAL EXPENSE</t>
  </si>
  <si>
    <t xml:space="preserve">  931-RENTS</t>
  </si>
  <si>
    <t xml:space="preserve">  935-MAINTENANCE</t>
  </si>
  <si>
    <t xml:space="preserve">     TOTAL LABOR COMPONENT</t>
  </si>
  <si>
    <t xml:space="preserve">  928-REGULATORY COMMISSION</t>
  </si>
  <si>
    <t xml:space="preserve">    STATE JURISDICTION</t>
  </si>
  <si>
    <t xml:space="preserve">    FEDERAL JURISDICTION</t>
  </si>
  <si>
    <t xml:space="preserve">    VIRGINIA JURISDICTION</t>
  </si>
  <si>
    <t xml:space="preserve">    928 ALLOCATED</t>
  </si>
  <si>
    <t xml:space="preserve">      TOTAL ACCOUNT 928</t>
  </si>
  <si>
    <t xml:space="preserve">  927-FRANCHISE NJ VA</t>
  </si>
  <si>
    <t>TOTAL ADMINISTRATIVE &amp; GEN</t>
  </si>
  <si>
    <t>TOTAL OPERATION &amp; MAINTENANCE</t>
  </si>
  <si>
    <t>DEPRECIATION &amp; AMORT EXPENSE</t>
  </si>
  <si>
    <t>DEPRECIATION EXPENSE</t>
  </si>
  <si>
    <t xml:space="preserve"> DISTRIBUTION PLANT</t>
  </si>
  <si>
    <t>F/S Total OP Revenues</t>
  </si>
  <si>
    <t>Capacitors from Prop Acct Plant Detail Report Acct 368 (UOP 444-496)</t>
  </si>
  <si>
    <t>TOTAL DEPREC &amp; AMORT EXP</t>
  </si>
  <si>
    <t>OTHER TAXES &amp; OTHER EXPENSES</t>
  </si>
  <si>
    <t>TAXES OTHER THAN INCOME TAX</t>
  </si>
  <si>
    <t xml:space="preserve">  PROPERTY TAXES</t>
  </si>
  <si>
    <t xml:space="preserve">  PSC ASSESSMENT-KY REVENUE</t>
  </si>
  <si>
    <t xml:space="preserve">  VA GROSS RECEIPTS TAX</t>
  </si>
  <si>
    <t xml:space="preserve">  UNEMPLOYMENT</t>
  </si>
  <si>
    <t xml:space="preserve">  FICA</t>
  </si>
  <si>
    <t xml:space="preserve">  MISCELLANEOUS</t>
  </si>
  <si>
    <t>TOTAL OTHER TAXES</t>
  </si>
  <si>
    <t>GAIN DISPOSITION OF ALLOWANCES</t>
  </si>
  <si>
    <t>203(E) EXCESS</t>
  </si>
  <si>
    <t xml:space="preserve">  PRODUCTION PLANT</t>
  </si>
  <si>
    <t xml:space="preserve">  TRANSMISSION PLANT</t>
  </si>
  <si>
    <t xml:space="preserve">    KENTUCKY SYSTEM PROPERTY</t>
  </si>
  <si>
    <t xml:space="preserve">    VIRGINIA PROPERTY</t>
  </si>
  <si>
    <t xml:space="preserve">  TOTAL TRANSMISSION PLANT</t>
  </si>
  <si>
    <t>INVESTMENT TAX CREDIT ADJ</t>
  </si>
  <si>
    <t xml:space="preserve">  DISTRIBUTION - DIRECT</t>
  </si>
  <si>
    <t>TOTAL INVEST TAX CREDIT ADJ</t>
  </si>
  <si>
    <t>TOTAL EXP OTHER THAN INC TAX</t>
  </si>
  <si>
    <t>INCOME TAXES</t>
  </si>
  <si>
    <t>OPERATING INC BEFORE INC TAXES</t>
  </si>
  <si>
    <t>DEVELOPMENT OF FED INC TAX</t>
  </si>
  <si>
    <t xml:space="preserve"> ADDITIONS TO INCOME</t>
  </si>
  <si>
    <t xml:space="preserve"> TOTAL ADDITIONS</t>
  </si>
  <si>
    <t>KENTUCKY SYSTEM PROPERTY</t>
  </si>
  <si>
    <t>VA 500 KV Line Current Plant Balances - Location Code T201</t>
  </si>
  <si>
    <t>Asset Description</t>
  </si>
  <si>
    <t>Date</t>
  </si>
  <si>
    <t>Quantity</t>
  </si>
  <si>
    <t>Co.</t>
  </si>
  <si>
    <t>Account</t>
  </si>
  <si>
    <t>Asset_id</t>
  </si>
  <si>
    <t>Retirement Unit Description</t>
  </si>
  <si>
    <t>Location</t>
  </si>
  <si>
    <t>RIGHT OF WAY</t>
  </si>
  <si>
    <t>RIGHTS OF WAY (06933)</t>
  </si>
  <si>
    <t>Unit #201-500 KV Line</t>
  </si>
  <si>
    <t>STEEL TOWER TYPE A23R</t>
  </si>
  <si>
    <t>STEEL TOWER TYPE A37</t>
  </si>
  <si>
    <t>STEEL TOWER TYPE B23R</t>
  </si>
  <si>
    <t>STEEL TOWER TYPE B37</t>
  </si>
  <si>
    <t>STEEL TOWER TYPE C23R</t>
  </si>
  <si>
    <t>STEEL TOWER TYPE C37</t>
  </si>
  <si>
    <t>STEEL TOWER TYPE D23A</t>
  </si>
  <si>
    <t>STEEL TOWER TYPE D37</t>
  </si>
  <si>
    <t>STEEL TOWER TYPE J23R</t>
  </si>
  <si>
    <t>STEEL TOWER TYPE J37</t>
  </si>
  <si>
    <t>STEEL TOWER TYPE L23</t>
  </si>
  <si>
    <t>FRAME SET T201</t>
  </si>
  <si>
    <t>CROSS ARMS (07362)</t>
  </si>
  <si>
    <t>GUY</t>
  </si>
  <si>
    <t>GUY (00070)</t>
  </si>
  <si>
    <t>POLE WOOD 35 FT</t>
  </si>
  <si>
    <t>POLE WOOD 35 FT (00005)</t>
  </si>
  <si>
    <t>POLE WOOD 45 FT</t>
  </si>
  <si>
    <t>POLE WOOD 45 FT (00007)</t>
  </si>
  <si>
    <t>POLE WOOD 50 FT</t>
  </si>
  <si>
    <t>POLE WOOD 50 FT (00008)</t>
  </si>
  <si>
    <t>POLE WOOD 60 FT</t>
  </si>
  <si>
    <t>POLE WOOD 60 FT (00010)</t>
  </si>
  <si>
    <t>POLE WOOD 65 FT</t>
  </si>
  <si>
    <t>POLE WOOD 65 FT (00011)</t>
  </si>
  <si>
    <t>#954 MCM 45/7 ACSR BARE</t>
  </si>
  <si>
    <t>#954 MCM 45/7 ACSR BARE (00132)</t>
  </si>
  <si>
    <t>ALUMAWELD MESSENGER</t>
  </si>
  <si>
    <t>#3/0 BARE COPPER (00176)</t>
  </si>
  <si>
    <t>SUSPENSION INS. 10"</t>
  </si>
  <si>
    <t>INSULATORS - SUBSTATION (07429)</t>
  </si>
  <si>
    <t xml:space="preserve"> 350-LAND &amp; LAND RIGHTS</t>
  </si>
  <si>
    <t xml:space="preserve"> 352-STRUCTURES AND IMPROVEMENTS</t>
  </si>
  <si>
    <t xml:space="preserve"> 353-STATION EQUIPMENT</t>
  </si>
  <si>
    <t xml:space="preserve"> 354-TOWERS AND FIXTURES</t>
  </si>
  <si>
    <t xml:space="preserve"> 355-POLES AND FIXTURES</t>
  </si>
  <si>
    <t xml:space="preserve"> 356-OH CONDUCTORS AND DEVICES</t>
  </si>
  <si>
    <t xml:space="preserve"> 357-UNDERGROUND CONDUIT</t>
  </si>
  <si>
    <t xml:space="preserve"> 358-UG CONDUCTORS AND DEVICES</t>
  </si>
  <si>
    <t xml:space="preserve"> 359-ARO COST KY TRANS</t>
  </si>
  <si>
    <t>VIRGINIA PROPERTY-500 KV LINE</t>
  </si>
  <si>
    <t>TOTAL VIRGINIA PROPERTY-500 KV LINE</t>
  </si>
  <si>
    <t>VIRGINIA PROPERTY</t>
  </si>
  <si>
    <t>TOTAL VIRGINIA PROPERTY</t>
  </si>
  <si>
    <t>TOTAL KENTUCKY SYSTEM PROPERTY</t>
  </si>
  <si>
    <t xml:space="preserve"> 360-LAND &amp; LAND RIGHTS</t>
  </si>
  <si>
    <t xml:space="preserve"> 361-STRUCTURES AND IMPROVEMENTS</t>
  </si>
  <si>
    <t xml:space="preserve"> 362-STATION EQUIPMENT</t>
  </si>
  <si>
    <t xml:space="preserve"> DEDUCTIONS FROM INCOME</t>
  </si>
  <si>
    <t xml:space="preserve">  INTEREST EXPENSE</t>
  </si>
  <si>
    <t xml:space="preserve">    LONG TERM DEBT OTHER</t>
  </si>
  <si>
    <t xml:space="preserve">    INT ON CUSTOMER DEPOSITS</t>
  </si>
  <si>
    <t xml:space="preserve">    AFUDC-INTEREST POST FERC</t>
  </si>
  <si>
    <t xml:space="preserve"> TOTAL DEDUCTIONS</t>
  </si>
  <si>
    <t xml:space="preserve"> PLUS: ABOVE THE LINE DIFF:</t>
  </si>
  <si>
    <t xml:space="preserve">  OTHER</t>
  </si>
  <si>
    <t xml:space="preserve"> TOTAL PERMANENT DIFFERENCES</t>
  </si>
  <si>
    <t>STATE TAX</t>
  </si>
  <si>
    <t>FEDERAL TAXES @ 35%</t>
  </si>
  <si>
    <t>EXCESS DEFERRED TAXES</t>
  </si>
  <si>
    <t xml:space="preserve"> FEDERAL TAX TOTAL</t>
  </si>
  <si>
    <t>RATE OF RETURN</t>
  </si>
  <si>
    <t>STATE TAX RATE</t>
  </si>
  <si>
    <t>FEDERAL TAX RATE - CURRENT</t>
  </si>
  <si>
    <t>1 - EFFECTIVE TAX RATE</t>
  </si>
  <si>
    <t>EFFECTIVE TAX RATE</t>
  </si>
  <si>
    <t>FACTOR FOR TAXABLE BASIS</t>
  </si>
  <si>
    <t>LABOR ALLOCATOR</t>
  </si>
  <si>
    <t>LABOR EXPENSE</t>
  </si>
  <si>
    <t xml:space="preserve"> PRODUCTION LABOR</t>
  </si>
  <si>
    <t xml:space="preserve">   ENERGY RELATED</t>
  </si>
  <si>
    <t xml:space="preserve">   DEMAND RELATED</t>
  </si>
  <si>
    <t xml:space="preserve">     TOTAL PRODUCTION</t>
  </si>
  <si>
    <t xml:space="preserve"> TOTAL TRANSMISSION LABOR</t>
  </si>
  <si>
    <t xml:space="preserve"> TOTAL DISTRIBUTION LABOR</t>
  </si>
  <si>
    <t xml:space="preserve"> TOT PROD, TRNS &amp; DISTR LABOR</t>
  </si>
  <si>
    <t xml:space="preserve"> CUSTOMER ACCOUNTING</t>
  </si>
  <si>
    <t xml:space="preserve">  575-MISO DAY 1 &amp;2 EXP</t>
  </si>
  <si>
    <t xml:space="preserve"> CUSTOMER SERVICE &amp; SALES EXP</t>
  </si>
  <si>
    <t>TOTAL LABOR EXPENSES</t>
  </si>
  <si>
    <t>A_GEXP</t>
  </si>
  <si>
    <t>AFUDC expense per Prop Acct spreadsheet</t>
  </si>
  <si>
    <t>12 month ending functional depr expense</t>
  </si>
  <si>
    <t>See Tax Accounting workpapers</t>
  </si>
  <si>
    <t>Income Statement</t>
  </si>
  <si>
    <t>Tax acct workpapers</t>
  </si>
  <si>
    <t>12 month ending KY, PP, TN depr expense</t>
  </si>
  <si>
    <t>Direct Labor plus Burdens</t>
  </si>
  <si>
    <t>Balance Sheet</t>
  </si>
  <si>
    <t>Tax Acct workpapers</t>
  </si>
  <si>
    <t>RATE BASE: END OF PERIOD</t>
  </si>
  <si>
    <t>Depreciation Exp FS</t>
  </si>
  <si>
    <t>Amortization Exp FS</t>
  </si>
  <si>
    <t>Regulatory Credits FS</t>
  </si>
  <si>
    <t>Accretion Exp FS</t>
  </si>
  <si>
    <t>Fuel Exp FS</t>
  </si>
  <si>
    <t>Source:</t>
  </si>
  <si>
    <t>Power Purch Exp FS</t>
  </si>
  <si>
    <t>Oth Op Exp FS</t>
  </si>
  <si>
    <t>Main Exp FS</t>
  </si>
  <si>
    <t xml:space="preserve"> 311-STRUCTURES AND IMPROVEMENTS</t>
  </si>
  <si>
    <t xml:space="preserve"> 312-BOILER PLANT EQUIPMENT</t>
  </si>
  <si>
    <t xml:space="preserve"> 314-TURBOGENERATOR UNITS</t>
  </si>
  <si>
    <t xml:space="preserve"> 315-ACCESSORY ELECTRIC EQUIP</t>
  </si>
  <si>
    <t xml:space="preserve"> 316-MISC POWER PLANT EQUIP</t>
  </si>
  <si>
    <t xml:space="preserve"> 317-ARO COST STEAM EQUIP</t>
  </si>
  <si>
    <t xml:space="preserve"> 310-LAND</t>
  </si>
  <si>
    <t>HYDRAULIC PRODUCTION PLANT</t>
  </si>
  <si>
    <t xml:space="preserve"> 330-LAND RIGHTS</t>
  </si>
  <si>
    <t xml:space="preserve"> 331-STRUCTURES AND IMPROVEMENTS</t>
  </si>
  <si>
    <t xml:space="preserve"> 332-RESERVOIRS, DAMS, AND WATER</t>
  </si>
  <si>
    <t xml:space="preserve"> 333-WATER WHEEL, TURBINES, GEN</t>
  </si>
  <si>
    <t xml:space="preserve"> 334-ACCESSORY ELECTRIC EQUIP</t>
  </si>
  <si>
    <t xml:space="preserve"> 335-MISC POWER PLANT EQUIP</t>
  </si>
  <si>
    <t xml:space="preserve"> 336-ROADS, RAILROADS, AND BRIDGES</t>
  </si>
  <si>
    <t xml:space="preserve"> 337-ARO COST HYDRO PROD EQUIP</t>
  </si>
  <si>
    <t>OTHER PRODUCTION PLANT</t>
  </si>
  <si>
    <t xml:space="preserve"> 340-LAND &amp; LAND RIGHTS</t>
  </si>
  <si>
    <t xml:space="preserve"> 341-STRUCTURES AND IMPROVEMENTS</t>
  </si>
  <si>
    <t xml:space="preserve"> 342-FUEL HOLDERS, PRODUCERS, ACC</t>
  </si>
  <si>
    <t xml:space="preserve"> 343-PRIME MOVERS</t>
  </si>
  <si>
    <t xml:space="preserve"> 344-GENERATORS</t>
  </si>
  <si>
    <t xml:space="preserve"> 345-ACCESSORY ELECTRIC EQUIP</t>
  </si>
  <si>
    <t xml:space="preserve"> 346-MISC POWER PLANT EQUIP</t>
  </si>
  <si>
    <t xml:space="preserve"> 347-ARO COST OTHER PROD EQUIP</t>
  </si>
  <si>
    <t>Distribution</t>
  </si>
  <si>
    <t>-</t>
  </si>
  <si>
    <t xml:space="preserve">   FERC 501</t>
  </si>
  <si>
    <t xml:space="preserve">   FERC 510</t>
  </si>
  <si>
    <t xml:space="preserve">   FERC 512</t>
  </si>
  <si>
    <t xml:space="preserve">   FERC 513</t>
  </si>
  <si>
    <t xml:space="preserve">   FERC 547</t>
  </si>
  <si>
    <t xml:space="preserve">     TOTAL ENERGY LABOR</t>
  </si>
  <si>
    <t xml:space="preserve">   FERC 500</t>
  </si>
  <si>
    <t xml:space="preserve">   FERC 502</t>
  </si>
  <si>
    <t xml:space="preserve">   FERC 505</t>
  </si>
  <si>
    <t xml:space="preserve">   FERC 506</t>
  </si>
  <si>
    <t xml:space="preserve">   FERC 509</t>
  </si>
  <si>
    <t xml:space="preserve">   FERC 511</t>
  </si>
  <si>
    <t xml:space="preserve">   FERC 514</t>
  </si>
  <si>
    <t xml:space="preserve">   FERC 538</t>
  </si>
  <si>
    <t xml:space="preserve">   FERC 539</t>
  </si>
  <si>
    <t xml:space="preserve">   FERC 541</t>
  </si>
  <si>
    <t xml:space="preserve">   FERC 542</t>
  </si>
  <si>
    <t xml:space="preserve">   FERC 544</t>
  </si>
  <si>
    <t xml:space="preserve">   FERC 545</t>
  </si>
  <si>
    <t xml:space="preserve">   FERC 546</t>
  </si>
  <si>
    <t xml:space="preserve">    INTEREST ON CUSTOMER DEPOSITS-VA</t>
  </si>
  <si>
    <t xml:space="preserve">   FERC 548</t>
  </si>
  <si>
    <t xml:space="preserve">   FERC 549</t>
  </si>
  <si>
    <t xml:space="preserve">   FERC 550</t>
  </si>
  <si>
    <t xml:space="preserve">   FERC 551</t>
  </si>
  <si>
    <t xml:space="preserve">   FERC 552</t>
  </si>
  <si>
    <t xml:space="preserve">   FERC 553</t>
  </si>
  <si>
    <t xml:space="preserve">   FERC 554</t>
  </si>
  <si>
    <t xml:space="preserve">   FERC 555</t>
  </si>
  <si>
    <t xml:space="preserve">   FERC 556</t>
  </si>
  <si>
    <t xml:space="preserve">   FERC 557</t>
  </si>
  <si>
    <t xml:space="preserve">     TOTAL DEMAND</t>
  </si>
  <si>
    <t xml:space="preserve">      FERC 560</t>
  </si>
  <si>
    <t xml:space="preserve"> TRANSMISSION LABOR</t>
  </si>
  <si>
    <t xml:space="preserve">      FERC 561</t>
  </si>
  <si>
    <t xml:space="preserve">      FERC 562</t>
  </si>
  <si>
    <t xml:space="preserve">      FERC 563</t>
  </si>
  <si>
    <t xml:space="preserve">      FERC 565</t>
  </si>
  <si>
    <t xml:space="preserve">      FERC 566</t>
  </si>
  <si>
    <t xml:space="preserve">      FERC 567</t>
  </si>
  <si>
    <t xml:space="preserve">      FERC 569</t>
  </si>
  <si>
    <t xml:space="preserve"> DISTRIBUTION LABOR</t>
  </si>
  <si>
    <t xml:space="preserve">      FERC 570</t>
  </si>
  <si>
    <t xml:space="preserve">      FERC 571</t>
  </si>
  <si>
    <t xml:space="preserve">      FERC 572</t>
  </si>
  <si>
    <t xml:space="preserve">      FERC 573</t>
  </si>
  <si>
    <t xml:space="preserve">      FERC 580</t>
  </si>
  <si>
    <t xml:space="preserve">      FERC 582</t>
  </si>
  <si>
    <t xml:space="preserve">      FERC 583</t>
  </si>
  <si>
    <t xml:space="preserve">      FERC 584</t>
  </si>
  <si>
    <t xml:space="preserve">      FERC 585</t>
  </si>
  <si>
    <t xml:space="preserve">      FERC 586</t>
  </si>
  <si>
    <t xml:space="preserve">      FERC 587</t>
  </si>
  <si>
    <t xml:space="preserve">      FERC 588</t>
  </si>
  <si>
    <t xml:space="preserve">      FERC 589</t>
  </si>
  <si>
    <t xml:space="preserve">      FERC 590</t>
  </si>
  <si>
    <t xml:space="preserve">      FERC 592</t>
  </si>
  <si>
    <t xml:space="preserve">      FERC 593</t>
  </si>
  <si>
    <t xml:space="preserve">      FERC 594</t>
  </si>
  <si>
    <t xml:space="preserve">      FERC 595</t>
  </si>
  <si>
    <t xml:space="preserve">      FERC 596</t>
  </si>
  <si>
    <t xml:space="preserve">      FERC 597</t>
  </si>
  <si>
    <t xml:space="preserve">      FERC 598</t>
  </si>
  <si>
    <t xml:space="preserve">      FERC 901</t>
  </si>
  <si>
    <t xml:space="preserve">      FERC 902</t>
  </si>
  <si>
    <t xml:space="preserve">      FERC 903</t>
  </si>
  <si>
    <t xml:space="preserve">      FERC 904</t>
  </si>
  <si>
    <t xml:space="preserve">      FERC 905</t>
  </si>
  <si>
    <t xml:space="preserve"> TOTAL CUSTOMER ACCOUNTING LABOR</t>
  </si>
  <si>
    <t xml:space="preserve">      FERC 907</t>
  </si>
  <si>
    <t xml:space="preserve">      FERC 908</t>
  </si>
  <si>
    <t xml:space="preserve">      FERC 909</t>
  </si>
  <si>
    <t xml:space="preserve">      FERC 910</t>
  </si>
  <si>
    <t xml:space="preserve">      FERC 912</t>
  </si>
  <si>
    <t xml:space="preserve">      FERC 913</t>
  </si>
  <si>
    <t xml:space="preserve">      FERC 916</t>
  </si>
  <si>
    <t>ADMIN &amp; GENERAL LABOR</t>
  </si>
  <si>
    <t xml:space="preserve">      FERC 920</t>
  </si>
  <si>
    <t xml:space="preserve">      FERC 921</t>
  </si>
  <si>
    <t xml:space="preserve">      FERC 922</t>
  </si>
  <si>
    <t xml:space="preserve">      FERC 923</t>
  </si>
  <si>
    <t xml:space="preserve">      FERC 924</t>
  </si>
  <si>
    <t xml:space="preserve">      FERC 925</t>
  </si>
  <si>
    <t xml:space="preserve">      FERC 926</t>
  </si>
  <si>
    <t xml:space="preserve">      FERC 927</t>
  </si>
  <si>
    <t xml:space="preserve">      FERC 929</t>
  </si>
  <si>
    <t xml:space="preserve">      FERC 930</t>
  </si>
  <si>
    <t xml:space="preserve">      FERC 931</t>
  </si>
  <si>
    <t xml:space="preserve">      FERC 935</t>
  </si>
  <si>
    <t xml:space="preserve"> TOTAL ADMIN &amp; GENERAL  LABOR</t>
  </si>
  <si>
    <t xml:space="preserve">   FERC 535</t>
  </si>
  <si>
    <t xml:space="preserve"> TOTAL CUSTOMER SERVICE AND SALES LABOR</t>
  </si>
  <si>
    <t>ITC BTL-No amortization</t>
  </si>
  <si>
    <t xml:space="preserve">         KENTUCKY UTILITIES COMPANY</t>
  </si>
  <si>
    <t xml:space="preserve">          JURISDICTIONAL SEPARATION</t>
  </si>
  <si>
    <t>TOTAL</t>
  </si>
  <si>
    <t>KENTUCKY</t>
  </si>
  <si>
    <t>TENNESSEE</t>
  </si>
  <si>
    <t>INPUT COL</t>
  </si>
  <si>
    <t>STATE</t>
  </si>
  <si>
    <t>VIRGINIA</t>
  </si>
  <si>
    <t>FERC</t>
  </si>
  <si>
    <t>ALLOC</t>
  </si>
  <si>
    <t>Ghent 1 FGD</t>
  </si>
  <si>
    <t>Ghent 3 FGD</t>
  </si>
  <si>
    <t>UTILITIES</t>
  </si>
  <si>
    <t>JURISDICTION</t>
  </si>
  <si>
    <t>PRIMARY</t>
  </si>
  <si>
    <t>TRANSMISSION</t>
  </si>
  <si>
    <t>PARIS</t>
  </si>
  <si>
    <t>(1)-1</t>
  </si>
  <si>
    <t>(2)</t>
  </si>
  <si>
    <t>(6)</t>
  </si>
  <si>
    <t>(7)</t>
  </si>
  <si>
    <t>(8)</t>
  </si>
  <si>
    <t>(9)</t>
  </si>
  <si>
    <t>ALLOCATION FACTOR TABLE</t>
  </si>
  <si>
    <t>DEMAND RELATED</t>
  </si>
  <si>
    <t>PRODUCTION ALLOCATORS</t>
  </si>
  <si>
    <t>DEMAND (12 CP GEN LEV)-PROD</t>
  </si>
  <si>
    <t>DEMPROD</t>
  </si>
  <si>
    <t>DEMAND (12 CP GEN LEV)-FERC</t>
  </si>
  <si>
    <t>DEMFERC</t>
  </si>
  <si>
    <t>DEMAND (12 CP GEN)-PROD VA</t>
  </si>
  <si>
    <t>DPRODVA</t>
  </si>
  <si>
    <t>DEMAND (12 CP GEN)-PROD KY</t>
  </si>
  <si>
    <t>DPRODKY</t>
  </si>
  <si>
    <t>DEM (12 CP GEN LV)-FERC POST</t>
  </si>
  <si>
    <t>DEMFERCP</t>
  </si>
  <si>
    <t>DEM (12 CP GEN LV)-NON VA</t>
  </si>
  <si>
    <t>DEMPRODNV</t>
  </si>
  <si>
    <t>TRANSMISSION ALLOCATORS</t>
  </si>
  <si>
    <t>DEMAND (12 CP GEN LEV)-TRAN</t>
  </si>
  <si>
    <t>DEMTRAN</t>
  </si>
  <si>
    <t>DEMAND (12 CP GEN LEV)-VA</t>
  </si>
  <si>
    <t>DEMVA</t>
  </si>
  <si>
    <t>DEM (12 CP GN LEV)-TRAN FERC</t>
  </si>
  <si>
    <t>DEMFERCT</t>
  </si>
  <si>
    <t>DEM (12 CP GN)-TR FERC POST</t>
  </si>
  <si>
    <t>DFERCTP</t>
  </si>
  <si>
    <t>DISTRIBUTION ALLOCATORS</t>
  </si>
  <si>
    <t>DEM368K</t>
  </si>
  <si>
    <t>M_S</t>
  </si>
  <si>
    <t>DIR3602V</t>
  </si>
  <si>
    <t>Pulled off Trial Balance - Acct 407</t>
  </si>
  <si>
    <t>General TN</t>
  </si>
  <si>
    <t>Total 928</t>
  </si>
  <si>
    <t>KY Cases</t>
  </si>
  <si>
    <t>VA Cases</t>
  </si>
  <si>
    <t>TN Cases</t>
  </si>
  <si>
    <t>excluding Taxes</t>
  </si>
  <si>
    <t xml:space="preserve">  PREPAYMENTS OTHER THAN TAXES</t>
  </si>
  <si>
    <t>DEM368V</t>
  </si>
  <si>
    <t>ALLOCATION METHOD: AVG 12 CP (COMBINED CO SYS)</t>
  </si>
  <si>
    <t>Plant Acct.</t>
  </si>
  <si>
    <t>Description</t>
  </si>
  <si>
    <t>Pre-Merger Debt</t>
  </si>
  <si>
    <t>Pre-Merger Equity</t>
  </si>
  <si>
    <t>Post-Merger Debt</t>
  </si>
  <si>
    <t>Post-Merger Equity</t>
  </si>
  <si>
    <t>Structures and Improvements</t>
  </si>
  <si>
    <t>Boiler Plant Equipment</t>
  </si>
  <si>
    <t>Turbogenerator Units</t>
  </si>
  <si>
    <t>Accessory Electrical Equipment</t>
  </si>
  <si>
    <t>Misc. Power Plant Equipment</t>
  </si>
  <si>
    <t>Reservoirs, Dams, and Waterways</t>
  </si>
  <si>
    <t>Fuel Holders, Producers, &amp; Acc.</t>
  </si>
  <si>
    <t>Prime Movers</t>
  </si>
  <si>
    <t>Generators</t>
  </si>
  <si>
    <t>Land</t>
  </si>
  <si>
    <t>Station Equipment</t>
  </si>
  <si>
    <t>Towers and Fixtures</t>
  </si>
  <si>
    <t>Poles and Fixtures</t>
  </si>
  <si>
    <t>O/H Conductors and Devices</t>
  </si>
  <si>
    <t>Underground Conduit</t>
  </si>
  <si>
    <t>U/G Conductors and Devices</t>
  </si>
  <si>
    <t>STEAM PRODUCTION PLANT</t>
  </si>
  <si>
    <t xml:space="preserve">DIR ASSIGN ACC.DEPRC.DIST.VA&amp;TN </t>
  </si>
  <si>
    <t>DIRACDEP</t>
  </si>
  <si>
    <t>DIR ASSIGN CWIP DIST VA &amp; TN</t>
  </si>
  <si>
    <t>DIRCWIP</t>
  </si>
  <si>
    <t>DIR ASSIGN ACC.DFDTX.DIST.VA&amp;TN</t>
  </si>
  <si>
    <t>DIRACDFTX</t>
  </si>
  <si>
    <t>DIR ASSIGN ACC.ITC.DIST.VA &amp; TN</t>
  </si>
  <si>
    <t>DIRACITC</t>
  </si>
  <si>
    <t>DIR ASSIGN 203(E) EXCESS</t>
  </si>
  <si>
    <t>DIR203E</t>
  </si>
  <si>
    <t>DIR ASSIGN ITC ADJ</t>
  </si>
  <si>
    <t>DIRITCADJ</t>
  </si>
  <si>
    <t>ENERGY</t>
  </si>
  <si>
    <t>ENERGY (MWH AT GEN LEVEL)</t>
  </si>
  <si>
    <t>ENERGY (MWH RETAIL @ GEN LEVEL)</t>
  </si>
  <si>
    <t>ENERGY1</t>
  </si>
  <si>
    <t>CUSTOMER</t>
  </si>
  <si>
    <t>DIR ASSIGN ACCT 369-SERV KY</t>
  </si>
  <si>
    <t>CUST369K</t>
  </si>
  <si>
    <t>DIR ASSIGN ACCT 370 METERS KY</t>
  </si>
  <si>
    <t>CUST370K</t>
  </si>
  <si>
    <t>DIR ASN ACCT 371 CUST INST KY</t>
  </si>
  <si>
    <t>CUST371K</t>
  </si>
  <si>
    <t>DIR ASGN ACCT 373 ST LIGHT KY</t>
  </si>
  <si>
    <t>CUST373K</t>
  </si>
  <si>
    <t>CUSTOMER ADVANCES</t>
  </si>
  <si>
    <t>CUSTADV</t>
  </si>
  <si>
    <t>CUSTOMER DEPOSITS</t>
  </si>
  <si>
    <t>CUSTDEP</t>
  </si>
  <si>
    <t>DIR ASSIGN 902-METER READING</t>
  </si>
  <si>
    <t>CUST902</t>
  </si>
  <si>
    <t>DIR ASSIGN 903-CUSTOMER REC</t>
  </si>
  <si>
    <t>CUST903</t>
  </si>
  <si>
    <t>DIR ASSIGN 904-UNCOLL ACCTS</t>
  </si>
  <si>
    <t>CUST904</t>
  </si>
  <si>
    <t>DIR ASSIGN ACCT 369-SERV VA</t>
  </si>
  <si>
    <t>CUST369V</t>
  </si>
  <si>
    <t>DIR ASSIGN ACCT 370 METERS VA</t>
  </si>
  <si>
    <t>CUST370V</t>
  </si>
  <si>
    <t>DIR ASN ACCT 371 CUST INST VA</t>
  </si>
  <si>
    <t>CUST371V</t>
  </si>
  <si>
    <t>DIR ASGN ACCT 373 ST LIGHT VA</t>
  </si>
  <si>
    <t>CUST373V</t>
  </si>
  <si>
    <t>DIR ASSIGN 908-CUST ASSIST</t>
  </si>
  <si>
    <t>CUST908</t>
  </si>
  <si>
    <t>DIR ASSIGN 909-INFO &amp; INSTRCT</t>
  </si>
  <si>
    <t>CUST909</t>
  </si>
  <si>
    <t>DIR ASSIGN 912-DEM &amp; SELLING</t>
  </si>
  <si>
    <t>CUST912</t>
  </si>
  <si>
    <t>DIR ASSIGN 913-ADVERTISING</t>
  </si>
  <si>
    <t>CUST913</t>
  </si>
  <si>
    <t>CUSTOMER ANNUALIZATION</t>
  </si>
  <si>
    <t>CUSTANN</t>
  </si>
  <si>
    <t>INTERNALLY DEVELOPED</t>
  </si>
  <si>
    <t>PROD-TRANSM-DISTR-GENL PLT</t>
  </si>
  <si>
    <t>PTDGPLT</t>
  </si>
  <si>
    <t>PROD-TRANSM-DISTR-GENL PLT KY</t>
  </si>
  <si>
    <t>KURETPLT</t>
  </si>
  <si>
    <t>ALLOCATED O&amp;M LABOR EXPENSE</t>
  </si>
  <si>
    <t>LABOR</t>
  </si>
  <si>
    <t>TOTAL STEAM PROD PLANT-SYSTEM</t>
  </si>
  <si>
    <t>STMSYS</t>
  </si>
  <si>
    <t xml:space="preserve">    REGULATORY CREDITS</t>
  </si>
  <si>
    <t xml:space="preserve">    ACCRETION EXPENSE</t>
  </si>
  <si>
    <t>RATE BASE: END OF YEAR</t>
  </si>
  <si>
    <t xml:space="preserve">TOTAL OPERATION </t>
  </si>
  <si>
    <t xml:space="preserve">  549-550 MISC &amp; RENTS</t>
  </si>
  <si>
    <t xml:space="preserve">  551-SUPERV &amp; ENGINEERING</t>
  </si>
  <si>
    <t>Total</t>
  </si>
  <si>
    <t>ALLOCATED NON A&amp;G LABOR EXPENSE</t>
  </si>
  <si>
    <t>PTDCUSTLABOR</t>
  </si>
  <si>
    <t>TOTAL PROD, TRAN, DIST, CUSTOMER LABOR</t>
  </si>
  <si>
    <t>DIR ASSIGN DEFERRED FUEL-VIRGINIA</t>
  </si>
  <si>
    <t>DFUELVA</t>
  </si>
  <si>
    <t>CUSTOMER DEPOSITS INTEREST</t>
  </si>
  <si>
    <t>CUSTDEPI</t>
  </si>
  <si>
    <t>TOTAL TRANS &amp; DISTRIB PLANT</t>
  </si>
  <si>
    <t>TRDSPLT</t>
  </si>
  <si>
    <t xml:space="preserve"> INTANGIBLE PLANT-FRANCHISES</t>
  </si>
  <si>
    <t xml:space="preserve"> INTANGIBLE PLANT-SOFTWARE</t>
  </si>
  <si>
    <t>ACCT 303-SOFTWARE</t>
  </si>
  <si>
    <t xml:space="preserve">  VIRGINIA PROPERTY-OTHER</t>
  </si>
  <si>
    <t>DEFERRED FUEL-VIRGINIA</t>
  </si>
  <si>
    <t xml:space="preserve">    DEFERRED FUEL-VIRGINIA</t>
  </si>
  <si>
    <t>Revenue Acctg COS Info (Virginia Only)</t>
  </si>
  <si>
    <t xml:space="preserve">     ELECTRIC COST OF SERVICE STUDY</t>
  </si>
  <si>
    <t xml:space="preserve">    ELECTRIC COST OF SERVICE STUDY</t>
  </si>
  <si>
    <t>FERC &amp;</t>
  </si>
  <si>
    <t>TOTAL MAINTENANCE</t>
  </si>
  <si>
    <t>Input total VA transmission here:</t>
  </si>
  <si>
    <t>Input KY and TN transmission here:</t>
  </si>
  <si>
    <t>Total other production plant</t>
  </si>
  <si>
    <t>Total hydro plant</t>
  </si>
  <si>
    <t>Total steam plant</t>
  </si>
  <si>
    <t>Total 930</t>
  </si>
  <si>
    <t>RWIP allocation</t>
  </si>
  <si>
    <t>Function</t>
  </si>
  <si>
    <t>Allocated RWIP</t>
  </si>
  <si>
    <t>Steam</t>
  </si>
  <si>
    <t>Hydro -- project plant</t>
  </si>
  <si>
    <t>Hydro -- non pp</t>
  </si>
  <si>
    <t>Other</t>
  </si>
  <si>
    <t>Transmission-PP</t>
  </si>
  <si>
    <t>Transmission-KY</t>
  </si>
  <si>
    <t>Transmission-TN</t>
  </si>
  <si>
    <t>Transmission, VA</t>
  </si>
  <si>
    <t>Distribution, PP</t>
  </si>
  <si>
    <t>Distribution, KY</t>
  </si>
  <si>
    <t>Distribution, TN</t>
  </si>
  <si>
    <t>Distribution, VA</t>
  </si>
  <si>
    <t>General-KY</t>
  </si>
  <si>
    <t>Transportation KY</t>
  </si>
  <si>
    <t>Pulled off Trial Balance - Acct 411.15</t>
  </si>
  <si>
    <t>M&amp;S worksheet</t>
  </si>
  <si>
    <t>KENTUCKY UTILITIES COMPANY</t>
  </si>
  <si>
    <t>Beginning</t>
  </si>
  <si>
    <t>Transfers/</t>
  </si>
  <si>
    <t>Ending</t>
  </si>
  <si>
    <t>Balance</t>
  </si>
  <si>
    <t>Additions</t>
  </si>
  <si>
    <t>Retirements</t>
  </si>
  <si>
    <t>Adjustments</t>
  </si>
  <si>
    <t>Net Additions</t>
  </si>
  <si>
    <t>Electric Distribution</t>
  </si>
  <si>
    <t>E360.10-Land Rights</t>
  </si>
  <si>
    <t>E360.20-Land</t>
  </si>
  <si>
    <t>E361.00-Structures and Improvements</t>
  </si>
  <si>
    <t>E362.00-Station Equipment</t>
  </si>
  <si>
    <t>E364.00-Poles, Towers, and Fixtures</t>
  </si>
  <si>
    <t>E365.00-OH Conductors and Devices</t>
  </si>
  <si>
    <t>E366.00-Underground Conduit</t>
  </si>
  <si>
    <t>E367.00-UG Conductors and Devices</t>
  </si>
  <si>
    <t>E368.00-Line Transformers</t>
  </si>
  <si>
    <t>E369.00-Services</t>
  </si>
  <si>
    <t>E370.00-Meters</t>
  </si>
  <si>
    <t>E371.00-Install on Customer Premise</t>
  </si>
  <si>
    <t>E373.00-Street Lighting / Signal Sy</t>
  </si>
  <si>
    <t>E374.05-ARO Cost Elec Dist (L/B)</t>
  </si>
  <si>
    <t>Electric General Plant</t>
  </si>
  <si>
    <t>E389.20-Land</t>
  </si>
  <si>
    <t>E390.10-Structures and Improvements</t>
  </si>
  <si>
    <t>E390.20-Improvements to Leased Property</t>
  </si>
  <si>
    <t>E391.10-Office Equipment</t>
  </si>
  <si>
    <t>E391.20-Non PC Computer Equipment</t>
  </si>
  <si>
    <t>E391.30-Cash Processing Equipment</t>
  </si>
  <si>
    <t>E391.31-Personal Computers</t>
  </si>
  <si>
    <t>E392.00-Transportation Equipment</t>
  </si>
  <si>
    <t>E393.00-Stores Equipment</t>
  </si>
  <si>
    <t>E394.00-Tools, Shop, and Garage Equ</t>
  </si>
  <si>
    <t>E395.00-Laboratory Equipment</t>
  </si>
  <si>
    <t>E396.00-Power Operated Equipment</t>
  </si>
  <si>
    <t>E397.00-Communication Equipment</t>
  </si>
  <si>
    <t>E398.00-Miscellaneous Equipment</t>
  </si>
  <si>
    <t>Electric Hydro Production</t>
  </si>
  <si>
    <t>E330.10-Land Rights</t>
  </si>
  <si>
    <t>E331.00-Structures and Improvements</t>
  </si>
  <si>
    <t>E332.00-Reservoirs, Dams, and Water</t>
  </si>
  <si>
    <t>E333.00-Water Wheels, Turbines, Gen</t>
  </si>
  <si>
    <t>E334.00-Accessory Electric Equipmen</t>
  </si>
  <si>
    <t>E335.00-Misc Power Plant Equipment</t>
  </si>
  <si>
    <t>E336.00-Roads, Railroads, and Bridg</t>
  </si>
  <si>
    <t>E337.07-ARO Cost Hydro Prod (Eqp)</t>
  </si>
  <si>
    <t>Electric Intangible Plant</t>
  </si>
  <si>
    <t>E301.00-Organization</t>
  </si>
  <si>
    <t>E302.00-Franchises and Consents</t>
  </si>
  <si>
    <t>E303.00-Misc Intangible Plant</t>
  </si>
  <si>
    <t>Electric Other Production</t>
  </si>
  <si>
    <t>E340.10-Land Rights</t>
  </si>
  <si>
    <t>E340.20-Land</t>
  </si>
  <si>
    <t>E341.00-Structures and Improvements</t>
  </si>
  <si>
    <t>E342.00-Fuel Holders, Producers, Ac</t>
  </si>
  <si>
    <t>E342.01-AROP Fuel Holders, Prod, Ac</t>
  </si>
  <si>
    <t>E343.00-Prime Movers</t>
  </si>
  <si>
    <t>E344.00-Generators</t>
  </si>
  <si>
    <t>E345.00-Accessory Electric Equipmen</t>
  </si>
  <si>
    <t>E346.00-Misc Power Plant Equipment</t>
  </si>
  <si>
    <t>E347.07-ARO Cost Other Prod (Eqp)</t>
  </si>
  <si>
    <t>Electric Steam Production</t>
  </si>
  <si>
    <t>E310.20-Land</t>
  </si>
  <si>
    <t>E311.00-Structures and Improvements</t>
  </si>
  <si>
    <t xml:space="preserve">E311.01-AROP Structures and Improv </t>
  </si>
  <si>
    <t>E312.00-Boiler Plant Equipment</t>
  </si>
  <si>
    <t>E312.01-AROP Boiler Plant Equipment</t>
  </si>
  <si>
    <t>E314.00-Turbogenerator Units</t>
  </si>
  <si>
    <t>E314.01-AROP Turbogenerator Units</t>
  </si>
  <si>
    <t>E315.00-Accessory Electric Equipmen</t>
  </si>
  <si>
    <t>E316.00-Misc Power Plant Equip</t>
  </si>
  <si>
    <t>E317.07-ARO Cost Steam (Eqp)</t>
  </si>
  <si>
    <t>Electric Transmission</t>
  </si>
  <si>
    <t>E350.10-Land Rights</t>
  </si>
  <si>
    <t>E350.20-Land</t>
  </si>
  <si>
    <t>E352.10-Struct &amp; Imp-Non Sys Contro</t>
  </si>
  <si>
    <t>E352.20-Struct &amp; Imp-Sys Control/Co</t>
  </si>
  <si>
    <t>E353.10-Station Equipment - Non Sys</t>
  </si>
  <si>
    <t>Virginia</t>
  </si>
  <si>
    <t>50% Limitation</t>
  </si>
  <si>
    <t xml:space="preserve"> PLANT HELD FOR FUTURE USE</t>
  </si>
  <si>
    <t xml:space="preserve"> TOTAL PLANT HELD FOR FUTURE USE</t>
  </si>
  <si>
    <t xml:space="preserve">    (GAIN) / LOSS DISPOSITION ALLOWANCES</t>
  </si>
  <si>
    <t xml:space="preserve">    OPEB UNFUNDED-VIRGINIA</t>
  </si>
  <si>
    <t xml:space="preserve">    CUSTOMER DEPOSITS-VIRGINIA</t>
  </si>
  <si>
    <t xml:space="preserve">    (GAIN) / LOSS DISPOSITION PROPERTY-VA</t>
  </si>
  <si>
    <t xml:space="preserve">    CHARITABLE CONTRIBUTIONS-VA</t>
  </si>
  <si>
    <t xml:space="preserve"> 301-ORGANIZATION</t>
  </si>
  <si>
    <t xml:space="preserve"> 302-FRANCHISE</t>
  </si>
  <si>
    <t xml:space="preserve"> 303-SOFTWARE</t>
  </si>
  <si>
    <t xml:space="preserve"> FERC-AFUDC PRE</t>
  </si>
  <si>
    <t xml:space="preserve"> FERC-AFUDC POST</t>
  </si>
  <si>
    <t>E353.11-AROP Station Equip Non Sys</t>
  </si>
  <si>
    <t>E353.20-Station Equip-Sys Control</t>
  </si>
  <si>
    <t>E354.00-Towers and Fixtures</t>
  </si>
  <si>
    <t>E355.00-Poles and Fixtures</t>
  </si>
  <si>
    <t>E356.00-OH Conductors and Devices</t>
  </si>
  <si>
    <t>E357.00-Underground Conduit</t>
  </si>
  <si>
    <t>E358.00-UG Conductors and Devices</t>
  </si>
  <si>
    <t>E359.15-ARO Cost Transm (L/B)</t>
  </si>
  <si>
    <t>E359.17-ARO Cost Transm (Eqp)</t>
  </si>
  <si>
    <t>E390.20-Structures and Improvements</t>
  </si>
  <si>
    <t>Total Plant in Service - Electric - VA</t>
  </si>
  <si>
    <t>105 Plant Held for Future Use</t>
  </si>
  <si>
    <t>Steam Production</t>
  </si>
  <si>
    <t>E315.00-Accessory Electric Equip</t>
  </si>
  <si>
    <t xml:space="preserve">Total Plant Held for Future Use </t>
  </si>
  <si>
    <t>General VA</t>
  </si>
  <si>
    <t>Intangibles</t>
  </si>
  <si>
    <t>Total Company RWIP per books</t>
  </si>
  <si>
    <t>Steam reserve</t>
  </si>
  <si>
    <t>Steam RWIP</t>
  </si>
  <si>
    <t>AFUDC pre merger reserve</t>
  </si>
  <si>
    <t>AFUDC post merger reserve</t>
  </si>
  <si>
    <t>Total Steam Reserve</t>
  </si>
  <si>
    <t>Hydro reserve</t>
  </si>
  <si>
    <t>Hydro RWIP</t>
  </si>
  <si>
    <t>Total Hydro Reserve</t>
  </si>
  <si>
    <t>Other reserve</t>
  </si>
  <si>
    <t>Other RWIP</t>
  </si>
  <si>
    <t>Total Other Reserve</t>
  </si>
  <si>
    <t>Transmission reserve, Kentucky</t>
  </si>
  <si>
    <t>Transmission reserve, PP</t>
  </si>
  <si>
    <t>Transmission reserve, Tenn</t>
  </si>
  <si>
    <t>Transmission RWIP</t>
  </si>
  <si>
    <t>Total KY Transmission Reserve</t>
  </si>
  <si>
    <t>Transmission VA reserve</t>
  </si>
  <si>
    <t>Total Transmission Reserve</t>
  </si>
  <si>
    <t>Distribution reserve, Kentucky</t>
  </si>
  <si>
    <t>Distribution Reserve, PP</t>
  </si>
  <si>
    <t>Distribution RWIP</t>
  </si>
  <si>
    <t>Distribution RWIP, PP</t>
  </si>
  <si>
    <t>Total KY Distribution Reserve</t>
  </si>
  <si>
    <t>Distribution VA reserve</t>
  </si>
  <si>
    <t>Distribution Reserve, Tenn</t>
  </si>
  <si>
    <t>Total Distribution Reserve</t>
  </si>
  <si>
    <t>General Plant, Total excluding Transp.</t>
  </si>
  <si>
    <t>Transportation</t>
  </si>
  <si>
    <t>Total General Plant Reserve</t>
  </si>
  <si>
    <t>Total Company Reserve</t>
  </si>
  <si>
    <t>Total Calculated Reserve</t>
  </si>
  <si>
    <t>AFUDC Depreciation Expense and</t>
  </si>
  <si>
    <t xml:space="preserve">Accumulated Depreciation </t>
  </si>
  <si>
    <t>Estimated Expense, 12</t>
  </si>
  <si>
    <t>Accumulated Depreciation</t>
  </si>
  <si>
    <t>Current Expense</t>
  </si>
  <si>
    <t xml:space="preserve">      FERC 581</t>
  </si>
  <si>
    <t>Premerger</t>
  </si>
  <si>
    <t>Postmerger</t>
  </si>
  <si>
    <t>Ghent 1</t>
  </si>
  <si>
    <t>Ghent 2</t>
  </si>
  <si>
    <t>Ghent 3</t>
  </si>
  <si>
    <t>Ghent 4</t>
  </si>
  <si>
    <t>Kentucky Utilities Company</t>
  </si>
  <si>
    <t>13-Month Average Calculations</t>
  </si>
  <si>
    <t>Materials &amp;</t>
  </si>
  <si>
    <t>Undistributed</t>
  </si>
  <si>
    <t>Fuel</t>
  </si>
  <si>
    <t>Prepaid</t>
  </si>
  <si>
    <t>Supplies</t>
  </si>
  <si>
    <t>Stores Expense</t>
  </si>
  <si>
    <t>Inventory</t>
  </si>
  <si>
    <t>Insurance</t>
  </si>
  <si>
    <t>13-Month Totals</t>
  </si>
  <si>
    <t>13-Month Averages</t>
  </si>
  <si>
    <t>Calculated</t>
  </si>
  <si>
    <t>Kentucky Juridictional Allocation Factors</t>
  </si>
  <si>
    <t>Kentucky Juridictional Balances</t>
  </si>
  <si>
    <t xml:space="preserve">There are 3 allocation factors applicable to Materials &amp; Supplies. </t>
  </si>
  <si>
    <t xml:space="preserve"> A weighted average of the 3 factors has been used to determine that allocation factor.</t>
  </si>
  <si>
    <t>Percentage</t>
  </si>
  <si>
    <t>Allocation</t>
  </si>
  <si>
    <t>Weighted Avg.</t>
  </si>
  <si>
    <t>Account Bal.</t>
  </si>
  <si>
    <t>of Total</t>
  </si>
  <si>
    <t>Title</t>
  </si>
  <si>
    <t>Factor</t>
  </si>
  <si>
    <t>Alloc. Factor</t>
  </si>
  <si>
    <t>M&amp;S - Production</t>
  </si>
  <si>
    <t>M&amp;S - Transmission</t>
  </si>
  <si>
    <t>M&amp;S - Distribution</t>
  </si>
  <si>
    <t>Calculated Factor</t>
  </si>
  <si>
    <t>Note: Monthly data source is Financial Reports, Page 5 and 8. Functional M&amp;S and allocation factors from COS.</t>
  </si>
  <si>
    <t xml:space="preserve">               </t>
  </si>
  <si>
    <t>TOTAL OPERATION LESS FUEL AND PURCHASED POWER</t>
  </si>
  <si>
    <t>System Lab</t>
  </si>
  <si>
    <t>Brown 1</t>
  </si>
  <si>
    <t>Brown 2</t>
  </si>
  <si>
    <t>Brown 3</t>
  </si>
  <si>
    <t>Green River 1 &amp; 2</t>
  </si>
  <si>
    <t>Green River 3</t>
  </si>
  <si>
    <t>Green River 4</t>
  </si>
  <si>
    <t>Pineville</t>
  </si>
  <si>
    <t>Tyrone 3</t>
  </si>
  <si>
    <t>Total Steam</t>
  </si>
  <si>
    <t>Lock 7</t>
  </si>
  <si>
    <t>Dix Dam</t>
  </si>
  <si>
    <t>Total Hydro</t>
  </si>
  <si>
    <t>Trimble 7</t>
  </si>
  <si>
    <t>Trimble 8</t>
  </si>
  <si>
    <t>Trimble 9</t>
  </si>
  <si>
    <t>Trimble 10</t>
  </si>
  <si>
    <t>Brown 5</t>
  </si>
  <si>
    <t>Brown 6</t>
  </si>
  <si>
    <t>Brown 7</t>
  </si>
  <si>
    <t>Brown 8</t>
  </si>
  <si>
    <t>Brown 9</t>
  </si>
  <si>
    <t>Brown 10</t>
  </si>
  <si>
    <t>Brown 11</t>
  </si>
  <si>
    <t>Total Other</t>
  </si>
  <si>
    <t>Total Production</t>
  </si>
  <si>
    <t>Transmission</t>
  </si>
  <si>
    <t>In Production CWIP By Month</t>
  </si>
  <si>
    <t>Booked to CWIP</t>
  </si>
  <si>
    <t>Closed to Plant</t>
  </si>
  <si>
    <t>Net Monthly Activity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</si>
  <si>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</si>
  <si>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</si>
  <si>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</si>
  <si>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</si>
  <si>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</si>
  <si>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</si>
  <si>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</si>
  <si>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</si>
  <si>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</si>
  <si>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</si>
  <si>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</si>
  <si>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</si>
  <si>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 Transmission CWIP By Month</t>
  </si>
  <si>
    <t>State</t>
  </si>
  <si>
    <t>Amount</t>
  </si>
  <si>
    <t>KY</t>
  </si>
  <si>
    <t>TOTAL KY</t>
  </si>
  <si>
    <t>VA</t>
  </si>
  <si>
    <t>TOTAL VA</t>
  </si>
  <si>
    <t>TN</t>
  </si>
  <si>
    <t>TOTAL TN</t>
  </si>
  <si>
    <t>TOTAL KU</t>
  </si>
  <si>
    <t xml:space="preserve">  581-DIST SYSTEM CONTROL</t>
  </si>
  <si>
    <t>TOT HYDRAULIC PROD PLANT-SYS</t>
  </si>
  <si>
    <t>HYDSYS</t>
  </si>
  <si>
    <t>TOTAL OTHER PROD PLANT-SYS</t>
  </si>
  <si>
    <t>OTHSYS</t>
  </si>
  <si>
    <t>TRANSM KENTUCKY SYSTEM PROP</t>
  </si>
  <si>
    <t>KYTRPLT</t>
  </si>
  <si>
    <t>TRANSM VIRGINIA PROPERTY</t>
  </si>
  <si>
    <t>VATRPLT</t>
  </si>
  <si>
    <t>TRANSM VIRGINIA PROP TOTAL</t>
  </si>
  <si>
    <t>VATRPLTT</t>
  </si>
  <si>
    <t>TOTAL DISTRIBUTION PLANT</t>
  </si>
  <si>
    <t>DISTPLT</t>
  </si>
  <si>
    <t>TOTAL DIST PLANT KY &amp; FERC</t>
  </si>
  <si>
    <t>DISTPLTKF</t>
  </si>
  <si>
    <t>TOTAL GENERAL PLANT</t>
  </si>
  <si>
    <t>GENPLT</t>
  </si>
  <si>
    <t>ACCT 302-FRANCHISE</t>
  </si>
  <si>
    <t>TOTAL PRODUCTION PLANT SYSTEM</t>
  </si>
  <si>
    <t>PRODSYS</t>
  </si>
  <si>
    <t>TOTAL PRODUCTION PLANT</t>
  </si>
  <si>
    <t>PRODPLT</t>
  </si>
  <si>
    <t>TOTAL TRANSMISSION PLANT</t>
  </si>
  <si>
    <t>TRANPLT</t>
  </si>
  <si>
    <t>Allowances</t>
  </si>
  <si>
    <t>Prepayments</t>
  </si>
  <si>
    <t>Taxes</t>
  </si>
  <si>
    <t xml:space="preserve">      FERC 591</t>
  </si>
  <si>
    <t>Ghent 4 FGD</t>
  </si>
  <si>
    <t>Trimble 5</t>
  </si>
  <si>
    <t>MAT &amp; SUPPLIES DISTRIBUTED</t>
  </si>
  <si>
    <t>M&amp;S</t>
  </si>
  <si>
    <t>ACCT 924 &amp; 925 INSURANCE</t>
  </si>
  <si>
    <t>M&amp;S 13mo avg worksheet</t>
  </si>
  <si>
    <t>EXP9245</t>
  </si>
  <si>
    <t>REVENUE SALE OF ELECT-KY</t>
  </si>
  <si>
    <t>CWIP PROD FERC-POST ALLOC</t>
  </si>
  <si>
    <t>CWIPPP</t>
  </si>
  <si>
    <t>CWIP TRAN FERC-POST ALLOC</t>
  </si>
  <si>
    <t>CWIPTP</t>
  </si>
  <si>
    <t>ACC DEF INC TX PROD FERC-POST</t>
  </si>
  <si>
    <t>ADITPP</t>
  </si>
  <si>
    <t>ACC DEF INC TX TRAN FERC-POST</t>
  </si>
  <si>
    <t>ADITTP</t>
  </si>
  <si>
    <t>TRANSMISSION PLANT EXCL VA</t>
  </si>
  <si>
    <t>TRANPLTX</t>
  </si>
  <si>
    <t>TRANSM PLANT VA</t>
  </si>
  <si>
    <t>TRPLTVA</t>
  </si>
  <si>
    <t>TOT ACCT 364 &amp; 365-OVHD LINE</t>
  </si>
  <si>
    <t>TOTAL ELECTRIC PLANT</t>
  </si>
  <si>
    <t>PLANT</t>
  </si>
  <si>
    <t>TOTAL ELECTRIC PLANT KY</t>
  </si>
  <si>
    <t>PLANTKY</t>
  </si>
  <si>
    <t>TOTAL ELECTRIC PLANT KY &amp; FERC</t>
  </si>
  <si>
    <t>PLANTKF</t>
  </si>
  <si>
    <t>TOTAL ELECTRIC PLANT VA</t>
  </si>
  <si>
    <t>PLANTVA</t>
  </si>
  <si>
    <t>TOTAL STEAM PROD PLANT</t>
  </si>
  <si>
    <t>STMPLT</t>
  </si>
  <si>
    <t>TOTAL HYDRAULIC PROD PLANT</t>
  </si>
  <si>
    <t>HYDPLT</t>
  </si>
  <si>
    <t>TOTAL OTHER PROD PLANT</t>
  </si>
  <si>
    <t>OTHPLT</t>
  </si>
  <si>
    <t>TOT ACCT 360-362 SUBSTATIONS</t>
  </si>
  <si>
    <t>TOT ACCT 366 &amp; 367-UG LINES</t>
  </si>
  <si>
    <t>TOT ACCT 373-STREET LIGHTING</t>
  </si>
  <si>
    <t>TOTAL ACCT 370-METERS</t>
  </si>
  <si>
    <t>TOT ACCT 371-CUSTOMER INSTALL</t>
  </si>
  <si>
    <t>TOT ACCT 368-LINE TRANSFORMER</t>
  </si>
  <si>
    <t>TOT ACCT 902-904 CUST ACCTS</t>
  </si>
  <si>
    <t>TOT ACCT 908-909 CUST SERV</t>
  </si>
  <si>
    <t>INTERNALLY DEVELOPED-CON'T</t>
  </si>
  <si>
    <t>TOT ACCT 912-913 SALES EXP</t>
  </si>
  <si>
    <t>REVENUE SALE OF ELECT-FERC</t>
  </si>
  <si>
    <t>REVFERC</t>
  </si>
  <si>
    <t>REVENUE SALE OF ELECT-VA</t>
  </si>
  <si>
    <t>REVVA</t>
  </si>
  <si>
    <t>REVENUE SALE OF ELECT</t>
  </si>
  <si>
    <t>REVENUE</t>
  </si>
  <si>
    <t>REV SALE OF ELECT-VA NON JUR</t>
  </si>
  <si>
    <t>REVNJVA</t>
  </si>
  <si>
    <t>REV SALE OF ELECT-EXCL FERC</t>
  </si>
  <si>
    <t>REVENUEX</t>
  </si>
  <si>
    <t>KENTUCKY DISTRIBUTION PLANT</t>
  </si>
  <si>
    <t>KYDIST</t>
  </si>
  <si>
    <t>VIRGINIA DISTRIBUTION PLANT</t>
  </si>
  <si>
    <t>VADIST</t>
  </si>
  <si>
    <t>TENNESSEE DISTRIBUTION PLT</t>
  </si>
  <si>
    <t>TNDIST</t>
  </si>
  <si>
    <t>NET ELECTRIC PLANT IN SERVICE</t>
  </si>
  <si>
    <t>NETPLANT</t>
  </si>
  <si>
    <t>RATE BASE</t>
  </si>
  <si>
    <t>RATEBASE</t>
  </si>
  <si>
    <t>TOTAL CWIP FERC-AFUDC POST</t>
  </si>
  <si>
    <t>AFUDC</t>
  </si>
  <si>
    <t>TOTAL 203(E) EXCESS</t>
  </si>
  <si>
    <t>DEFTAX</t>
  </si>
  <si>
    <t>STEAM OPERATING EXP 501-507</t>
  </si>
  <si>
    <t>STEAM MAINTENANCE EXP 511-514</t>
  </si>
  <si>
    <t>HYDRO OPERATING EXP 536-540</t>
  </si>
  <si>
    <t>HYDRO MAINTENANCE EXP 542-545</t>
  </si>
  <si>
    <t>OTHER PROD OPER EXP 547-549</t>
  </si>
  <si>
    <t>OTHER PROD MAINT EXP 552-554</t>
  </si>
  <si>
    <t>TOT STEAM OPERATIONS LABOR</t>
  </si>
  <si>
    <t>LABSTMOP</t>
  </si>
  <si>
    <t>TOT STEAM MAINTENANCE LABOR</t>
  </si>
  <si>
    <t>LABSTMMN</t>
  </si>
  <si>
    <t>TOT HYDRO OPERATIONS LABOR</t>
  </si>
  <si>
    <t>LABHYDOP</t>
  </si>
  <si>
    <t>TOT HYDRO MAINTENANCE LABOR</t>
  </si>
  <si>
    <t>LABHYDMN</t>
  </si>
  <si>
    <t>TOT OTHER OPERATIONS LABOR</t>
  </si>
  <si>
    <t>LABOTHOP</t>
  </si>
  <si>
    <t>TOT OTHER MAINTENANCE LABOR</t>
  </si>
  <si>
    <t>LABOTHMN</t>
  </si>
  <si>
    <t>TRANSM OPER EXP 562-567</t>
  </si>
  <si>
    <t>TRANSM MAINT EXP 569-573</t>
  </si>
  <si>
    <t>TOT TRANSM OPERATIONS LABOR</t>
  </si>
  <si>
    <t>LABTROP</t>
  </si>
  <si>
    <t>TOT TRANSM MAINTENANCE LABOR</t>
  </si>
  <si>
    <t>LABTRMN</t>
  </si>
  <si>
    <t>DISTR OPER EXP 582-589</t>
  </si>
  <si>
    <t>DISTR MAINT EXP 591-598</t>
  </si>
  <si>
    <t>TOT DISTR OPERATIONS LABOR</t>
  </si>
  <si>
    <t>LABDISOP</t>
  </si>
  <si>
    <t>TOT DISTR MAINTENANCE LABOR</t>
  </si>
  <si>
    <t>LABDISMN</t>
  </si>
  <si>
    <t>FS State Taxes</t>
  </si>
  <si>
    <t>FS Federal Taxes</t>
  </si>
  <si>
    <t>CUST ACCT EXP 902, 903 &amp; 905</t>
  </si>
  <si>
    <t>TOTAL CUST ACCOUNTS LABOR</t>
  </si>
  <si>
    <t>LABCA</t>
  </si>
  <si>
    <t>CUST SERVICES &amp; SALES EXP</t>
  </si>
  <si>
    <t>TOTAL CUST SERVICES LABOR</t>
  </si>
  <si>
    <t>LABCS</t>
  </si>
  <si>
    <t>SALES EXPENSE 912-916</t>
  </si>
  <si>
    <t>TOTAL SALES EXP LABOR</t>
  </si>
  <si>
    <t>LABSA</t>
  </si>
  <si>
    <t>TOT ADMINISTRATIVE &amp; GEN EXP</t>
  </si>
  <si>
    <t>ACCT 930-EPRI &amp; ADVERTISING</t>
  </si>
  <si>
    <t>EXP930A</t>
  </si>
  <si>
    <t>TOTAL CUSTOMER SERVICES EXP</t>
  </si>
  <si>
    <t>CUSTSER</t>
  </si>
  <si>
    <t>DISTRIBUTION PLANT EXCL VA</t>
  </si>
  <si>
    <t>DPLTXVA</t>
  </si>
  <si>
    <t>ACCT 926 DIR ASSIGN COMP.KY RET</t>
  </si>
  <si>
    <t>LABPTDKY</t>
  </si>
  <si>
    <t>ACCT 926 DIR ASSIGN COMP.VAJ</t>
  </si>
  <si>
    <t>LABPTDVAJ</t>
  </si>
  <si>
    <t>ACCT 926 DIR ASSIGN COMP.VANJ</t>
  </si>
  <si>
    <t>LABPTDVNJ</t>
  </si>
  <si>
    <t>ACCT 926 DIR ASSIGN COMP.FERC</t>
  </si>
  <si>
    <t>LABPTDFER</t>
  </si>
  <si>
    <t>REVENUES FROM ELECTRIC SALES</t>
  </si>
  <si>
    <t>ANNUALIZATION</t>
  </si>
  <si>
    <t>RATIO TABLE</t>
  </si>
  <si>
    <t>CAPACITY RELATED</t>
  </si>
  <si>
    <t xml:space="preserve">DIR ASSIGN ACCUM DEPREC.VA &amp; TN </t>
  </si>
  <si>
    <t>DIR ASSIGN CWIP VA &amp; TN</t>
  </si>
  <si>
    <t>DIR ASSIGN ACC DFD TAX VA</t>
  </si>
  <si>
    <t>DIR ASSIGN ACC ITC VA</t>
  </si>
  <si>
    <t>&gt;Page 3 Financials</t>
  </si>
  <si>
    <t>Virginia Apportionment Factor</t>
  </si>
  <si>
    <t>Kentucky</t>
  </si>
  <si>
    <t>Tennessee</t>
  </si>
  <si>
    <t>FERC-Primary</t>
  </si>
  <si>
    <t>FERC-Transmission</t>
  </si>
  <si>
    <t>STATE TAX ADJUSTS FOR FEDERAL</t>
  </si>
  <si>
    <t>(VA Tax workpaper)</t>
  </si>
  <si>
    <t>Apportion %</t>
  </si>
  <si>
    <t>TRANSM PLANT VA &amp; 500 KV</t>
  </si>
  <si>
    <t>TOTAL 201(E) EXCESS</t>
  </si>
  <si>
    <t>TOTAL STEAM OPERATIONS LABOR</t>
  </si>
  <si>
    <t>TOTAL STEAM MAINTENANCE LABOR</t>
  </si>
  <si>
    <t>TOTAL HYDRO OPERATIONS LABOR</t>
  </si>
  <si>
    <t>TOTAL HYDRO MAINTENANCE LABOR</t>
  </si>
  <si>
    <t>TOTAL OTHER OPERATIONS LABOR</t>
  </si>
  <si>
    <t>TOTAL OTHER MAINTENANCE LABOR</t>
  </si>
  <si>
    <t>CUST SERVICES EXP 908-910</t>
  </si>
  <si>
    <t>Capacitors from Prop Acct Plant Detail Report Acct 368 (UOP 461-496)</t>
  </si>
  <si>
    <t xml:space="preserve">  KENTUCKY DISTRIBUTION PROPERTY</t>
  </si>
  <si>
    <t xml:space="preserve">  VIRGINIA DISTRIBUTION PROPERTY</t>
  </si>
  <si>
    <t>STATE TAX TOTAL</t>
  </si>
  <si>
    <t>SUMMARY OF RESULTS AS ALLOCATED</t>
  </si>
  <si>
    <t>ELEMENTS OF RATE BASE</t>
  </si>
  <si>
    <t xml:space="preserve"> PLANT IN SERVICE</t>
  </si>
  <si>
    <t xml:space="preserve"> LESS RESERVE FOR DEPRECIATION</t>
  </si>
  <si>
    <t xml:space="preserve">     NET PLANT IN SERVICE</t>
  </si>
  <si>
    <t>Labor</t>
  </si>
  <si>
    <t>Non-Labor</t>
  </si>
  <si>
    <t>Burdens</t>
  </si>
  <si>
    <t xml:space="preserve"> CONST WORK IN PROGRESS</t>
  </si>
  <si>
    <t xml:space="preserve">     NET PLANT</t>
  </si>
  <si>
    <t>ADD:</t>
  </si>
  <si>
    <t xml:space="preserve">    MATERIALS &amp; SUPPLIES</t>
  </si>
  <si>
    <t xml:space="preserve">    FUEL INVENTORY</t>
  </si>
  <si>
    <t xml:space="preserve">    PREPAYMENTS</t>
  </si>
  <si>
    <t xml:space="preserve">    WORKING CASH</t>
  </si>
  <si>
    <t xml:space="preserve">    EMISSION ALLOWANCES</t>
  </si>
  <si>
    <t xml:space="preserve">     TOTAL ADDITIONS</t>
  </si>
  <si>
    <t>DEDUCT:</t>
  </si>
  <si>
    <t xml:space="preserve">    RESERVE FOR DEF TAXES</t>
  </si>
  <si>
    <t xml:space="preserve">    RESERVE FOR ITC</t>
  </si>
  <si>
    <t xml:space="preserve">    CUSTOMER ADVANCES</t>
  </si>
  <si>
    <t xml:space="preserve">     TOTAL DEDUCTIONS</t>
  </si>
  <si>
    <t>NET ORIGINAL COST RATE BASE</t>
  </si>
  <si>
    <t>DEVELOPMENT OF RETURN</t>
  </si>
  <si>
    <t>OPERATING REVENUES</t>
  </si>
  <si>
    <t>OPERATING EXPENSES</t>
  </si>
  <si>
    <t xml:space="preserve">    OPERATION &amp; MAINT EXPENSE</t>
  </si>
  <si>
    <t xml:space="preserve">    DEPRECIATION &amp; AMORT EXP</t>
  </si>
  <si>
    <t xml:space="preserve">    TAXES OTHER THAN INC TAX</t>
  </si>
  <si>
    <t xml:space="preserve">    INCOME TAXES</t>
  </si>
  <si>
    <t xml:space="preserve">     TOTAL OPERATING EXPENSES</t>
  </si>
  <si>
    <t xml:space="preserve"> 364-POLES, TOWERS, AND FIXTURES</t>
  </si>
  <si>
    <t xml:space="preserve"> 365-OH CONDUCTORS AND DEVICES</t>
  </si>
  <si>
    <t xml:space="preserve"> 366-UNDERGROUND CONDUIT</t>
  </si>
  <si>
    <t xml:space="preserve"> 367-UG CONDUCTORS AND DEVICES</t>
  </si>
  <si>
    <t xml:space="preserve"> 368-LINE TRANSFORMERS</t>
  </si>
  <si>
    <t xml:space="preserve"> TOTAL 368-LINE TRANSFORMERS</t>
  </si>
  <si>
    <t xml:space="preserve"> 369-SERVICES</t>
  </si>
  <si>
    <t xml:space="preserve"> 370-METERS</t>
  </si>
  <si>
    <t xml:space="preserve"> 371-INSTALL ON CUSTOMER PREMISES</t>
  </si>
  <si>
    <t xml:space="preserve"> 373-STREET LIGHTING</t>
  </si>
  <si>
    <t>DEM360K</t>
  </si>
  <si>
    <t>DEM361K</t>
  </si>
  <si>
    <t>DEM362K</t>
  </si>
  <si>
    <t>DEM364K</t>
  </si>
  <si>
    <t>DEM365K</t>
  </si>
  <si>
    <t>DEM366K</t>
  </si>
  <si>
    <t>DEM367K</t>
  </si>
  <si>
    <t>DIRECT ASSIGN 360 KY</t>
  </si>
  <si>
    <t>DIRECT ASSIGN 361 KY</t>
  </si>
  <si>
    <t>DIRECT ASSIGN 362 KY</t>
  </si>
  <si>
    <t>DIRECT ASSIGN 364 KY</t>
  </si>
  <si>
    <t>DIRECT ASSIGN 365 KY</t>
  </si>
  <si>
    <t>E303.10-CCS Software</t>
  </si>
  <si>
    <t>E345.01-AROP Accessory Electric Equipmen</t>
  </si>
  <si>
    <t>E315.01-AROP Accessory Electric Equipmen</t>
  </si>
  <si>
    <t>E367.00-Underground Conductors a</t>
  </si>
  <si>
    <t>Cost</t>
  </si>
  <si>
    <t>TOWERS (07640)</t>
  </si>
  <si>
    <t>Kentucky Utilties</t>
  </si>
  <si>
    <t>Materials &amp; Supplies Allocation</t>
  </si>
  <si>
    <t>Total Inventory</t>
  </si>
  <si>
    <t>from Trial Balance Acct 154</t>
  </si>
  <si>
    <t>Less:  Limestone Inventory -- include with Production</t>
  </si>
  <si>
    <t>Total Materials and Supplies per Balance Sheet</t>
  </si>
  <si>
    <t>(not including limestone)</t>
  </si>
  <si>
    <t>Production Plant Inventory</t>
  </si>
  <si>
    <t>Limestone</t>
  </si>
  <si>
    <t>Distribution Inventory</t>
  </si>
  <si>
    <t>Transmission Inventory</t>
  </si>
  <si>
    <t>Combined T&amp;D inventory totals:</t>
  </si>
  <si>
    <t>Allocate substation:</t>
  </si>
  <si>
    <t>Generation</t>
  </si>
  <si>
    <t>Substations</t>
  </si>
  <si>
    <t>KU AFUDC Balances By FERC Plant Account</t>
  </si>
  <si>
    <t>Ghent 2 FGD</t>
  </si>
  <si>
    <t>Haefling 1, 2, 3</t>
  </si>
  <si>
    <t>930101</t>
  </si>
  <si>
    <t>GEN PUBLIC INFO EXP</t>
  </si>
  <si>
    <t>930191</t>
  </si>
  <si>
    <t>GEN PUBLIC INFO EXP - INDIRECT</t>
  </si>
  <si>
    <t>930202</t>
  </si>
  <si>
    <t>ASSOCIATION DUES</t>
  </si>
  <si>
    <t>930207</t>
  </si>
  <si>
    <t>OTHER MISC GEN EXP</t>
  </si>
  <si>
    <t>930250</t>
  </si>
  <si>
    <t>BROKER FEES</t>
  </si>
  <si>
    <t>930272</t>
  </si>
  <si>
    <t>ASSOCIATION DUES - INDIRECT</t>
  </si>
  <si>
    <t>930274</t>
  </si>
  <si>
    <t>RESEARCH AND DEVELOPMENT EXPENSES - INDIRECT</t>
  </si>
  <si>
    <t>930903</t>
  </si>
  <si>
    <t>RESEARCH WORK - INDIRECT</t>
  </si>
  <si>
    <t>930904</t>
  </si>
  <si>
    <t>RESEARCH AND DEVELOPMENT EXPENSES</t>
  </si>
  <si>
    <t xml:space="preserve">  930-ASSOC DUES &amp; ADVERTISING</t>
  </si>
  <si>
    <t>Advertising</t>
  </si>
  <si>
    <t>Assoc Dues</t>
  </si>
  <si>
    <t>R&amp;D</t>
  </si>
  <si>
    <t>Misc</t>
  </si>
  <si>
    <t>DIR ASSIGN LATE PAYMENT REVENUE</t>
  </si>
  <si>
    <t>LATE PAYMENT REVENUES</t>
  </si>
  <si>
    <t>Total Co Int on Cust Dep; Interest deduct for Virginia only</t>
  </si>
  <si>
    <t>DIRECT</t>
  </si>
  <si>
    <t>#795 MCM ALL ALUM BARE</t>
  </si>
  <si>
    <t>#795 MCM ALL ALUM BARE (00122)</t>
  </si>
  <si>
    <t>Total Labor (KY,VA,TN)</t>
  </si>
  <si>
    <t>MISO Exit Fee Amort Direct Assign to KY</t>
  </si>
  <si>
    <t>EKPC Reg Asset Amort Direct Assign to KY</t>
  </si>
  <si>
    <t>EKPC Reg Asset Direct Assign to KY</t>
  </si>
  <si>
    <t>PLT302TOT</t>
  </si>
  <si>
    <t>PLT303TOT</t>
  </si>
  <si>
    <t>EXP9245TOT</t>
  </si>
  <si>
    <t>PLT3645TOT</t>
  </si>
  <si>
    <t>PLT3602TOT</t>
  </si>
  <si>
    <t>PLT3667TOT</t>
  </si>
  <si>
    <t>PLT373TOT</t>
  </si>
  <si>
    <t>PLT370TOT</t>
  </si>
  <si>
    <t>PLT371TOT</t>
  </si>
  <si>
    <t>PLT368TOT</t>
  </si>
  <si>
    <t>EXP5017STM</t>
  </si>
  <si>
    <t>EXP5114STM</t>
  </si>
  <si>
    <t>EXP5360HYD</t>
  </si>
  <si>
    <t>EXP5425HYD</t>
  </si>
  <si>
    <t>EXP5479OTH</t>
  </si>
  <si>
    <t>EXP5524OTH</t>
  </si>
  <si>
    <t>EXP5627TX</t>
  </si>
  <si>
    <t>EXP5693TX</t>
  </si>
  <si>
    <t>EXP5829DIS</t>
  </si>
  <si>
    <t>EXP5918DIS</t>
  </si>
  <si>
    <t>EXP9025CA</t>
  </si>
  <si>
    <t>EXP9080CS</t>
  </si>
  <si>
    <t>EXP9126SA</t>
  </si>
  <si>
    <t>EXP9024CA</t>
  </si>
  <si>
    <t>EXP9089CS</t>
  </si>
  <si>
    <t>EXP9123SA</t>
  </si>
  <si>
    <t>AFUDC component of plant</t>
  </si>
  <si>
    <t>PLANT HELD FOR FUTURE USE - FINANCIAL ACCOUNTING</t>
  </si>
  <si>
    <t>Amortization of CMRG-Ky Only</t>
  </si>
  <si>
    <t>Amortization of KCCS-Ky Only</t>
  </si>
  <si>
    <t>Ky Only portion of 930:</t>
  </si>
  <si>
    <t>2008 Wind Storm Reg Asset Amort Direct Assign to KY (Ike)</t>
  </si>
  <si>
    <t>2009 Winter Storm Reg Asset Amort Direct Assign to KY (Ice storm)</t>
  </si>
  <si>
    <t>2008 case</t>
  </si>
  <si>
    <t>2009 case</t>
  </si>
  <si>
    <t>Accretion</t>
  </si>
  <si>
    <t>Depreciation</t>
  </si>
  <si>
    <t>Financials pg 21=</t>
  </si>
  <si>
    <t>Brown FGD</t>
  </si>
  <si>
    <t>Waterwheels, Turbines &amp; Generators</t>
  </si>
  <si>
    <t>Tax acct workpapers-STATE amount</t>
  </si>
  <si>
    <t>Financials pg 21</t>
  </si>
  <si>
    <t>STATE TAXABLE INCOME</t>
  </si>
  <si>
    <t xml:space="preserve">  SEC. 199 DEDUCTION-STATE</t>
  </si>
  <si>
    <t>SEC. 199 DEDUCTION-FEDERAL INCREMENT</t>
  </si>
  <si>
    <t>203(E) EXCESS DEFERRED TAXES</t>
  </si>
  <si>
    <t>TOT203E</t>
  </si>
  <si>
    <t>Tax acct workpapers-SEC199 FEDERAL LESS STATE amount</t>
  </si>
  <si>
    <t>Tax acct workpapers-203(E) STATE amount</t>
  </si>
  <si>
    <t>Virginia portion Juris:</t>
  </si>
  <si>
    <t>RWIP</t>
  </si>
  <si>
    <t>Basis of allocation:  RWIP (Account 108901 &amp; 108799)</t>
  </si>
  <si>
    <t>ELECTRIC PLANT - PURCHASED OR SOLD - FINANCIAL ACCOUNTING</t>
  </si>
  <si>
    <t>102 Electric Plant - Purchased or Sold</t>
  </si>
  <si>
    <t>E310.20-Structures and Improvements</t>
  </si>
  <si>
    <t>Total Electric Plant - Purchased or Sold</t>
  </si>
  <si>
    <t>DEM (12 CP GEN LEV)-NON FERC</t>
  </si>
  <si>
    <t>DEMTRANNF</t>
  </si>
  <si>
    <t>FERC OATT MUNIS Direct Assign per REV ACCTG</t>
  </si>
  <si>
    <t>Primary</t>
  </si>
  <si>
    <t>449-PROVISION FOR RATE REFUND</t>
  </si>
  <si>
    <t>440-RESIDENTIAL</t>
  </si>
  <si>
    <t>442-SMALL COMMERCIAL</t>
  </si>
  <si>
    <t>442-INDUSTRIAL</t>
  </si>
  <si>
    <t>442-MINE POWER</t>
  </si>
  <si>
    <t>442-LARGE COMMERCIAL</t>
  </si>
  <si>
    <t>444-PUBLIC ST &amp; HWY LIGHTING</t>
  </si>
  <si>
    <t>445-OTHER PUBLIC AUTHORITIES</t>
  </si>
  <si>
    <t>445-MUNICIPAL PUMPING</t>
  </si>
  <si>
    <t>447-SALES FOR RESALE-MUNICIPAL WHOLESALE</t>
  </si>
  <si>
    <t xml:space="preserve">  440-RESIDENTIAL</t>
  </si>
  <si>
    <t xml:space="preserve">  442-SMALL COMMERCIAL</t>
  </si>
  <si>
    <t xml:space="preserve">  442-LARGE COMMERCIAL</t>
  </si>
  <si>
    <t xml:space="preserve">  442-INDUSTRIAL</t>
  </si>
  <si>
    <t xml:space="preserve">  442-MINE POWER</t>
  </si>
  <si>
    <t xml:space="preserve">  444-PUBLIC ST &amp; HWY LIGHTING</t>
  </si>
  <si>
    <t xml:space="preserve">  445-OTHER PUBLIC AUTHORITIES</t>
  </si>
  <si>
    <t xml:space="preserve">  445-MUNICIPAL PUMPING</t>
  </si>
  <si>
    <t xml:space="preserve">  447-SALES FOR RESALE-MUNICIPALS</t>
  </si>
  <si>
    <t xml:space="preserve">  449-PROVISION FOR RATE REFUND</t>
  </si>
  <si>
    <t xml:space="preserve">  447-SALES FOR RESALE-CITY OF PARIS</t>
  </si>
  <si>
    <t xml:space="preserve">  447-SALES FOR RESALE-OFF SYSTEM:</t>
  </si>
  <si>
    <t xml:space="preserve">  TOTAL 447-OFF SYSTEM</t>
  </si>
  <si>
    <t xml:space="preserve">  451-RECONNECT CHARGES</t>
  </si>
  <si>
    <t xml:space="preserve">  451-OTHER SERVICE CHARGES</t>
  </si>
  <si>
    <t xml:space="preserve">  454-RENT FROM ELEC PROPERTY</t>
  </si>
  <si>
    <t xml:space="preserve">  456-RETURN CHECK CHARGES</t>
  </si>
  <si>
    <t xml:space="preserve">  456-TAX REMITTANCE COMPENSATION</t>
  </si>
  <si>
    <t xml:space="preserve">  456-OTHER MISC REVENUES</t>
  </si>
  <si>
    <t xml:space="preserve">  456-TRANSMISSION SERVICE</t>
  </si>
  <si>
    <t xml:space="preserve">  456-FORFEITED REFUNDABLE ADVANCES</t>
  </si>
  <si>
    <t>REVKY</t>
  </si>
  <si>
    <t xml:space="preserve">  450-LATE PAYMENT CHARGES</t>
  </si>
  <si>
    <t>TOTAL ELECTRIC SALES REVENUES</t>
  </si>
  <si>
    <t xml:space="preserve">              DEMAND</t>
  </si>
  <si>
    <t xml:space="preserve">              ENERGY</t>
  </si>
  <si>
    <t>DIR450REV</t>
  </si>
  <si>
    <t>DIR ASSIGN RECONNECT REV</t>
  </si>
  <si>
    <t>DIR451REC</t>
  </si>
  <si>
    <t>DIR ASSIGN OTHER SERVICE REV</t>
  </si>
  <si>
    <t>DIR451OTH</t>
  </si>
  <si>
    <t>DIR454REV</t>
  </si>
  <si>
    <t>DIR ASSIGN RENT REVENUE</t>
  </si>
  <si>
    <t>DIR ASSIGN RECONNECT REV.</t>
  </si>
  <si>
    <t>DIR ASSIGN OTHER SERVICE REV.</t>
  </si>
  <si>
    <t>DIR456CHK</t>
  </si>
  <si>
    <t>DIR ASSIGN RETURN CHECK REV</t>
  </si>
  <si>
    <t>DIR ASSIGN RETURN CHECK REV.</t>
  </si>
  <si>
    <t>DIR456OTH</t>
  </si>
  <si>
    <t>DIR ASSIGN OTHER MISC REV.</t>
  </si>
  <si>
    <t>DIR ASSIGN EXCESS FACILITIES REV.</t>
  </si>
  <si>
    <t>DIR456FAC</t>
  </si>
  <si>
    <t xml:space="preserve">  456-EXCESS FACILITIES CHARGES</t>
  </si>
  <si>
    <t>ORG</t>
  </si>
  <si>
    <t>Period Close Value</t>
  </si>
  <si>
    <t>GL Balance</t>
  </si>
  <si>
    <t>Difference</t>
  </si>
  <si>
    <t>CRS - CANE RUN STATION</t>
  </si>
  <si>
    <t>ESC - EAST SERVICE CENTER</t>
  </si>
  <si>
    <t>LTD- LOUISVILLE TRANSM &amp; DISTRIBUTION</t>
  </si>
  <si>
    <t>MCS- MILL CREEK STATION</t>
  </si>
  <si>
    <t>SSC- SOUTH SERVICE CENTER</t>
  </si>
  <si>
    <t>TCS- TRIMBLE CO STATION</t>
  </si>
  <si>
    <t>TRF- TRANSFORMER SHOP</t>
  </si>
  <si>
    <t>LGE Total</t>
  </si>
  <si>
    <t>G</t>
  </si>
  <si>
    <t>KBR - BROWN STATION</t>
  </si>
  <si>
    <t>D</t>
  </si>
  <si>
    <t>KBW - BARLOW FACILITY</t>
  </si>
  <si>
    <t>KCR - CARROLLTON FACILITY</t>
  </si>
  <si>
    <t>KCV - CAMBELLSVILLE FACILITY</t>
  </si>
  <si>
    <t>S</t>
  </si>
  <si>
    <t>KDS - DANVILLE DIV SUB</t>
  </si>
  <si>
    <t>T</t>
  </si>
  <si>
    <t>KDT - DANVILLE TRANSMISSION FACILITY</t>
  </si>
  <si>
    <t>KDV - DANVILLE FACILITY</t>
  </si>
  <si>
    <t>KEA - EARLINGTON FACILITY</t>
  </si>
  <si>
    <t>KED - EDDYVILLE FACILITY</t>
  </si>
  <si>
    <t>KES - EARLINGTON SUBSTATION DEPT.</t>
  </si>
  <si>
    <t>KET - ELIZABETHTOWN FACILITY</t>
  </si>
  <si>
    <t>KGF - GREENVILLE FACILITY</t>
  </si>
  <si>
    <t>KGH - GHENT STATION</t>
  </si>
  <si>
    <t>KGR - GREEN RIVER STATION</t>
  </si>
  <si>
    <t>KGT - GO TRANSMISSION FACILITY</t>
  </si>
  <si>
    <t>KHR - HARLAN FACILITY</t>
  </si>
  <si>
    <t>KLD - LONDON FACILITY</t>
  </si>
  <si>
    <t>KLS - LEXINGTON SUB. DEPT.</t>
  </si>
  <si>
    <t>KLT - LEXINGTON TRANSMISSION</t>
  </si>
  <si>
    <t>KLX - LEXINGTON SERVICE CENTER</t>
  </si>
  <si>
    <t>KMG - MORGANFIELD FACILITY</t>
  </si>
  <si>
    <t>KMS - MOUNT STERLING FACILITY</t>
  </si>
  <si>
    <t>KMV - MAYSVILLE FACILITY</t>
  </si>
  <si>
    <t>KMW - MIDWAY FACILITY</t>
  </si>
  <si>
    <t>KNR - NORTON FACILITY</t>
  </si>
  <si>
    <t>KPF - PANEL FAB FACILITY</t>
  </si>
  <si>
    <t>KPG - PENNINGTON GAP FACILITY</t>
  </si>
  <si>
    <t>KPN - PINEVILLE FACILITY</t>
  </si>
  <si>
    <t>KPR - PARIS FACILITY</t>
  </si>
  <si>
    <t>KPS - PINEVILLE SUBSTATION</t>
  </si>
  <si>
    <t>KPT - PINEVILLE TRANSMISSION</t>
  </si>
  <si>
    <t>KRC - RICHMOND FACILITY</t>
  </si>
  <si>
    <t>KSO - SOMERSET FACILITY</t>
  </si>
  <si>
    <t>KSS - KU SOUTH SERVICE CENTER</t>
  </si>
  <si>
    <t>KSV - SHELBYVILLE FACILITY</t>
  </si>
  <si>
    <t>KSY - SYSLAB FACILITY</t>
  </si>
  <si>
    <t>KTD - KU TRANSMISSION &amp; DISTRIBUTION</t>
  </si>
  <si>
    <t>KTE - KU ELIZABETHTOWN TRANSMISSION</t>
  </si>
  <si>
    <t>KTR - EARLINGTON TRANSMISSION</t>
  </si>
  <si>
    <t>KWN - WINCHESTER FACILITY</t>
  </si>
  <si>
    <t xml:space="preserve">  KU  TOTALS</t>
  </si>
  <si>
    <t>LGE &amp; KU Totals</t>
  </si>
  <si>
    <t>Substation</t>
  </si>
  <si>
    <t>KTD</t>
  </si>
  <si>
    <t>TOTAL 101 &amp; 106</t>
  </si>
  <si>
    <t>Plant in Service</t>
  </si>
  <si>
    <t>E374.07-ARO Cost Elec Dist (Eqp)</t>
  </si>
  <si>
    <t>Total Plant in Service - KY</t>
  </si>
  <si>
    <t>Total Plant in Service</t>
  </si>
  <si>
    <t>Reserve</t>
  </si>
  <si>
    <t>Net Book Value</t>
  </si>
  <si>
    <t>KENTUCKY - TOTAL PLANT IN SERVICE - ELECTRIC - NBV - FINANCIAL ACCOUNTING</t>
  </si>
  <si>
    <t>E391.20-Non PC Computer Equipmen</t>
  </si>
  <si>
    <t>E358.00-Underground Conductors a</t>
  </si>
  <si>
    <t>VIRGINIA - TOTAL PLANT IN SERVICE - ELECTRIC - NBV - FINANCIAL ACCOUNTING</t>
  </si>
  <si>
    <t>Total Plant in Service - Electric - TN</t>
  </si>
  <si>
    <t>TENNESSEE - TOTAL PLANT IN SERVICE - ELECTRIC - NBV - FINANCIAL ACCOUNTING</t>
  </si>
  <si>
    <t>Paris from Rev Acctg COS workpapers</t>
  </si>
  <si>
    <t>Trimble 2</t>
  </si>
  <si>
    <t>Trimble 2 FGD</t>
  </si>
  <si>
    <t>Mountain Storm Reg Asset Amort Direct Assign to VA</t>
  </si>
  <si>
    <t>Virginia portion Non-Juris:</t>
  </si>
  <si>
    <t>Tennessee portion:</t>
  </si>
  <si>
    <t>Period Close Value for March 2012</t>
  </si>
  <si>
    <t>Cane Run oil balance for non-generation use**Cane Run balance equals G/L query amount, less non-generation oil balance.</t>
  </si>
  <si>
    <t>As of March 31, 2012</t>
  </si>
  <si>
    <t>MARCH 2012</t>
  </si>
  <si>
    <t xml:space="preserve">KU MARCH 2012 CWIP </t>
  </si>
  <si>
    <t>TME MAR 2012 AFUDC</t>
  </si>
  <si>
    <t>March 2011</t>
  </si>
  <si>
    <t>January 2012</t>
  </si>
  <si>
    <t>Balance at  3/31/2012</t>
  </si>
  <si>
    <t>Months ending 3/31/12</t>
  </si>
  <si>
    <t>2012 Monthly Expense</t>
  </si>
  <si>
    <t>03/2012</t>
  </si>
  <si>
    <t>KU_Depreciation_Accrual_by_State_and_Function_Year Ended 03-31-2012_email.xls FILE</t>
  </si>
  <si>
    <t>List - Date:</t>
  </si>
  <si>
    <t>Twelve Months Ended</t>
  </si>
  <si>
    <t>Total Net</t>
  </si>
  <si>
    <t>FERC Spare Parts</t>
  </si>
  <si>
    <t>exclude from Kentucky rates (Reg Liab)</t>
  </si>
  <si>
    <t>exclude from Kentucky rates (Reg Asset)</t>
  </si>
  <si>
    <t>930203</t>
  </si>
  <si>
    <t>RESEARCH WORK</t>
  </si>
  <si>
    <t>RATE BASE-KY</t>
  </si>
  <si>
    <t>KYRATEBASE</t>
  </si>
  <si>
    <t>Tax acct workpapers-203(E) FEDERAL amount</t>
  </si>
  <si>
    <t>KY COAL TAX CREDIT</t>
  </si>
  <si>
    <t>203(E) EXCESS-STATE</t>
  </si>
  <si>
    <t>203(E) EXCESS-FEDERAL</t>
  </si>
  <si>
    <t>FEDERAL TAX TRUE-UP AND ADJ</t>
  </si>
  <si>
    <t>STATE TAX TRUE-UP AND ADJ</t>
  </si>
  <si>
    <t>FEDERAL TAXABLE INCOME (LINE 14-20-21)</t>
  </si>
  <si>
    <t>FROM TRIAL BALANCE ACCT 555016</t>
  </si>
  <si>
    <t>03/31/12 balances</t>
  </si>
  <si>
    <t xml:space="preserve">   12 MONTHS ENDING MARCH 31, 2012</t>
  </si>
  <si>
    <t>Property Taxes adjusted down 1 for rounding</t>
  </si>
  <si>
    <t>NOTE: 926101, 926117, 926911 allocate to KY,VA,TN only. FERC portion already allocated and reclassified as reg asset</t>
  </si>
  <si>
    <t>Total 926101,926117,926911</t>
  </si>
  <si>
    <t xml:space="preserve">Assign combined KTD location to T and 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</si>
</sst>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dd\-mmm\-yy_)"/>
    <numFmt numFmtId="166" formatCode="hh:mm\ AM/PM_)"/>
    <numFmt numFmtId="167" formatCode="0.00000%"/>
    <numFmt numFmtId="168" formatCode="0.00000_)"/>
    <numFmt numFmtId="169" formatCode="0.000_)"/>
    <numFmt numFmtId="170" formatCode="0.0000%"/>
    <numFmt numFmtId="171" formatCode="0.000000000_)"/>
    <numFmt numFmtId="172" formatCode="#,##0.0_);\(#,##0.0\)"/>
    <numFmt numFmtId="173" formatCode="#,##0.0000_);\(#,##0.0000\)"/>
    <numFmt numFmtId="174" formatCode="#,##0.00000_);\(#,##0.00000\)"/>
    <numFmt numFmtId="175" formatCode="#,##0.000000_);\(#,##0.000000\)"/>
    <numFmt numFmtId="176" formatCode="_(* #,##0.00000_);_(* \(#,##0.00000\);_(* &quot;-&quot;??_);_(@_)"/>
    <numFmt numFmtId="177" formatCode="_(* #,##0.0_);_(* \(#,##0.0\);_(* &quot;-&quot;??_);_(@_)"/>
    <numFmt numFmtId="178" formatCode="_(* #,##0_);_(* \(#,##0\);_(* &quot;-&quot;??_);_(@_)"/>
    <numFmt numFmtId="179" formatCode="0.000%"/>
    <numFmt numFmtId="180" formatCode="dd\-mmm\-yy"/>
    <numFmt numFmtId="181" formatCode="mmm\-yyyy"/>
    <numFmt numFmtId="182" formatCode="#,##0.00000_);[Red]\(#,##0.00000\)"/>
    <numFmt numFmtId="183" formatCode="#,##0.000000_);[Red]\(#,##0.000000\)"/>
    <numFmt numFmtId="184" formatCode="#,##0.00;[Red]\(#,##0.00\)"/>
    <numFmt numFmtId="185" formatCode="[$-409]d\-mmm\-yy;@"/>
    <numFmt numFmtId="186" formatCode="_(&quot;$&quot;* #,##0.00_);_(&quot;$&quot;* \(#,##0.00\);_(&quot;$&quot;* &quot;-&quot;_);_(@_)"/>
    <numFmt numFmtId="187" formatCode="mmmm\ d\,\ yyyy"/>
    <numFmt numFmtId="188" formatCode="&quot;$&quot;#,##0.00"/>
    <numFmt numFmtId="189" formatCode="_(&quot;$&quot;* #,##0_);_(&quot;$&quot;* \(#,##0\);_(&quot;$&quot;* &quot;-&quot;??_);_(@_)"/>
    <numFmt numFmtId="190" formatCode="#,##0.00;[Red]#,##0.00"/>
    <numFmt numFmtId="191" formatCode="0\ 00\ 000\ 000"/>
    <numFmt numFmtId="192" formatCode="_-* #,##0.00\ [$€]_-;\-* #,##0.00\ [$€]_-;_-* &quot;-&quot;??\ [$€]_-;_-@_-"/>
  </numFmts>
  <fonts count="109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ourier"/>
      <family val="3"/>
    </font>
    <font>
      <sz val="8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sz val="10"/>
      <color indexed="61"/>
      <name val="Times New Roman"/>
      <family val="1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u/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u/>
      <sz val="10"/>
      <name val="Times New Roman"/>
      <family val="1"/>
    </font>
    <font>
      <u/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0"/>
      <name val="Tahoma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"/>
      <color indexed="8"/>
      <name val="Arial"/>
      <family val="2"/>
    </font>
    <font>
      <sz val="10"/>
      <color rgb="FFFF0000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10"/>
      <name val="Tahoma"/>
      <family val="2"/>
    </font>
    <font>
      <b/>
      <sz val="10"/>
      <color indexed="12"/>
      <name val="Tahoma"/>
      <family val="2"/>
    </font>
    <font>
      <b/>
      <sz val="10"/>
      <color rgb="FF0000FF"/>
      <name val="Tahoma"/>
      <family val="2"/>
    </font>
    <font>
      <b/>
      <sz val="10"/>
      <color indexed="8"/>
      <name val="Tahoma"/>
      <family val="2"/>
    </font>
    <font>
      <sz val="10"/>
      <color indexed="12"/>
      <name val="Tahoma"/>
      <family val="2"/>
    </font>
    <font>
      <sz val="10"/>
      <color indexed="12"/>
      <name val="Arial"/>
      <family val="2"/>
    </font>
    <font>
      <sz val="12"/>
      <name val="Helv"/>
    </font>
    <font>
      <b/>
      <sz val="14"/>
      <name val="Arial"/>
      <family val="2"/>
    </font>
    <font>
      <sz val="6"/>
      <name val="Arial"/>
      <family val="2"/>
    </font>
    <font>
      <b/>
      <i/>
      <sz val="2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7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Tahoma"/>
      <family val="2"/>
    </font>
  </fonts>
  <fills count="7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115">
    <xf numFmtId="37" fontId="0" fillId="0" borderId="0"/>
    <xf numFmtId="185" fontId="33" fillId="3" borderId="0">
      <alignment horizontal="left"/>
    </xf>
    <xf numFmtId="185" fontId="34" fillId="3" borderId="0">
      <alignment horizontal="right"/>
    </xf>
    <xf numFmtId="185" fontId="35" fillId="4" borderId="0">
      <alignment horizontal="center"/>
    </xf>
    <xf numFmtId="185" fontId="34" fillId="3" borderId="0">
      <alignment horizontal="right"/>
    </xf>
    <xf numFmtId="185" fontId="36" fillId="4" borderId="0">
      <alignment horizontal="lef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37" fontId="6" fillId="0" borderId="0" applyFont="0" applyFill="0" applyBorder="0" applyAlignment="0" applyProtection="0"/>
    <xf numFmtId="3" fontId="28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185" fontId="29" fillId="0" borderId="0" applyNumberFormat="0" applyFont="0" applyFill="0" applyAlignment="0" applyProtection="0"/>
    <xf numFmtId="185" fontId="10" fillId="0" borderId="0" applyNumberFormat="0" applyFont="0" applyFill="0" applyAlignment="0" applyProtection="0"/>
    <xf numFmtId="185" fontId="33" fillId="3" borderId="0">
      <alignment horizontal="left"/>
    </xf>
    <xf numFmtId="185" fontId="37" fillId="4" borderId="0">
      <alignment horizontal="left"/>
    </xf>
    <xf numFmtId="185" fontId="7" fillId="0" borderId="0"/>
    <xf numFmtId="185" fontId="6" fillId="0" borderId="0"/>
    <xf numFmtId="185" fontId="7" fillId="0" borderId="0"/>
    <xf numFmtId="185" fontId="7" fillId="0" borderId="0"/>
    <xf numFmtId="185" fontId="6" fillId="0" borderId="0">
      <alignment vertical="top"/>
    </xf>
    <xf numFmtId="185" fontId="6" fillId="0" borderId="0"/>
    <xf numFmtId="185" fontId="10" fillId="0" borderId="0"/>
    <xf numFmtId="185" fontId="6" fillId="0" borderId="0"/>
    <xf numFmtId="185" fontId="10" fillId="0" borderId="0"/>
    <xf numFmtId="185" fontId="6" fillId="0" borderId="0"/>
    <xf numFmtId="184" fontId="38" fillId="4" borderId="0">
      <alignment horizontal="right"/>
    </xf>
    <xf numFmtId="185" fontId="39" fillId="6" borderId="0">
      <alignment horizontal="center"/>
    </xf>
    <xf numFmtId="185" fontId="33" fillId="7" borderId="0"/>
    <xf numFmtId="185" fontId="40" fillId="4" borderId="0" applyBorder="0">
      <alignment horizontal="centerContinuous"/>
    </xf>
    <xf numFmtId="185" fontId="41" fillId="7" borderId="0" applyBorder="0">
      <alignment horizontal="centerContinuous"/>
    </xf>
    <xf numFmtId="9" fontId="7" fillId="0" borderId="0" applyFont="0" applyFill="0" applyBorder="0" applyAlignment="0" applyProtection="0"/>
    <xf numFmtId="185" fontId="37" fillId="5" borderId="0">
      <alignment horizontal="center"/>
    </xf>
    <xf numFmtId="49" fontId="42" fillId="4" borderId="0">
      <alignment horizontal="center"/>
    </xf>
    <xf numFmtId="185" fontId="34" fillId="3" borderId="0">
      <alignment horizontal="center"/>
    </xf>
    <xf numFmtId="185" fontId="34" fillId="3" borderId="0">
      <alignment horizontal="centerContinuous"/>
    </xf>
    <xf numFmtId="185" fontId="43" fillId="4" borderId="0">
      <alignment horizontal="left"/>
    </xf>
    <xf numFmtId="49" fontId="43" fillId="4" borderId="0">
      <alignment horizontal="center"/>
    </xf>
    <xf numFmtId="185" fontId="33" fillId="3" borderId="0">
      <alignment horizontal="left"/>
    </xf>
    <xf numFmtId="49" fontId="43" fillId="4" borderId="0">
      <alignment horizontal="left"/>
    </xf>
    <xf numFmtId="185" fontId="33" fillId="3" borderId="0">
      <alignment horizontal="centerContinuous"/>
    </xf>
    <xf numFmtId="185" fontId="33" fillId="3" borderId="0">
      <alignment horizontal="right"/>
    </xf>
    <xf numFmtId="49" fontId="37" fillId="4" borderId="0">
      <alignment horizontal="left"/>
    </xf>
    <xf numFmtId="185" fontId="34" fillId="3" borderId="0">
      <alignment horizontal="right"/>
    </xf>
    <xf numFmtId="185" fontId="43" fillId="2" borderId="0">
      <alignment horizontal="center"/>
    </xf>
    <xf numFmtId="185" fontId="12" fillId="2" borderId="0">
      <alignment horizontal="center"/>
    </xf>
    <xf numFmtId="185" fontId="28" fillId="0" borderId="1" applyNumberFormat="0" applyFont="0" applyBorder="0" applyAlignment="0" applyProtection="0"/>
    <xf numFmtId="185" fontId="44" fillId="4" borderId="0">
      <alignment horizontal="center"/>
    </xf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14" borderId="25" applyNumberFormat="0" applyFont="0" applyAlignment="0" applyProtection="0"/>
    <xf numFmtId="0" fontId="17" fillId="0" borderId="0"/>
    <xf numFmtId="0" fontId="6" fillId="11" borderId="0"/>
    <xf numFmtId="0" fontId="4" fillId="18" borderId="0" applyNumberFormat="0" applyBorder="0" applyAlignment="0" applyProtection="0"/>
    <xf numFmtId="191" fontId="70" fillId="0" borderId="17" applyBorder="0">
      <alignment horizontal="center" vertical="center"/>
    </xf>
    <xf numFmtId="0" fontId="33" fillId="3" borderId="0">
      <alignment horizontal="left"/>
    </xf>
    <xf numFmtId="0" fontId="34" fillId="3" borderId="0">
      <alignment horizontal="right"/>
    </xf>
    <xf numFmtId="0" fontId="35" fillId="4" borderId="0">
      <alignment horizontal="center"/>
    </xf>
    <xf numFmtId="0" fontId="34" fillId="3" borderId="0">
      <alignment horizontal="right"/>
    </xf>
    <xf numFmtId="0" fontId="36" fillId="4" borderId="0">
      <alignment horizontal="left"/>
    </xf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6" fillId="23" borderId="29" applyNumberFormat="0" applyFont="0" applyAlignment="0">
      <protection locked="0"/>
    </xf>
    <xf numFmtId="192" fontId="6" fillId="0" borderId="0" applyFont="0" applyFill="0" applyBorder="0" applyAlignment="0" applyProtection="0"/>
    <xf numFmtId="0" fontId="32" fillId="0" borderId="0" applyProtection="0"/>
    <xf numFmtId="0" fontId="14" fillId="0" borderId="0" applyProtection="0"/>
    <xf numFmtId="0" fontId="63" fillId="0" borderId="0" applyProtection="0"/>
    <xf numFmtId="0" fontId="10" fillId="0" borderId="0" applyProtection="0"/>
    <xf numFmtId="0" fontId="6" fillId="0" borderId="0" applyProtection="0"/>
    <xf numFmtId="0" fontId="32" fillId="0" borderId="0" applyProtection="0"/>
    <xf numFmtId="0" fontId="64" fillId="0" borderId="0" applyProtection="0"/>
    <xf numFmtId="0" fontId="33" fillId="3" borderId="0">
      <alignment horizontal="left"/>
    </xf>
    <xf numFmtId="0" fontId="37" fillId="4" borderId="0">
      <alignment horizontal="left"/>
    </xf>
    <xf numFmtId="0" fontId="6" fillId="0" borderId="0"/>
    <xf numFmtId="0" fontId="6" fillId="0" borderId="0"/>
    <xf numFmtId="0" fontId="6" fillId="0" borderId="0"/>
    <xf numFmtId="4" fontId="38" fillId="24" borderId="0">
      <alignment horizontal="right"/>
    </xf>
    <xf numFmtId="40" fontId="66" fillId="24" borderId="0">
      <alignment horizontal="right"/>
    </xf>
    <xf numFmtId="40" fontId="66" fillId="24" borderId="0">
      <alignment horizontal="right"/>
    </xf>
    <xf numFmtId="0" fontId="39" fillId="24" borderId="0">
      <alignment horizontal="center" vertical="center"/>
    </xf>
    <xf numFmtId="0" fontId="67" fillId="24" borderId="0">
      <alignment horizontal="right"/>
    </xf>
    <xf numFmtId="0" fontId="67" fillId="24" borderId="0">
      <alignment horizontal="right"/>
    </xf>
    <xf numFmtId="0" fontId="37" fillId="24" borderId="17"/>
    <xf numFmtId="0" fontId="68" fillId="24" borderId="17"/>
    <xf numFmtId="0" fontId="68" fillId="24" borderId="17"/>
    <xf numFmtId="0" fontId="39" fillId="24" borderId="0" applyBorder="0">
      <alignment horizontal="centerContinuous"/>
    </xf>
    <xf numFmtId="0" fontId="68" fillId="0" borderId="0" applyBorder="0">
      <alignment horizontal="centerContinuous"/>
    </xf>
    <xf numFmtId="0" fontId="68" fillId="0" borderId="0" applyBorder="0">
      <alignment horizontal="centerContinuous"/>
    </xf>
    <xf numFmtId="0" fontId="65" fillId="24" borderId="0" applyBorder="0">
      <alignment horizontal="centerContinuous"/>
    </xf>
    <xf numFmtId="0" fontId="69" fillId="0" borderId="0" applyBorder="0">
      <alignment horizontal="centerContinuous"/>
    </xf>
    <xf numFmtId="0" fontId="69" fillId="0" borderId="0" applyBorder="0">
      <alignment horizontal="centerContinuous"/>
    </xf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1" fillId="0" borderId="0" applyNumberFormat="0" applyFont="0" applyFill="0" applyBorder="0" applyAlignment="0" applyProtection="0">
      <alignment horizontal="left"/>
    </xf>
    <xf numFmtId="15" fontId="71" fillId="0" borderId="0" applyFont="0" applyFill="0" applyBorder="0" applyAlignment="0" applyProtection="0"/>
    <xf numFmtId="4" fontId="71" fillId="0" borderId="0" applyFont="0" applyFill="0" applyBorder="0" applyAlignment="0" applyProtection="0"/>
    <xf numFmtId="0" fontId="72" fillId="0" borderId="5">
      <alignment horizontal="center"/>
    </xf>
    <xf numFmtId="3" fontId="71" fillId="0" borderId="0" applyFont="0" applyFill="0" applyBorder="0" applyAlignment="0" applyProtection="0"/>
    <xf numFmtId="0" fontId="71" fillId="25" borderId="0" applyNumberFormat="0" applyFont="0" applyBorder="0" applyAlignment="0" applyProtection="0"/>
    <xf numFmtId="0" fontId="37" fillId="5" borderId="0">
      <alignment horizontal="center"/>
    </xf>
    <xf numFmtId="0" fontId="34" fillId="3" borderId="0">
      <alignment horizontal="center"/>
    </xf>
    <xf numFmtId="0" fontId="34" fillId="3" borderId="0">
      <alignment horizontal="centerContinuous"/>
    </xf>
    <xf numFmtId="0" fontId="43" fillId="4" borderId="0">
      <alignment horizontal="left"/>
    </xf>
    <xf numFmtId="0" fontId="33" fillId="3" borderId="0">
      <alignment horizontal="left"/>
    </xf>
    <xf numFmtId="0" fontId="33" fillId="3" borderId="0">
      <alignment horizontal="centerContinuous"/>
    </xf>
    <xf numFmtId="0" fontId="33" fillId="3" borderId="0">
      <alignment horizontal="right"/>
    </xf>
    <xf numFmtId="0" fontId="34" fillId="3" borderId="0">
      <alignment horizontal="right"/>
    </xf>
    <xf numFmtId="0" fontId="43" fillId="2" borderId="0">
      <alignment horizontal="center"/>
    </xf>
    <xf numFmtId="0" fontId="12" fillId="2" borderId="0">
      <alignment horizontal="center"/>
    </xf>
    <xf numFmtId="4" fontId="32" fillId="26" borderId="30" applyNumberFormat="0" applyProtection="0">
      <alignment vertical="center"/>
    </xf>
    <xf numFmtId="4" fontId="31" fillId="26" borderId="31" applyNumberFormat="0" applyProtection="0">
      <alignment vertical="center"/>
    </xf>
    <xf numFmtId="4" fontId="32" fillId="26" borderId="30" applyNumberFormat="0" applyProtection="0">
      <alignment horizontal="left" vertical="center" indent="1"/>
    </xf>
    <xf numFmtId="0" fontId="32" fillId="27" borderId="31" applyNumberFormat="0" applyProtection="0">
      <alignment horizontal="left" vertical="top" indent="1"/>
    </xf>
    <xf numFmtId="4" fontId="32" fillId="7" borderId="0" applyNumberFormat="0" applyProtection="0">
      <alignment horizontal="left" vertical="center" indent="1"/>
    </xf>
    <xf numFmtId="4" fontId="6" fillId="26" borderId="31" applyNumberFormat="0" applyProtection="0">
      <alignment horizontal="right" vertical="center"/>
    </xf>
    <xf numFmtId="4" fontId="73" fillId="28" borderId="31" applyNumberFormat="0" applyProtection="0">
      <alignment horizontal="right" vertical="center"/>
    </xf>
    <xf numFmtId="4" fontId="73" fillId="29" borderId="31" applyNumberFormat="0" applyProtection="0">
      <alignment horizontal="right" vertical="center"/>
    </xf>
    <xf numFmtId="4" fontId="6" fillId="5" borderId="31" applyNumberFormat="0" applyProtection="0">
      <alignment horizontal="right" vertical="center"/>
    </xf>
    <xf numFmtId="4" fontId="6" fillId="17" borderId="31" applyNumberFormat="0" applyProtection="0">
      <alignment horizontal="right" vertical="center"/>
    </xf>
    <xf numFmtId="4" fontId="6" fillId="19" borderId="31" applyNumberFormat="0" applyProtection="0">
      <alignment horizontal="right" vertical="center"/>
    </xf>
    <xf numFmtId="4" fontId="73" fillId="22" borderId="31" applyNumberFormat="0" applyProtection="0">
      <alignment horizontal="right" vertical="center"/>
    </xf>
    <xf numFmtId="4" fontId="73" fillId="30" borderId="31" applyNumberFormat="0" applyProtection="0">
      <alignment horizontal="right" vertical="center"/>
    </xf>
    <xf numFmtId="4" fontId="6" fillId="21" borderId="31" applyNumberFormat="0" applyProtection="0">
      <alignment horizontal="right" vertical="center"/>
    </xf>
    <xf numFmtId="4" fontId="32" fillId="31" borderId="0" applyNumberFormat="0" applyProtection="0">
      <alignment horizontal="left" vertical="center" indent="1"/>
    </xf>
    <xf numFmtId="4" fontId="6" fillId="20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6" fillId="20" borderId="30" applyNumberFormat="0" applyProtection="0">
      <alignment horizontal="right" vertical="center"/>
    </xf>
    <xf numFmtId="4" fontId="6" fillId="20" borderId="0" applyNumberFormat="0" applyProtection="0">
      <alignment horizontal="left" vertical="center" indent="1"/>
    </xf>
    <xf numFmtId="4" fontId="6" fillId="27" borderId="0" applyNumberFormat="0" applyProtection="0">
      <alignment horizontal="left" vertical="center" indent="1"/>
    </xf>
    <xf numFmtId="0" fontId="6" fillId="20" borderId="30" applyNumberFormat="0" applyProtection="0">
      <alignment horizontal="left" vertical="center" indent="1"/>
    </xf>
    <xf numFmtId="0" fontId="6" fillId="20" borderId="31" applyNumberFormat="0" applyProtection="0">
      <alignment horizontal="left" vertical="top" indent="1"/>
    </xf>
    <xf numFmtId="0" fontId="6" fillId="20" borderId="30" applyNumberFormat="0" applyProtection="0">
      <alignment horizontal="left" vertical="center" indent="1"/>
    </xf>
    <xf numFmtId="0" fontId="6" fillId="20" borderId="31" applyNumberFormat="0" applyProtection="0">
      <alignment horizontal="left" vertical="top" indent="1"/>
    </xf>
    <xf numFmtId="0" fontId="6" fillId="20" borderId="30" applyNumberFormat="0" applyProtection="0">
      <alignment horizontal="left" vertical="center" indent="1"/>
    </xf>
    <xf numFmtId="0" fontId="6" fillId="20" borderId="31" applyNumberFormat="0" applyProtection="0">
      <alignment horizontal="left" vertical="top" indent="1"/>
    </xf>
    <xf numFmtId="0" fontId="6" fillId="20" borderId="30" applyNumberFormat="0" applyProtection="0">
      <alignment horizontal="left" vertical="center" indent="1"/>
    </xf>
    <xf numFmtId="0" fontId="6" fillId="20" borderId="31" applyNumberFormat="0" applyProtection="0">
      <alignment horizontal="left" vertical="top" indent="1"/>
    </xf>
    <xf numFmtId="4" fontId="38" fillId="33" borderId="31" applyNumberFormat="0" applyProtection="0">
      <alignment vertical="center"/>
    </xf>
    <xf numFmtId="4" fontId="74" fillId="33" borderId="31" applyNumberFormat="0" applyProtection="0">
      <alignment vertical="center"/>
    </xf>
    <xf numFmtId="4" fontId="6" fillId="20" borderId="31" applyNumberFormat="0" applyProtection="0">
      <alignment horizontal="left" vertical="center" indent="1"/>
    </xf>
    <xf numFmtId="0" fontId="6" fillId="20" borderId="31" applyNumberFormat="0" applyProtection="0">
      <alignment horizontal="left" vertical="top" indent="1"/>
    </xf>
    <xf numFmtId="4" fontId="6" fillId="34" borderId="30" applyNumberFormat="0" applyProtection="0">
      <alignment horizontal="right" vertical="center"/>
    </xf>
    <xf numFmtId="4" fontId="32" fillId="34" borderId="30" applyNumberFormat="0" applyProtection="0">
      <alignment horizontal="right" vertical="center"/>
    </xf>
    <xf numFmtId="4" fontId="6" fillId="20" borderId="30" applyNumberFormat="0" applyProtection="0">
      <alignment horizontal="left" vertical="center" indent="1"/>
    </xf>
    <xf numFmtId="0" fontId="6" fillId="20" borderId="30" applyNumberFormat="0" applyProtection="0">
      <alignment horizontal="left" vertical="top" indent="1"/>
    </xf>
    <xf numFmtId="4" fontId="75" fillId="0" borderId="0" applyNumberFormat="0" applyProtection="0">
      <alignment horizontal="left" vertical="center" indent="1"/>
    </xf>
    <xf numFmtId="4" fontId="6" fillId="0" borderId="31" applyNumberFormat="0" applyProtection="0">
      <alignment horizontal="right" vertical="center"/>
    </xf>
    <xf numFmtId="0" fontId="6" fillId="0" borderId="32" applyNumberFormat="0" applyFont="0" applyFill="0" applyBorder="0" applyAlignment="0" applyProtection="0"/>
    <xf numFmtId="0" fontId="6" fillId="0" borderId="0"/>
    <xf numFmtId="0" fontId="48" fillId="0" borderId="0"/>
    <xf numFmtId="0" fontId="44" fillId="4" borderId="0">
      <alignment horizontal="center"/>
    </xf>
    <xf numFmtId="43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6" fillId="0" borderId="0"/>
    <xf numFmtId="0" fontId="4" fillId="18" borderId="0" applyNumberFormat="0" applyBorder="0" applyAlignment="0" applyProtection="0"/>
    <xf numFmtId="0" fontId="6" fillId="11" borderId="0"/>
    <xf numFmtId="0" fontId="76" fillId="17" borderId="0" applyNumberFormat="0" applyBorder="0" applyAlignment="0" applyProtection="0"/>
    <xf numFmtId="0" fontId="76" fillId="35" borderId="0" applyNumberFormat="0" applyBorder="0" applyAlignment="0" applyProtection="0"/>
    <xf numFmtId="0" fontId="76" fillId="36" borderId="0" applyNumberFormat="0" applyBorder="0" applyAlignment="0" applyProtection="0"/>
    <xf numFmtId="0" fontId="76" fillId="2" borderId="0" applyNumberFormat="0" applyBorder="0" applyAlignment="0" applyProtection="0"/>
    <xf numFmtId="0" fontId="76" fillId="37" borderId="0" applyNumberFormat="0" applyBorder="0" applyAlignment="0" applyProtection="0"/>
    <xf numFmtId="0" fontId="7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35" borderId="0" applyNumberFormat="0" applyBorder="0" applyAlignment="0" applyProtection="0"/>
    <xf numFmtId="0" fontId="76" fillId="5" borderId="0" applyNumberFormat="0" applyBorder="0" applyAlignment="0" applyProtection="0"/>
    <xf numFmtId="0" fontId="76" fillId="19" borderId="0" applyNumberFormat="0" applyBorder="0" applyAlignment="0" applyProtection="0"/>
    <xf numFmtId="0" fontId="76" fillId="37" borderId="0" applyNumberFormat="0" applyBorder="0" applyAlignment="0" applyProtection="0"/>
    <xf numFmtId="0" fontId="76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20" borderId="0" applyNumberFormat="0" applyBorder="0" applyAlignment="0" applyProtection="0"/>
    <xf numFmtId="0" fontId="77" fillId="38" borderId="0" applyNumberFormat="0" applyBorder="0" applyAlignment="0" applyProtection="0"/>
    <xf numFmtId="0" fontId="77" fillId="19" borderId="0" applyNumberFormat="0" applyBorder="0" applyAlignment="0" applyProtection="0"/>
    <xf numFmtId="0" fontId="77" fillId="37" borderId="0" applyNumberFormat="0" applyBorder="0" applyAlignment="0" applyProtection="0"/>
    <xf numFmtId="0" fontId="77" fillId="35" borderId="0" applyNumberFormat="0" applyBorder="0" applyAlignment="0" applyProtection="0"/>
    <xf numFmtId="0" fontId="77" fillId="39" borderId="0" applyNumberFormat="0" applyBorder="0" applyAlignment="0" applyProtection="0"/>
    <xf numFmtId="0" fontId="77" fillId="20" borderId="0" applyNumberFormat="0" applyBorder="0" applyAlignment="0" applyProtection="0"/>
    <xf numFmtId="0" fontId="77" fillId="38" borderId="0" applyNumberFormat="0" applyBorder="0" applyAlignment="0" applyProtection="0"/>
    <xf numFmtId="0" fontId="77" fillId="4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8" fillId="41" borderId="0" applyNumberFormat="0" applyBorder="0" applyAlignment="0" applyProtection="0"/>
    <xf numFmtId="0" fontId="79" fillId="4" borderId="33" applyNumberFormat="0" applyAlignment="0" applyProtection="0"/>
    <xf numFmtId="0" fontId="80" fillId="42" borderId="34" applyNumberFormat="0" applyAlignment="0" applyProtection="0"/>
    <xf numFmtId="0" fontId="6" fillId="23" borderId="29" applyNumberFormat="0" applyFont="0" applyAlignment="0">
      <protection locked="0"/>
    </xf>
    <xf numFmtId="0" fontId="81" fillId="0" borderId="0" applyNumberFormat="0" applyFill="0" applyBorder="0" applyAlignment="0" applyProtection="0"/>
    <xf numFmtId="0" fontId="82" fillId="37" borderId="0" applyNumberFormat="0" applyBorder="0" applyAlignment="0" applyProtection="0"/>
    <xf numFmtId="0" fontId="83" fillId="0" borderId="35" applyNumberFormat="0" applyFill="0" applyAlignment="0" applyProtection="0"/>
    <xf numFmtId="0" fontId="84" fillId="0" borderId="36" applyNumberFormat="0" applyFill="0" applyAlignment="0" applyProtection="0"/>
    <xf numFmtId="0" fontId="85" fillId="0" borderId="37" applyNumberFormat="0" applyFill="0" applyAlignment="0" applyProtection="0"/>
    <xf numFmtId="0" fontId="85" fillId="0" borderId="0" applyNumberFormat="0" applyFill="0" applyBorder="0" applyAlignment="0" applyProtection="0"/>
    <xf numFmtId="0" fontId="86" fillId="5" borderId="33" applyNumberFormat="0" applyAlignment="0" applyProtection="0"/>
    <xf numFmtId="0" fontId="37" fillId="4" borderId="0">
      <alignment horizontal="left"/>
    </xf>
    <xf numFmtId="0" fontId="87" fillId="0" borderId="38" applyNumberFormat="0" applyFill="0" applyAlignment="0" applyProtection="0"/>
    <xf numFmtId="0" fontId="88" fillId="5" borderId="0" applyNumberFormat="0" applyBorder="0" applyAlignment="0" applyProtection="0"/>
    <xf numFmtId="0" fontId="17" fillId="36" borderId="39" applyNumberFormat="0" applyFont="0" applyAlignment="0" applyProtection="0"/>
    <xf numFmtId="0" fontId="89" fillId="4" borderId="40" applyNumberFormat="0" applyAlignment="0" applyProtection="0"/>
    <xf numFmtId="0" fontId="37" fillId="5" borderId="0">
      <alignment horizontal="center"/>
    </xf>
    <xf numFmtId="49" fontId="37" fillId="4" borderId="0">
      <alignment horizontal="left"/>
    </xf>
    <xf numFmtId="0" fontId="6" fillId="20" borderId="30" applyNumberFormat="0" applyProtection="0">
      <alignment horizontal="left" vertical="center" indent="1"/>
    </xf>
    <xf numFmtId="0" fontId="6" fillId="20" borderId="31" applyNumberFormat="0" applyProtection="0">
      <alignment horizontal="left" vertical="top" indent="1"/>
    </xf>
    <xf numFmtId="0" fontId="6" fillId="20" borderId="30" applyNumberFormat="0" applyProtection="0">
      <alignment horizontal="left" vertical="center" indent="1"/>
    </xf>
    <xf numFmtId="0" fontId="6" fillId="20" borderId="31" applyNumberFormat="0" applyProtection="0">
      <alignment horizontal="left" vertical="top" indent="1"/>
    </xf>
    <xf numFmtId="0" fontId="6" fillId="20" borderId="30" applyNumberFormat="0" applyProtection="0">
      <alignment horizontal="left" vertical="center" indent="1"/>
    </xf>
    <xf numFmtId="0" fontId="6" fillId="20" borderId="31" applyNumberFormat="0" applyProtection="0">
      <alignment horizontal="left" vertical="top" indent="1"/>
    </xf>
    <xf numFmtId="0" fontId="6" fillId="20" borderId="30" applyNumberFormat="0" applyProtection="0">
      <alignment horizontal="left" vertical="center" indent="1"/>
    </xf>
    <xf numFmtId="0" fontId="6" fillId="20" borderId="31" applyNumberFormat="0" applyProtection="0">
      <alignment horizontal="left" vertical="top" indent="1"/>
    </xf>
    <xf numFmtId="0" fontId="90" fillId="0" borderId="0" applyNumberFormat="0" applyFill="0" applyBorder="0" applyAlignment="0" applyProtection="0"/>
    <xf numFmtId="0" fontId="91" fillId="0" borderId="41" applyNumberFormat="0" applyFill="0" applyAlignment="0" applyProtection="0"/>
    <xf numFmtId="0" fontId="87" fillId="0" borderId="0" applyNumberFormat="0" applyFill="0" applyBorder="0" applyAlignment="0" applyProtection="0"/>
    <xf numFmtId="39" fontId="62" fillId="0" borderId="0"/>
    <xf numFmtId="0" fontId="6" fillId="0" borderId="0"/>
    <xf numFmtId="0" fontId="17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32" fillId="26" borderId="30" applyNumberFormat="0" applyProtection="0">
      <alignment vertical="center"/>
    </xf>
    <xf numFmtId="4" fontId="32" fillId="26" borderId="30" applyNumberFormat="0" applyProtection="0">
      <alignment horizontal="left" vertical="center" indent="1"/>
    </xf>
    <xf numFmtId="0" fontId="32" fillId="27" borderId="31" applyNumberFormat="0" applyProtection="0">
      <alignment horizontal="left" vertical="top" indent="1"/>
    </xf>
    <xf numFmtId="4" fontId="32" fillId="7" borderId="0" applyNumberFormat="0" applyProtection="0">
      <alignment horizontal="left" vertical="center" indent="1"/>
    </xf>
    <xf numFmtId="4" fontId="6" fillId="26" borderId="31" applyNumberFormat="0" applyProtection="0">
      <alignment horizontal="right" vertical="center"/>
    </xf>
    <xf numFmtId="4" fontId="6" fillId="5" borderId="31" applyNumberFormat="0" applyProtection="0">
      <alignment horizontal="right" vertical="center"/>
    </xf>
    <xf numFmtId="4" fontId="6" fillId="17" borderId="31" applyNumberFormat="0" applyProtection="0">
      <alignment horizontal="right" vertical="center"/>
    </xf>
    <xf numFmtId="4" fontId="6" fillId="19" borderId="31" applyNumberFormat="0" applyProtection="0">
      <alignment horizontal="right" vertical="center"/>
    </xf>
    <xf numFmtId="4" fontId="6" fillId="21" borderId="31" applyNumberFormat="0" applyProtection="0">
      <alignment horizontal="right" vertical="center"/>
    </xf>
    <xf numFmtId="4" fontId="32" fillId="31" borderId="0" applyNumberFormat="0" applyProtection="0">
      <alignment horizontal="left" vertical="center" indent="1"/>
    </xf>
    <xf numFmtId="4" fontId="6" fillId="20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6" fillId="20" borderId="30" applyNumberFormat="0" applyProtection="0">
      <alignment horizontal="right" vertical="center"/>
    </xf>
    <xf numFmtId="4" fontId="6" fillId="20" borderId="0" applyNumberFormat="0" applyProtection="0">
      <alignment horizontal="left" vertical="center" indent="1"/>
    </xf>
    <xf numFmtId="4" fontId="6" fillId="27" borderId="0" applyNumberFormat="0" applyProtection="0">
      <alignment horizontal="left" vertical="center" indent="1"/>
    </xf>
    <xf numFmtId="4" fontId="6" fillId="20" borderId="31" applyNumberFormat="0" applyProtection="0">
      <alignment horizontal="left" vertical="center" indent="1"/>
    </xf>
    <xf numFmtId="0" fontId="6" fillId="20" borderId="31" applyNumberFormat="0" applyProtection="0">
      <alignment horizontal="left" vertical="top" indent="1"/>
    </xf>
    <xf numFmtId="4" fontId="6" fillId="34" borderId="30" applyNumberFormat="0" applyProtection="0">
      <alignment horizontal="right" vertical="center"/>
    </xf>
    <xf numFmtId="4" fontId="32" fillId="34" borderId="30" applyNumberFormat="0" applyProtection="0">
      <alignment horizontal="right" vertical="center"/>
    </xf>
    <xf numFmtId="4" fontId="6" fillId="20" borderId="30" applyNumberFormat="0" applyProtection="0">
      <alignment horizontal="left" vertical="center" indent="1"/>
    </xf>
    <xf numFmtId="0" fontId="6" fillId="20" borderId="30" applyNumberFormat="0" applyProtection="0">
      <alignment horizontal="left" vertical="top" indent="1"/>
    </xf>
    <xf numFmtId="4" fontId="6" fillId="0" borderId="31" applyNumberFormat="0" applyProtection="0">
      <alignment horizontal="right" vertical="center"/>
    </xf>
    <xf numFmtId="0" fontId="6" fillId="0" borderId="32" applyNumberFormat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" fillId="0" borderId="32" applyNumberFormat="0" applyFont="0" applyFill="0" applyBorder="0" applyAlignment="0" applyProtection="0"/>
    <xf numFmtId="0" fontId="86" fillId="5" borderId="33" applyNumberFormat="0" applyAlignment="0" applyProtection="0"/>
    <xf numFmtId="0" fontId="17" fillId="36" borderId="39" applyNumberFormat="0" applyFont="0" applyAlignment="0" applyProtection="0"/>
    <xf numFmtId="0" fontId="86" fillId="5" borderId="33" applyNumberFormat="0" applyAlignment="0" applyProtection="0"/>
    <xf numFmtId="0" fontId="17" fillId="36" borderId="39" applyNumberFormat="0" applyFont="0" applyAlignment="0" applyProtection="0"/>
    <xf numFmtId="0" fontId="79" fillId="4" borderId="33" applyNumberFormat="0" applyAlignment="0" applyProtection="0"/>
    <xf numFmtId="0" fontId="6" fillId="0" borderId="32" applyNumberFormat="0" applyFont="0" applyFill="0" applyBorder="0" applyAlignment="0" applyProtection="0"/>
    <xf numFmtId="0" fontId="86" fillId="5" borderId="33" applyNumberFormat="0" applyAlignment="0" applyProtection="0"/>
    <xf numFmtId="0" fontId="6" fillId="0" borderId="32" applyNumberFormat="0" applyFont="0" applyFill="0" applyBorder="0" applyAlignment="0" applyProtection="0"/>
    <xf numFmtId="0" fontId="86" fillId="5" borderId="33" applyNumberFormat="0" applyAlignment="0" applyProtection="0"/>
    <xf numFmtId="0" fontId="17" fillId="36" borderId="39" applyNumberFormat="0" applyFont="0" applyAlignment="0" applyProtection="0"/>
    <xf numFmtId="0" fontId="6" fillId="0" borderId="32" applyNumberFormat="0" applyFont="0" applyFill="0" applyBorder="0" applyAlignment="0" applyProtection="0"/>
    <xf numFmtId="0" fontId="86" fillId="5" borderId="33" applyNumberFormat="0" applyAlignment="0" applyProtection="0"/>
    <xf numFmtId="0" fontId="6" fillId="0" borderId="32" applyNumberFormat="0" applyFont="0" applyFill="0" applyBorder="0" applyAlignment="0" applyProtection="0"/>
    <xf numFmtId="0" fontId="86" fillId="5" borderId="33" applyNumberFormat="0" applyAlignment="0" applyProtection="0"/>
    <xf numFmtId="0" fontId="17" fillId="36" borderId="39" applyNumberFormat="0" applyFont="0" applyAlignment="0" applyProtection="0"/>
    <xf numFmtId="0" fontId="79" fillId="4" borderId="33" applyNumberFormat="0" applyAlignment="0" applyProtection="0"/>
    <xf numFmtId="0" fontId="86" fillId="5" borderId="33" applyNumberFormat="0" applyAlignment="0" applyProtection="0"/>
    <xf numFmtId="0" fontId="6" fillId="0" borderId="32" applyNumberFormat="0" applyFont="0" applyFill="0" applyBorder="0" applyAlignment="0" applyProtection="0"/>
    <xf numFmtId="0" fontId="17" fillId="36" borderId="39" applyNumberFormat="0" applyFont="0" applyAlignment="0" applyProtection="0"/>
    <xf numFmtId="0" fontId="6" fillId="0" borderId="32" applyNumberFormat="0" applyFont="0" applyFill="0" applyBorder="0" applyAlignment="0" applyProtection="0"/>
    <xf numFmtId="0" fontId="86" fillId="5" borderId="33" applyNumberFormat="0" applyAlignment="0" applyProtection="0"/>
    <xf numFmtId="0" fontId="79" fillId="4" borderId="33" applyNumberFormat="0" applyAlignment="0" applyProtection="0"/>
    <xf numFmtId="0" fontId="6" fillId="0" borderId="32" applyNumberFormat="0" applyFont="0" applyFill="0" applyBorder="0" applyAlignment="0" applyProtection="0"/>
    <xf numFmtId="0" fontId="86" fillId="5" borderId="33" applyNumberFormat="0" applyAlignment="0" applyProtection="0"/>
    <xf numFmtId="0" fontId="79" fillId="4" borderId="33" applyNumberFormat="0" applyAlignment="0" applyProtection="0"/>
    <xf numFmtId="0" fontId="6" fillId="0" borderId="32" applyNumberFormat="0" applyFont="0" applyFill="0" applyBorder="0" applyAlignment="0" applyProtection="0"/>
    <xf numFmtId="0" fontId="86" fillId="5" borderId="33" applyNumberFormat="0" applyAlignment="0" applyProtection="0"/>
    <xf numFmtId="0" fontId="6" fillId="0" borderId="32" applyNumberFormat="0" applyFont="0" applyFill="0" applyBorder="0" applyAlignment="0" applyProtection="0"/>
    <xf numFmtId="0" fontId="79" fillId="4" borderId="33" applyNumberFormat="0" applyAlignment="0" applyProtection="0"/>
    <xf numFmtId="0" fontId="79" fillId="4" borderId="33" applyNumberFormat="0" applyAlignment="0" applyProtection="0"/>
    <xf numFmtId="0" fontId="17" fillId="36" borderId="39" applyNumberFormat="0" applyFont="0" applyAlignment="0" applyProtection="0"/>
    <xf numFmtId="0" fontId="17" fillId="36" borderId="39" applyNumberFormat="0" applyFont="0" applyAlignment="0" applyProtection="0"/>
    <xf numFmtId="0" fontId="17" fillId="36" borderId="39" applyNumberFormat="0" applyFont="0" applyAlignment="0" applyProtection="0"/>
    <xf numFmtId="0" fontId="17" fillId="36" borderId="39" applyNumberFormat="0" applyFont="0" applyAlignment="0" applyProtection="0"/>
    <xf numFmtId="0" fontId="17" fillId="36" borderId="39" applyNumberFormat="0" applyFont="0" applyAlignment="0" applyProtection="0"/>
    <xf numFmtId="0" fontId="17" fillId="36" borderId="39" applyNumberFormat="0" applyFont="0" applyAlignment="0" applyProtection="0"/>
    <xf numFmtId="0" fontId="17" fillId="36" borderId="39" applyNumberFormat="0" applyFont="0" applyAlignment="0" applyProtection="0"/>
    <xf numFmtId="0" fontId="17" fillId="36" borderId="39" applyNumberFormat="0" applyFont="0" applyAlignment="0" applyProtection="0"/>
    <xf numFmtId="0" fontId="17" fillId="36" borderId="39" applyNumberFormat="0" applyFont="0" applyAlignment="0" applyProtection="0"/>
    <xf numFmtId="0" fontId="17" fillId="36" borderId="39" applyNumberFormat="0" applyFont="0" applyAlignment="0" applyProtection="0"/>
    <xf numFmtId="0" fontId="79" fillId="4" borderId="33" applyNumberFormat="0" applyAlignment="0" applyProtection="0"/>
    <xf numFmtId="0" fontId="86" fillId="5" borderId="33" applyNumberFormat="0" applyAlignment="0" applyProtection="0"/>
    <xf numFmtId="0" fontId="79" fillId="4" borderId="33" applyNumberFormat="0" applyAlignment="0" applyProtection="0"/>
    <xf numFmtId="0" fontId="6" fillId="0" borderId="32" applyNumberFormat="0" applyFont="0" applyFill="0" applyBorder="0" applyAlignment="0" applyProtection="0"/>
    <xf numFmtId="0" fontId="86" fillId="5" borderId="33" applyNumberFormat="0" applyAlignment="0" applyProtection="0"/>
    <xf numFmtId="0" fontId="6" fillId="0" borderId="32" applyNumberFormat="0" applyFont="0" applyFill="0" applyBorder="0" applyAlignment="0" applyProtection="0"/>
    <xf numFmtId="0" fontId="79" fillId="4" borderId="33" applyNumberFormat="0" applyAlignment="0" applyProtection="0"/>
    <xf numFmtId="0" fontId="79" fillId="4" borderId="33" applyNumberFormat="0" applyAlignment="0" applyProtection="0"/>
    <xf numFmtId="0" fontId="6" fillId="0" borderId="32" applyNumberFormat="0" applyFont="0" applyFill="0" applyBorder="0" applyAlignment="0" applyProtection="0"/>
    <xf numFmtId="0" fontId="17" fillId="36" borderId="39" applyNumberFormat="0" applyFont="0" applyAlignment="0" applyProtection="0"/>
    <xf numFmtId="0" fontId="86" fillId="5" borderId="33" applyNumberFormat="0" applyAlignment="0" applyProtection="0"/>
    <xf numFmtId="0" fontId="17" fillId="36" borderId="39" applyNumberFormat="0" applyFont="0" applyAlignment="0" applyProtection="0"/>
    <xf numFmtId="0" fontId="86" fillId="5" borderId="33" applyNumberFormat="0" applyAlignment="0" applyProtection="0"/>
    <xf numFmtId="0" fontId="6" fillId="0" borderId="32" applyNumberFormat="0" applyFont="0" applyFill="0" applyBorder="0" applyAlignment="0" applyProtection="0"/>
    <xf numFmtId="0" fontId="79" fillId="4" borderId="33" applyNumberFormat="0" applyAlignment="0" applyProtection="0"/>
    <xf numFmtId="0" fontId="86" fillId="5" borderId="33" applyNumberFormat="0" applyAlignment="0" applyProtection="0"/>
    <xf numFmtId="0" fontId="6" fillId="0" borderId="32" applyNumberFormat="0" applyFont="0" applyFill="0" applyBorder="0" applyAlignment="0" applyProtection="0"/>
    <xf numFmtId="0" fontId="86" fillId="5" borderId="33" applyNumberFormat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17" fillId="36" borderId="39" applyNumberFormat="0" applyFont="0" applyAlignment="0" applyProtection="0"/>
    <xf numFmtId="0" fontId="17" fillId="36" borderId="39" applyNumberFormat="0" applyFont="0" applyAlignment="0" applyProtection="0"/>
    <xf numFmtId="0" fontId="86" fillId="5" borderId="33" applyNumberFormat="0" applyAlignment="0" applyProtection="0"/>
    <xf numFmtId="0" fontId="6" fillId="0" borderId="32" applyNumberFormat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79" fillId="4" borderId="33" applyNumberFormat="0" applyAlignment="0" applyProtection="0"/>
    <xf numFmtId="0" fontId="37" fillId="24" borderId="17"/>
    <xf numFmtId="0" fontId="6" fillId="0" borderId="32" applyNumberFormat="0" applyFont="0" applyFill="0" applyBorder="0" applyAlignment="0" applyProtection="0"/>
    <xf numFmtId="0" fontId="86" fillId="5" borderId="33" applyNumberFormat="0" applyAlignment="0" applyProtection="0"/>
    <xf numFmtId="0" fontId="6" fillId="0" borderId="32" applyNumberFormat="0" applyFont="0" applyFill="0" applyBorder="0" applyAlignment="0" applyProtection="0"/>
    <xf numFmtId="0" fontId="79" fillId="4" borderId="33" applyNumberFormat="0" applyAlignment="0" applyProtection="0"/>
    <xf numFmtId="0" fontId="17" fillId="36" borderId="39" applyNumberFormat="0" applyFont="0" applyAlignment="0" applyProtection="0"/>
    <xf numFmtId="0" fontId="86" fillId="5" borderId="33" applyNumberFormat="0" applyAlignment="0" applyProtection="0"/>
    <xf numFmtId="0" fontId="79" fillId="4" borderId="33" applyNumberFormat="0" applyAlignment="0" applyProtection="0"/>
    <xf numFmtId="0" fontId="86" fillId="5" borderId="33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79" fillId="4" borderId="33" applyNumberFormat="0" applyAlignment="0" applyProtection="0"/>
    <xf numFmtId="0" fontId="6" fillId="0" borderId="32" applyNumberFormat="0" applyFont="0" applyFill="0" applyBorder="0" applyAlignment="0" applyProtection="0"/>
    <xf numFmtId="0" fontId="79" fillId="4" borderId="33" applyNumberFormat="0" applyAlignment="0" applyProtection="0"/>
    <xf numFmtId="0" fontId="6" fillId="0" borderId="32" applyNumberFormat="0" applyFont="0" applyFill="0" applyBorder="0" applyAlignment="0" applyProtection="0"/>
    <xf numFmtId="0" fontId="79" fillId="4" borderId="33" applyNumberFormat="0" applyAlignment="0" applyProtection="0"/>
    <xf numFmtId="0" fontId="6" fillId="0" borderId="32" applyNumberFormat="0" applyFont="0" applyFill="0" applyBorder="0" applyAlignment="0" applyProtection="0"/>
    <xf numFmtId="0" fontId="79" fillId="4" borderId="33" applyNumberFormat="0" applyAlignment="0" applyProtection="0"/>
    <xf numFmtId="0" fontId="6" fillId="0" borderId="32" applyNumberFormat="0" applyFont="0" applyFill="0" applyBorder="0" applyAlignment="0" applyProtection="0"/>
    <xf numFmtId="0" fontId="79" fillId="4" borderId="33" applyNumberFormat="0" applyAlignment="0" applyProtection="0"/>
    <xf numFmtId="0" fontId="6" fillId="0" borderId="32" applyNumberFormat="0" applyFont="0" applyFill="0" applyBorder="0" applyAlignment="0" applyProtection="0"/>
    <xf numFmtId="0" fontId="79" fillId="4" borderId="33" applyNumberFormat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3" fillId="18" borderId="0" applyNumberFormat="0" applyBorder="0" applyAlignment="0" applyProtection="0"/>
    <xf numFmtId="4" fontId="6" fillId="5" borderId="57" applyNumberFormat="0" applyProtection="0">
      <alignment horizontal="right" vertical="center"/>
    </xf>
    <xf numFmtId="0" fontId="6" fillId="20" borderId="56" applyNumberFormat="0" applyProtection="0">
      <alignment horizontal="left" vertical="top" indent="1"/>
    </xf>
    <xf numFmtId="0" fontId="6" fillId="20" borderId="64" applyNumberFormat="0" applyProtection="0">
      <alignment horizontal="left" vertical="top" indent="1"/>
    </xf>
    <xf numFmtId="0" fontId="6" fillId="0" borderId="62" applyNumberFormat="0" applyFont="0" applyFill="0" applyBorder="0" applyAlignment="0" applyProtection="0"/>
    <xf numFmtId="0" fontId="86" fillId="5" borderId="58" applyNumberFormat="0" applyAlignment="0" applyProtection="0"/>
    <xf numFmtId="0" fontId="17" fillId="36" borderId="59" applyNumberFormat="0" applyFont="0" applyAlignment="0" applyProtection="0"/>
    <xf numFmtId="4" fontId="31" fillId="26" borderId="45" applyNumberFormat="0" applyProtection="0">
      <alignment vertical="center"/>
    </xf>
    <xf numFmtId="4" fontId="32" fillId="26" borderId="44" applyNumberFormat="0" applyProtection="0">
      <alignment horizontal="left" vertical="center" indent="1"/>
    </xf>
    <xf numFmtId="4" fontId="73" fillId="28" borderId="45" applyNumberFormat="0" applyProtection="0">
      <alignment horizontal="right" vertical="center"/>
    </xf>
    <xf numFmtId="4" fontId="73" fillId="29" borderId="45" applyNumberFormat="0" applyProtection="0">
      <alignment horizontal="right" vertical="center"/>
    </xf>
    <xf numFmtId="0" fontId="86" fillId="5" borderId="58" applyNumberFormat="0" applyAlignment="0" applyProtection="0"/>
    <xf numFmtId="0" fontId="6" fillId="0" borderId="62" applyNumberFormat="0" applyFont="0" applyFill="0" applyBorder="0" applyAlignment="0" applyProtection="0"/>
    <xf numFmtId="0" fontId="79" fillId="4" borderId="47" applyNumberFormat="0" applyAlignment="0" applyProtection="0"/>
    <xf numFmtId="0" fontId="6" fillId="0" borderId="65" applyNumberFormat="0" applyFont="0" applyFill="0" applyBorder="0" applyAlignment="0" applyProtection="0"/>
    <xf numFmtId="4" fontId="6" fillId="20" borderId="64" applyNumberFormat="0" applyProtection="0">
      <alignment horizontal="left" vertical="center" indent="1"/>
    </xf>
    <xf numFmtId="0" fontId="6" fillId="0" borderId="62" applyNumberFormat="0" applyFont="0" applyFill="0" applyBorder="0" applyAlignment="0" applyProtection="0"/>
    <xf numFmtId="4" fontId="32" fillId="26" borderId="44" applyNumberFormat="0" applyProtection="0">
      <alignment vertical="center"/>
    </xf>
    <xf numFmtId="0" fontId="6" fillId="0" borderId="46" applyNumberFormat="0" applyFont="0" applyFill="0" applyBorder="0" applyAlignment="0" applyProtection="0"/>
    <xf numFmtId="0" fontId="17" fillId="36" borderId="52" applyNumberFormat="0" applyFont="0" applyAlignment="0" applyProtection="0"/>
    <xf numFmtId="0" fontId="6" fillId="0" borderId="46" applyNumberFormat="0" applyFont="0" applyFill="0" applyBorder="0" applyAlignment="0" applyProtection="0"/>
    <xf numFmtId="0" fontId="17" fillId="36" borderId="48" applyNumberFormat="0" applyFont="0" applyAlignment="0" applyProtection="0"/>
    <xf numFmtId="0" fontId="79" fillId="4" borderId="47" applyNumberFormat="0" applyAlignment="0" applyProtection="0"/>
    <xf numFmtId="0" fontId="86" fillId="5" borderId="47" applyNumberFormat="0" applyAlignment="0" applyProtection="0"/>
    <xf numFmtId="0" fontId="17" fillId="36" borderId="48" applyNumberFormat="0" applyFont="0" applyAlignment="0" applyProtection="0"/>
    <xf numFmtId="0" fontId="17" fillId="36" borderId="48" applyNumberFormat="0" applyFont="0" applyAlignment="0" applyProtection="0"/>
    <xf numFmtId="0" fontId="79" fillId="4" borderId="58" applyNumberFormat="0" applyAlignment="0" applyProtection="0"/>
    <xf numFmtId="0" fontId="79" fillId="4" borderId="58" applyNumberFormat="0" applyAlignment="0" applyProtection="0"/>
    <xf numFmtId="4" fontId="6" fillId="17" borderId="45" applyNumberFormat="0" applyProtection="0">
      <alignment horizontal="right" vertical="center"/>
    </xf>
    <xf numFmtId="0" fontId="89" fillId="4" borderId="53" applyNumberFormat="0" applyAlignment="0" applyProtection="0"/>
    <xf numFmtId="4" fontId="6" fillId="26" borderId="57" applyNumberFormat="0" applyProtection="0">
      <alignment horizontal="right" vertical="center"/>
    </xf>
    <xf numFmtId="0" fontId="17" fillId="36" borderId="48" applyNumberFormat="0" applyFont="0" applyAlignment="0" applyProtection="0"/>
    <xf numFmtId="0" fontId="17" fillId="36" borderId="42" applyNumberFormat="0" applyFont="0" applyAlignment="0" applyProtection="0"/>
    <xf numFmtId="0" fontId="6" fillId="20" borderId="45" applyNumberFormat="0" applyProtection="0">
      <alignment horizontal="left" vertical="top" indent="1"/>
    </xf>
    <xf numFmtId="0" fontId="79" fillId="4" borderId="47" applyNumberFormat="0" applyAlignment="0" applyProtection="0"/>
    <xf numFmtId="0" fontId="6" fillId="0" borderId="46" applyNumberFormat="0" applyFont="0" applyFill="0" applyBorder="0" applyAlignment="0" applyProtection="0"/>
    <xf numFmtId="0" fontId="17" fillId="36" borderId="42" applyNumberFormat="0" applyFont="0" applyAlignment="0" applyProtection="0"/>
    <xf numFmtId="0" fontId="79" fillId="4" borderId="58" applyNumberFormat="0" applyAlignment="0" applyProtection="0"/>
    <xf numFmtId="0" fontId="6" fillId="0" borderId="46" applyNumberFormat="0" applyFont="0" applyFill="0" applyBorder="0" applyAlignment="0" applyProtection="0"/>
    <xf numFmtId="0" fontId="17" fillId="36" borderId="42" applyNumberFormat="0" applyFont="0" applyAlignment="0" applyProtection="0"/>
    <xf numFmtId="4" fontId="6" fillId="0" borderId="57" applyNumberFormat="0" applyProtection="0">
      <alignment horizontal="right" vertical="center"/>
    </xf>
    <xf numFmtId="0" fontId="6" fillId="20" borderId="45" applyNumberFormat="0" applyProtection="0">
      <alignment horizontal="left" vertical="top" indent="1"/>
    </xf>
    <xf numFmtId="0" fontId="6" fillId="0" borderId="43" applyNumberFormat="0" applyFont="0" applyFill="0" applyBorder="0" applyAlignment="0" applyProtection="0"/>
    <xf numFmtId="0" fontId="17" fillId="36" borderId="42" applyNumberFormat="0" applyFont="0" applyAlignment="0" applyProtection="0"/>
    <xf numFmtId="4" fontId="38" fillId="33" borderId="57" applyNumberFormat="0" applyProtection="0">
      <alignment vertical="center"/>
    </xf>
    <xf numFmtId="0" fontId="6" fillId="0" borderId="46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6" fillId="20" borderId="57" applyNumberFormat="0" applyProtection="0">
      <alignment horizontal="left" vertical="top" indent="1"/>
    </xf>
    <xf numFmtId="0" fontId="6" fillId="0" borderId="43" applyNumberFormat="0" applyFont="0" applyFill="0" applyBorder="0" applyAlignment="0" applyProtection="0"/>
    <xf numFmtId="0" fontId="17" fillId="36" borderId="42" applyNumberFormat="0" applyFont="0" applyAlignment="0" applyProtection="0"/>
    <xf numFmtId="0" fontId="86" fillId="5" borderId="47" applyNumberFormat="0" applyAlignment="0" applyProtection="0"/>
    <xf numFmtId="0" fontId="86" fillId="5" borderId="47" applyNumberFormat="0" applyAlignment="0" applyProtection="0"/>
    <xf numFmtId="0" fontId="6" fillId="20" borderId="56" applyNumberFormat="0" applyProtection="0">
      <alignment horizontal="left" vertical="center" indent="1"/>
    </xf>
    <xf numFmtId="4" fontId="32" fillId="34" borderId="44" applyNumberFormat="0" applyProtection="0">
      <alignment horizontal="right" vertical="center"/>
    </xf>
    <xf numFmtId="0" fontId="17" fillId="36" borderId="42" applyNumberFormat="0" applyFont="0" applyAlignment="0" applyProtection="0"/>
    <xf numFmtId="0" fontId="6" fillId="0" borderId="46" applyNumberFormat="0" applyFont="0" applyFill="0" applyBorder="0" applyAlignment="0" applyProtection="0"/>
    <xf numFmtId="0" fontId="32" fillId="27" borderId="64" applyNumberFormat="0" applyProtection="0">
      <alignment horizontal="left" vertical="top" indent="1"/>
    </xf>
    <xf numFmtId="0" fontId="79" fillId="4" borderId="69" applyNumberFormat="0" applyAlignment="0" applyProtection="0"/>
    <xf numFmtId="0" fontId="91" fillId="0" borderId="54" applyNumberFormat="0" applyFill="0" applyAlignment="0" applyProtection="0"/>
    <xf numFmtId="0" fontId="17" fillId="36" borderId="48" applyNumberFormat="0" applyFont="0" applyAlignment="0" applyProtection="0"/>
    <xf numFmtId="4" fontId="6" fillId="26" borderId="45" applyNumberFormat="0" applyProtection="0">
      <alignment horizontal="right" vertical="center"/>
    </xf>
    <xf numFmtId="0" fontId="17" fillId="36" borderId="48" applyNumberFormat="0" applyFont="0" applyAlignment="0" applyProtection="0"/>
    <xf numFmtId="4" fontId="73" fillId="30" borderId="57" applyNumberFormat="0" applyProtection="0">
      <alignment horizontal="right" vertical="center"/>
    </xf>
    <xf numFmtId="0" fontId="6" fillId="0" borderId="43" applyNumberFormat="0" applyFont="0" applyFill="0" applyBorder="0" applyAlignment="0" applyProtection="0"/>
    <xf numFmtId="0" fontId="79" fillId="4" borderId="47" applyNumberFormat="0" applyAlignment="0" applyProtection="0"/>
    <xf numFmtId="0" fontId="6" fillId="0" borderId="43" applyNumberFormat="0" applyFont="0" applyFill="0" applyBorder="0" applyAlignment="0" applyProtection="0"/>
    <xf numFmtId="0" fontId="17" fillId="36" borderId="48" applyNumberFormat="0" applyFont="0" applyAlignment="0" applyProtection="0"/>
    <xf numFmtId="4" fontId="6" fillId="34" borderId="56" applyNumberFormat="0" applyProtection="0">
      <alignment horizontal="right" vertical="center"/>
    </xf>
    <xf numFmtId="0" fontId="86" fillId="5" borderId="47" applyNumberFormat="0" applyAlignment="0" applyProtection="0"/>
    <xf numFmtId="0" fontId="6" fillId="0" borderId="43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6" fillId="20" borderId="56" applyNumberFormat="0" applyProtection="0">
      <alignment horizontal="left" vertical="center" indent="1"/>
    </xf>
    <xf numFmtId="0" fontId="86" fillId="5" borderId="69" applyNumberFormat="0" applyAlignment="0" applyProtection="0"/>
    <xf numFmtId="0" fontId="6" fillId="0" borderId="43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79" fillId="4" borderId="47" applyNumberFormat="0" applyAlignment="0" applyProtection="0"/>
    <xf numFmtId="0" fontId="6" fillId="0" borderId="62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0" fontId="86" fillId="5" borderId="69" applyNumberFormat="0" applyAlignment="0" applyProtection="0"/>
    <xf numFmtId="0" fontId="6" fillId="0" borderId="43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86" fillId="5" borderId="58" applyNumberFormat="0" applyAlignment="0" applyProtection="0"/>
    <xf numFmtId="0" fontId="17" fillId="36" borderId="48" applyNumberFormat="0" applyFont="0" applyAlignment="0" applyProtection="0"/>
    <xf numFmtId="0" fontId="79" fillId="4" borderId="47" applyNumberFormat="0" applyAlignment="0" applyProtection="0"/>
    <xf numFmtId="0" fontId="6" fillId="0" borderId="62" applyNumberFormat="0" applyFont="0" applyFill="0" applyBorder="0" applyAlignment="0" applyProtection="0"/>
    <xf numFmtId="0" fontId="79" fillId="4" borderId="47" applyNumberFormat="0" applyAlignment="0" applyProtection="0"/>
    <xf numFmtId="0" fontId="17" fillId="36" borderId="48" applyNumberFormat="0" applyFont="0" applyAlignment="0" applyProtection="0"/>
    <xf numFmtId="0" fontId="79" fillId="4" borderId="58" applyNumberFormat="0" applyAlignment="0" applyProtection="0"/>
    <xf numFmtId="0" fontId="6" fillId="20" borderId="45" applyNumberFormat="0" applyProtection="0">
      <alignment horizontal="left" vertical="top" indent="1"/>
    </xf>
    <xf numFmtId="0" fontId="6" fillId="0" borderId="43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4" fontId="32" fillId="34" borderId="56" applyNumberFormat="0" applyProtection="0">
      <alignment horizontal="right" vertical="center"/>
    </xf>
    <xf numFmtId="0" fontId="17" fillId="36" borderId="59" applyNumberFormat="0" applyFont="0" applyAlignment="0" applyProtection="0"/>
    <xf numFmtId="0" fontId="32" fillId="27" borderId="45" applyNumberFormat="0" applyProtection="0">
      <alignment horizontal="left" vertical="top" indent="1"/>
    </xf>
    <xf numFmtId="0" fontId="6" fillId="20" borderId="45" applyNumberFormat="0" applyProtection="0">
      <alignment horizontal="left" vertical="top" indent="1"/>
    </xf>
    <xf numFmtId="0" fontId="17" fillId="36" borderId="59" applyNumberFormat="0" applyFont="0" applyAlignment="0" applyProtection="0"/>
    <xf numFmtId="0" fontId="79" fillId="4" borderId="58" applyNumberFormat="0" applyAlignment="0" applyProtection="0"/>
    <xf numFmtId="4" fontId="6" fillId="17" borderId="45" applyNumberFormat="0" applyProtection="0">
      <alignment horizontal="right" vertical="center"/>
    </xf>
    <xf numFmtId="4" fontId="6" fillId="19" borderId="45" applyNumberFormat="0" applyProtection="0">
      <alignment horizontal="right" vertical="center"/>
    </xf>
    <xf numFmtId="4" fontId="73" fillId="30" borderId="45" applyNumberFormat="0" applyProtection="0">
      <alignment horizontal="right" vertical="center"/>
    </xf>
    <xf numFmtId="0" fontId="6" fillId="0" borderId="62" applyNumberFormat="0" applyFont="0" applyFill="0" applyBorder="0" applyAlignment="0" applyProtection="0"/>
    <xf numFmtId="4" fontId="6" fillId="20" borderId="44" applyNumberFormat="0" applyProtection="0">
      <alignment horizontal="left" vertical="center" indent="1"/>
    </xf>
    <xf numFmtId="0" fontId="86" fillId="5" borderId="58" applyNumberFormat="0" applyAlignment="0" applyProtection="0"/>
    <xf numFmtId="0" fontId="86" fillId="5" borderId="58" applyNumberFormat="0" applyAlignment="0" applyProtection="0"/>
    <xf numFmtId="0" fontId="17" fillId="36" borderId="59" applyNumberFormat="0" applyFont="0" applyAlignment="0" applyProtection="0"/>
    <xf numFmtId="0" fontId="79" fillId="4" borderId="47" applyNumberFormat="0" applyAlignment="0" applyProtection="0"/>
    <xf numFmtId="0" fontId="6" fillId="0" borderId="46" applyNumberFormat="0" applyFont="0" applyFill="0" applyBorder="0" applyAlignment="0" applyProtection="0"/>
    <xf numFmtId="0" fontId="86" fillId="5" borderId="69" applyNumberFormat="0" applyAlignment="0" applyProtection="0"/>
    <xf numFmtId="0" fontId="86" fillId="5" borderId="47" applyNumberFormat="0" applyAlignment="0" applyProtection="0"/>
    <xf numFmtId="0" fontId="6" fillId="0" borderId="46" applyNumberFormat="0" applyFont="0" applyFill="0" applyBorder="0" applyAlignment="0" applyProtection="0"/>
    <xf numFmtId="0" fontId="17" fillId="36" borderId="42" applyNumberFormat="0" applyFont="0" applyAlignment="0" applyProtection="0"/>
    <xf numFmtId="0" fontId="6" fillId="20" borderId="44" applyNumberFormat="0" applyProtection="0">
      <alignment horizontal="left" vertical="top" indent="1"/>
    </xf>
    <xf numFmtId="0" fontId="6" fillId="0" borderId="62" applyNumberFormat="0" applyFont="0" applyFill="0" applyBorder="0" applyAlignment="0" applyProtection="0"/>
    <xf numFmtId="0" fontId="6" fillId="20" borderId="45" applyNumberFormat="0" applyProtection="0">
      <alignment horizontal="left" vertical="top" indent="1"/>
    </xf>
    <xf numFmtId="0" fontId="6" fillId="0" borderId="43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9" fillId="4" borderId="69" applyNumberFormat="0" applyAlignment="0" applyProtection="0"/>
    <xf numFmtId="0" fontId="6" fillId="0" borderId="62" applyNumberFormat="0" applyFont="0" applyFill="0" applyBorder="0" applyAlignment="0" applyProtection="0"/>
    <xf numFmtId="0" fontId="86" fillId="5" borderId="58" applyNumberFormat="0" applyAlignment="0" applyProtection="0"/>
    <xf numFmtId="0" fontId="6" fillId="0" borderId="46" applyNumberFormat="0" applyFont="0" applyFill="0" applyBorder="0" applyAlignment="0" applyProtection="0"/>
    <xf numFmtId="0" fontId="79" fillId="4" borderId="47" applyNumberFormat="0" applyAlignment="0" applyProtection="0"/>
    <xf numFmtId="0" fontId="6" fillId="0" borderId="62" applyNumberFormat="0" applyFont="0" applyFill="0" applyBorder="0" applyAlignment="0" applyProtection="0"/>
    <xf numFmtId="0" fontId="17" fillId="36" borderId="48" applyNumberFormat="0" applyFont="0" applyAlignment="0" applyProtection="0"/>
    <xf numFmtId="4" fontId="6" fillId="20" borderId="63" applyNumberFormat="0" applyProtection="0">
      <alignment horizontal="right" vertical="center"/>
    </xf>
    <xf numFmtId="0" fontId="79" fillId="4" borderId="47" applyNumberFormat="0" applyAlignment="0" applyProtection="0"/>
    <xf numFmtId="0" fontId="86" fillId="5" borderId="47" applyNumberFormat="0" applyAlignment="0" applyProtection="0"/>
    <xf numFmtId="0" fontId="86" fillId="5" borderId="47" applyNumberFormat="0" applyAlignment="0" applyProtection="0"/>
    <xf numFmtId="0" fontId="86" fillId="5" borderId="47" applyNumberFormat="0" applyAlignment="0" applyProtection="0"/>
    <xf numFmtId="0" fontId="3" fillId="0" borderId="0"/>
    <xf numFmtId="0" fontId="3" fillId="0" borderId="0"/>
    <xf numFmtId="0" fontId="17" fillId="36" borderId="42" applyNumberFormat="0" applyFont="0" applyAlignment="0" applyProtection="0"/>
    <xf numFmtId="0" fontId="6" fillId="0" borderId="43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17" fillId="36" borderId="48" applyNumberFormat="0" applyFont="0" applyAlignment="0" applyProtection="0"/>
    <xf numFmtId="0" fontId="6" fillId="0" borderId="46" applyNumberFormat="0" applyFont="0" applyFill="0" applyBorder="0" applyAlignment="0" applyProtection="0"/>
    <xf numFmtId="0" fontId="17" fillId="36" borderId="48" applyNumberFormat="0" applyFont="0" applyAlignment="0" applyProtection="0"/>
    <xf numFmtId="0" fontId="6" fillId="0" borderId="65" applyNumberFormat="0" applyFont="0" applyFill="0" applyBorder="0" applyAlignment="0" applyProtection="0"/>
    <xf numFmtId="0" fontId="17" fillId="36" borderId="48" applyNumberFormat="0" applyFont="0" applyAlignment="0" applyProtection="0"/>
    <xf numFmtId="0" fontId="6" fillId="0" borderId="46" applyNumberFormat="0" applyFont="0" applyFill="0" applyBorder="0" applyAlignment="0" applyProtection="0"/>
    <xf numFmtId="0" fontId="79" fillId="4" borderId="58" applyNumberFormat="0" applyAlignment="0" applyProtection="0"/>
    <xf numFmtId="0" fontId="6" fillId="20" borderId="57" applyNumberFormat="0" applyProtection="0">
      <alignment horizontal="left" vertical="top" indent="1"/>
    </xf>
    <xf numFmtId="43" fontId="3" fillId="0" borderId="0" applyFont="0" applyFill="0" applyBorder="0" applyAlignment="0" applyProtection="0"/>
    <xf numFmtId="0" fontId="17" fillId="36" borderId="59" applyNumberFormat="0" applyFont="0" applyAlignment="0" applyProtection="0"/>
    <xf numFmtId="0" fontId="6" fillId="20" borderId="57" applyNumberFormat="0" applyProtection="0">
      <alignment horizontal="left" vertical="top" indent="1"/>
    </xf>
    <xf numFmtId="4" fontId="6" fillId="20" borderId="57" applyNumberFormat="0" applyProtection="0">
      <alignment horizontal="left" vertical="center" indent="1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43" applyNumberFormat="0" applyFont="0" applyFill="0" applyBorder="0" applyAlignment="0" applyProtection="0"/>
    <xf numFmtId="0" fontId="17" fillId="36" borderId="59" applyNumberFormat="0" applyFont="0" applyAlignment="0" applyProtection="0"/>
    <xf numFmtId="0" fontId="17" fillId="36" borderId="48" applyNumberFormat="0" applyFont="0" applyAlignment="0" applyProtection="0"/>
    <xf numFmtId="4" fontId="6" fillId="20" borderId="45" applyNumberFormat="0" applyProtection="0">
      <alignment horizontal="left" vertical="center" indent="1"/>
    </xf>
    <xf numFmtId="4" fontId="6" fillId="17" borderId="64" applyNumberFormat="0" applyProtection="0">
      <alignment horizontal="right" vertical="center"/>
    </xf>
    <xf numFmtId="0" fontId="6" fillId="0" borderId="46" applyNumberFormat="0" applyFont="0" applyFill="0" applyBorder="0" applyAlignment="0" applyProtection="0"/>
    <xf numFmtId="0" fontId="6" fillId="20" borderId="44" applyNumberFormat="0" applyProtection="0">
      <alignment horizontal="left" vertical="center" indent="1"/>
    </xf>
    <xf numFmtId="0" fontId="6" fillId="0" borderId="46" applyNumberFormat="0" applyFont="0" applyFill="0" applyBorder="0" applyAlignment="0" applyProtection="0"/>
    <xf numFmtId="0" fontId="86" fillId="5" borderId="58" applyNumberFormat="0" applyAlignment="0" applyProtection="0"/>
    <xf numFmtId="0" fontId="79" fillId="4" borderId="58" applyNumberFormat="0" applyAlignment="0" applyProtection="0"/>
    <xf numFmtId="0" fontId="86" fillId="5" borderId="47" applyNumberFormat="0" applyAlignment="0" applyProtection="0"/>
    <xf numFmtId="0" fontId="86" fillId="5" borderId="58" applyNumberFormat="0" applyAlignment="0" applyProtection="0"/>
    <xf numFmtId="0" fontId="6" fillId="0" borderId="46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0" fontId="6" fillId="20" borderId="45" applyNumberFormat="0" applyProtection="0">
      <alignment horizontal="left" vertical="top" indent="1"/>
    </xf>
    <xf numFmtId="0" fontId="86" fillId="5" borderId="58" applyNumberFormat="0" applyAlignment="0" applyProtection="0"/>
    <xf numFmtId="0" fontId="86" fillId="5" borderId="58" applyNumberFormat="0" applyAlignment="0" applyProtection="0"/>
    <xf numFmtId="0" fontId="17" fillId="36" borderId="59" applyNumberFormat="0" applyFont="0" applyAlignment="0" applyProtection="0"/>
    <xf numFmtId="4" fontId="6" fillId="20" borderId="44" applyNumberFormat="0" applyProtection="0">
      <alignment horizontal="right" vertical="center"/>
    </xf>
    <xf numFmtId="0" fontId="6" fillId="20" borderId="44" applyNumberFormat="0" applyProtection="0">
      <alignment horizontal="left" vertical="center" indent="1"/>
    </xf>
    <xf numFmtId="0" fontId="6" fillId="0" borderId="43" applyNumberFormat="0" applyFont="0" applyFill="0" applyBorder="0" applyAlignment="0" applyProtection="0"/>
    <xf numFmtId="0" fontId="79" fillId="4" borderId="69" applyNumberFormat="0" applyAlignment="0" applyProtection="0"/>
    <xf numFmtId="0" fontId="17" fillId="36" borderId="48" applyNumberFormat="0" applyFont="0" applyAlignment="0" applyProtection="0"/>
    <xf numFmtId="0" fontId="79" fillId="4" borderId="47" applyNumberFormat="0" applyAlignment="0" applyProtection="0"/>
    <xf numFmtId="0" fontId="79" fillId="4" borderId="47" applyNumberFormat="0" applyAlignment="0" applyProtection="0"/>
    <xf numFmtId="0" fontId="6" fillId="0" borderId="62" applyNumberFormat="0" applyFont="0" applyFill="0" applyBorder="0" applyAlignment="0" applyProtection="0"/>
    <xf numFmtId="0" fontId="79" fillId="4" borderId="47" applyNumberFormat="0" applyAlignment="0" applyProtection="0"/>
    <xf numFmtId="0" fontId="79" fillId="4" borderId="47" applyNumberFormat="0" applyAlignment="0" applyProtection="0"/>
    <xf numFmtId="0" fontId="79" fillId="4" borderId="47" applyNumberFormat="0" applyAlignment="0" applyProtection="0"/>
    <xf numFmtId="0" fontId="86" fillId="5" borderId="47" applyNumberFormat="0" applyAlignment="0" applyProtection="0"/>
    <xf numFmtId="0" fontId="86" fillId="5" borderId="47" applyNumberFormat="0" applyAlignment="0" applyProtection="0"/>
    <xf numFmtId="0" fontId="17" fillId="36" borderId="59" applyNumberFormat="0" applyFont="0" applyAlignment="0" applyProtection="0"/>
    <xf numFmtId="0" fontId="6" fillId="0" borderId="62" applyNumberFormat="0" applyFont="0" applyFill="0" applyBorder="0" applyAlignment="0" applyProtection="0"/>
    <xf numFmtId="0" fontId="6" fillId="20" borderId="44" applyNumberFormat="0" applyProtection="0">
      <alignment horizontal="left" vertical="center" indent="1"/>
    </xf>
    <xf numFmtId="0" fontId="6" fillId="0" borderId="43" applyNumberFormat="0" applyFont="0" applyFill="0" applyBorder="0" applyAlignment="0" applyProtection="0"/>
    <xf numFmtId="0" fontId="6" fillId="20" borderId="56" applyNumberFormat="0" applyProtection="0">
      <alignment horizontal="left" vertical="center" indent="1"/>
    </xf>
    <xf numFmtId="0" fontId="6" fillId="0" borderId="46" applyNumberFormat="0" applyFont="0" applyFill="0" applyBorder="0" applyAlignment="0" applyProtection="0"/>
    <xf numFmtId="0" fontId="86" fillId="5" borderId="47" applyNumberFormat="0" applyAlignment="0" applyProtection="0"/>
    <xf numFmtId="4" fontId="38" fillId="33" borderId="45" applyNumberFormat="0" applyProtection="0">
      <alignment vertical="center"/>
    </xf>
    <xf numFmtId="0" fontId="6" fillId="0" borderId="62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0" fontId="17" fillId="36" borderId="48" applyNumberFormat="0" applyFont="0" applyAlignment="0" applyProtection="0"/>
    <xf numFmtId="0" fontId="6" fillId="0" borderId="46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0" fontId="17" fillId="36" borderId="66" applyNumberFormat="0" applyFont="0" applyAlignment="0" applyProtection="0"/>
    <xf numFmtId="0" fontId="17" fillId="36" borderId="59" applyNumberFormat="0" applyFont="0" applyAlignment="0" applyProtection="0"/>
    <xf numFmtId="4" fontId="31" fillId="26" borderId="57" applyNumberFormat="0" applyProtection="0">
      <alignment vertical="center"/>
    </xf>
    <xf numFmtId="4" fontId="6" fillId="21" borderId="57" applyNumberFormat="0" applyProtection="0">
      <alignment horizontal="right" vertical="center"/>
    </xf>
    <xf numFmtId="0" fontId="3" fillId="0" borderId="0"/>
    <xf numFmtId="43" fontId="3" fillId="0" borderId="0" applyFont="0" applyFill="0" applyBorder="0" applyAlignment="0" applyProtection="0"/>
    <xf numFmtId="0" fontId="6" fillId="0" borderId="46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17" fillId="36" borderId="48" applyNumberFormat="0" applyFont="0" applyAlignment="0" applyProtection="0"/>
    <xf numFmtId="0" fontId="6" fillId="20" borderId="44" applyNumberFormat="0" applyProtection="0">
      <alignment horizontal="left" vertical="center" indent="1"/>
    </xf>
    <xf numFmtId="0" fontId="79" fillId="4" borderId="58" applyNumberFormat="0" applyAlignment="0" applyProtection="0"/>
    <xf numFmtId="4" fontId="6" fillId="34" borderId="44" applyNumberFormat="0" applyProtection="0">
      <alignment horizontal="right" vertical="center"/>
    </xf>
    <xf numFmtId="0" fontId="3" fillId="0" borderId="0"/>
    <xf numFmtId="43" fontId="3" fillId="0" borderId="0" applyFont="0" applyFill="0" applyBorder="0" applyAlignment="0" applyProtection="0"/>
    <xf numFmtId="0" fontId="17" fillId="36" borderId="42" applyNumberFormat="0" applyFont="0" applyAlignment="0" applyProtection="0"/>
    <xf numFmtId="0" fontId="17" fillId="36" borderId="48" applyNumberFormat="0" applyFont="0" applyAlignment="0" applyProtection="0"/>
    <xf numFmtId="4" fontId="6" fillId="5" borderId="45" applyNumberFormat="0" applyProtection="0">
      <alignment horizontal="right" vertical="center"/>
    </xf>
    <xf numFmtId="0" fontId="6" fillId="0" borderId="46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86" fillId="5" borderId="47" applyNumberFormat="0" applyAlignment="0" applyProtection="0"/>
    <xf numFmtId="0" fontId="32" fillId="27" borderId="45" applyNumberFormat="0" applyProtection="0">
      <alignment horizontal="left" vertical="top" indent="1"/>
    </xf>
    <xf numFmtId="0" fontId="6" fillId="0" borderId="43" applyNumberFormat="0" applyFont="0" applyFill="0" applyBorder="0" applyAlignment="0" applyProtection="0"/>
    <xf numFmtId="0" fontId="86" fillId="5" borderId="47" applyNumberFormat="0" applyAlignment="0" applyProtection="0"/>
    <xf numFmtId="0" fontId="6" fillId="0" borderId="43" applyNumberFormat="0" applyFont="0" applyFill="0" applyBorder="0" applyAlignment="0" applyProtection="0"/>
    <xf numFmtId="4" fontId="6" fillId="20" borderId="56" applyNumberFormat="0" applyProtection="0">
      <alignment horizontal="left" vertical="center" indent="1"/>
    </xf>
    <xf numFmtId="0" fontId="86" fillId="5" borderId="47" applyNumberFormat="0" applyAlignment="0" applyProtection="0"/>
    <xf numFmtId="0" fontId="6" fillId="0" borderId="43" applyNumberFormat="0" applyFont="0" applyFill="0" applyBorder="0" applyAlignment="0" applyProtection="0"/>
    <xf numFmtId="4" fontId="6" fillId="20" borderId="56" applyNumberFormat="0" applyProtection="0">
      <alignment horizontal="right" vertical="center"/>
    </xf>
    <xf numFmtId="0" fontId="17" fillId="36" borderId="48" applyNumberFormat="0" applyFont="0" applyAlignment="0" applyProtection="0"/>
    <xf numFmtId="4" fontId="32" fillId="26" borderId="44" applyNumberFormat="0" applyProtection="0">
      <alignment horizontal="left" vertical="center" indent="1"/>
    </xf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20" borderId="57" applyNumberFormat="0" applyProtection="0">
      <alignment horizontal="left" vertical="top" indent="1"/>
    </xf>
    <xf numFmtId="0" fontId="6" fillId="0" borderId="43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0" fontId="17" fillId="36" borderId="42" applyNumberFormat="0" applyFont="0" applyAlignment="0" applyProtection="0"/>
    <xf numFmtId="0" fontId="6" fillId="0" borderId="46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79" fillId="4" borderId="47" applyNumberFormat="0" applyAlignment="0" applyProtection="0"/>
    <xf numFmtId="0" fontId="6" fillId="0" borderId="43" applyNumberFormat="0" applyFont="0" applyFill="0" applyBorder="0" applyAlignment="0" applyProtection="0"/>
    <xf numFmtId="0" fontId="17" fillId="36" borderId="59" applyNumberFormat="0" applyFont="0" applyAlignment="0" applyProtection="0"/>
    <xf numFmtId="0" fontId="6" fillId="0" borderId="43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0" fontId="17" fillId="36" borderId="48" applyNumberFormat="0" applyFont="0" applyAlignment="0" applyProtection="0"/>
    <xf numFmtId="0" fontId="17" fillId="36" borderId="66" applyNumberFormat="0" applyFont="0" applyAlignment="0" applyProtection="0"/>
    <xf numFmtId="0" fontId="6" fillId="0" borderId="62" applyNumberFormat="0" applyFont="0" applyFill="0" applyBorder="0" applyAlignment="0" applyProtection="0"/>
    <xf numFmtId="0" fontId="79" fillId="4" borderId="47" applyNumberFormat="0" applyAlignment="0" applyProtection="0"/>
    <xf numFmtId="0" fontId="6" fillId="20" borderId="45" applyNumberFormat="0" applyProtection="0">
      <alignment horizontal="left" vertical="top" indent="1"/>
    </xf>
    <xf numFmtId="4" fontId="6" fillId="21" borderId="64" applyNumberFormat="0" applyProtection="0">
      <alignment horizontal="right" vertical="center"/>
    </xf>
    <xf numFmtId="0" fontId="6" fillId="0" borderId="62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17" fillId="36" borderId="42" applyNumberFormat="0" applyFont="0" applyAlignment="0" applyProtection="0"/>
    <xf numFmtId="0" fontId="6" fillId="0" borderId="43" applyNumberFormat="0" applyFont="0" applyFill="0" applyBorder="0" applyAlignment="0" applyProtection="0"/>
    <xf numFmtId="0" fontId="17" fillId="36" borderId="42" applyNumberFormat="0" applyFont="0" applyAlignment="0" applyProtection="0"/>
    <xf numFmtId="0" fontId="6" fillId="0" borderId="43" applyNumberFormat="0" applyFont="0" applyFill="0" applyBorder="0" applyAlignment="0" applyProtection="0"/>
    <xf numFmtId="4" fontId="73" fillId="28" borderId="57" applyNumberFormat="0" applyProtection="0">
      <alignment horizontal="right" vertical="center"/>
    </xf>
    <xf numFmtId="0" fontId="6" fillId="0" borderId="46" applyNumberFormat="0" applyFont="0" applyFill="0" applyBorder="0" applyAlignment="0" applyProtection="0"/>
    <xf numFmtId="0" fontId="79" fillId="4" borderId="51" applyNumberFormat="0" applyAlignment="0" applyProtection="0"/>
    <xf numFmtId="0" fontId="6" fillId="0" borderId="43" applyNumberFormat="0" applyFont="0" applyFill="0" applyBorder="0" applyAlignment="0" applyProtection="0"/>
    <xf numFmtId="0" fontId="17" fillId="36" borderId="42" applyNumberFormat="0" applyFont="0" applyAlignment="0" applyProtection="0"/>
    <xf numFmtId="0" fontId="6" fillId="0" borderId="43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4" fontId="6" fillId="20" borderId="56" applyNumberFormat="0" applyProtection="0">
      <alignment horizontal="right" vertical="center"/>
    </xf>
    <xf numFmtId="0" fontId="6" fillId="0" borderId="46" applyNumberFormat="0" applyFont="0" applyFill="0" applyBorder="0" applyAlignment="0" applyProtection="0"/>
    <xf numFmtId="0" fontId="79" fillId="4" borderId="47" applyNumberFormat="0" applyAlignment="0" applyProtection="0"/>
    <xf numFmtId="0" fontId="17" fillId="36" borderId="42" applyNumberFormat="0" applyFont="0" applyAlignment="0" applyProtection="0"/>
    <xf numFmtId="0" fontId="86" fillId="5" borderId="69" applyNumberFormat="0" applyAlignment="0" applyProtection="0"/>
    <xf numFmtId="4" fontId="6" fillId="19" borderId="57" applyNumberFormat="0" applyProtection="0">
      <alignment horizontal="right" vertical="center"/>
    </xf>
    <xf numFmtId="0" fontId="6" fillId="0" borderId="46" applyNumberFormat="0" applyFont="0" applyFill="0" applyBorder="0" applyAlignment="0" applyProtection="0"/>
    <xf numFmtId="0" fontId="17" fillId="36" borderId="42" applyNumberFormat="0" applyFont="0" applyAlignment="0" applyProtection="0"/>
    <xf numFmtId="0" fontId="6" fillId="0" borderId="46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79" fillId="4" borderId="47" applyNumberFormat="0" applyAlignment="0" applyProtection="0"/>
    <xf numFmtId="0" fontId="17" fillId="36" borderId="48" applyNumberFormat="0" applyFont="0" applyAlignment="0" applyProtection="0"/>
    <xf numFmtId="0" fontId="17" fillId="36" borderId="42" applyNumberFormat="0" applyFont="0" applyAlignment="0" applyProtection="0"/>
    <xf numFmtId="0" fontId="86" fillId="5" borderId="58" applyNumberFormat="0" applyAlignment="0" applyProtection="0"/>
    <xf numFmtId="0" fontId="17" fillId="36" borderId="66" applyNumberFormat="0" applyFont="0" applyAlignment="0" applyProtection="0"/>
    <xf numFmtId="0" fontId="6" fillId="0" borderId="43" applyNumberFormat="0" applyFont="0" applyFill="0" applyBorder="0" applyAlignment="0" applyProtection="0"/>
    <xf numFmtId="4" fontId="6" fillId="20" borderId="44" applyNumberFormat="0" applyProtection="0">
      <alignment horizontal="right" vertical="center"/>
    </xf>
    <xf numFmtId="0" fontId="6" fillId="0" borderId="46" applyNumberFormat="0" applyFont="0" applyFill="0" applyBorder="0" applyAlignment="0" applyProtection="0"/>
    <xf numFmtId="4" fontId="6" fillId="26" borderId="57" applyNumberFormat="0" applyProtection="0">
      <alignment horizontal="right" vertical="center"/>
    </xf>
    <xf numFmtId="0" fontId="17" fillId="36" borderId="42" applyNumberFormat="0" applyFont="0" applyAlignment="0" applyProtection="0"/>
    <xf numFmtId="4" fontId="32" fillId="26" borderId="56" applyNumberFormat="0" applyProtection="0">
      <alignment vertical="center"/>
    </xf>
    <xf numFmtId="4" fontId="6" fillId="21" borderId="45" applyNumberFormat="0" applyProtection="0">
      <alignment horizontal="right" vertical="center"/>
    </xf>
    <xf numFmtId="0" fontId="17" fillId="36" borderId="48" applyNumberFormat="0" applyFont="0" applyAlignment="0" applyProtection="0"/>
    <xf numFmtId="0" fontId="6" fillId="0" borderId="46" applyNumberFormat="0" applyFont="0" applyFill="0" applyBorder="0" applyAlignment="0" applyProtection="0"/>
    <xf numFmtId="0" fontId="79" fillId="4" borderId="47" applyNumberFormat="0" applyAlignment="0" applyProtection="0"/>
    <xf numFmtId="0" fontId="86" fillId="5" borderId="47" applyNumberFormat="0" applyAlignment="0" applyProtection="0"/>
    <xf numFmtId="0" fontId="86" fillId="5" borderId="58" applyNumberFormat="0" applyAlignment="0" applyProtection="0"/>
    <xf numFmtId="0" fontId="79" fillId="4" borderId="47" applyNumberFormat="0" applyAlignment="0" applyProtection="0"/>
    <xf numFmtId="0" fontId="17" fillId="36" borderId="48" applyNumberFormat="0" applyFont="0" applyAlignment="0" applyProtection="0"/>
    <xf numFmtId="4" fontId="32" fillId="26" borderId="44" applyNumberFormat="0" applyProtection="0">
      <alignment vertical="center"/>
    </xf>
    <xf numFmtId="0" fontId="6" fillId="0" borderId="46" applyNumberFormat="0" applyFont="0" applyFill="0" applyBorder="0" applyAlignment="0" applyProtection="0"/>
    <xf numFmtId="0" fontId="79" fillId="4" borderId="47" applyNumberFormat="0" applyAlignment="0" applyProtection="0"/>
    <xf numFmtId="0" fontId="86" fillId="5" borderId="69" applyNumberFormat="0" applyAlignment="0" applyProtection="0"/>
    <xf numFmtId="0" fontId="17" fillId="36" borderId="48" applyNumberFormat="0" applyFont="0" applyAlignment="0" applyProtection="0"/>
    <xf numFmtId="0" fontId="6" fillId="0" borderId="43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4" fontId="6" fillId="0" borderId="45" applyNumberFormat="0" applyProtection="0">
      <alignment horizontal="right" vertical="center"/>
    </xf>
    <xf numFmtId="0" fontId="6" fillId="0" borderId="65" applyNumberFormat="0" applyFont="0" applyFill="0" applyBorder="0" applyAlignment="0" applyProtection="0"/>
    <xf numFmtId="4" fontId="6" fillId="26" borderId="45" applyNumberFormat="0" applyProtection="0">
      <alignment horizontal="right" vertical="center"/>
    </xf>
    <xf numFmtId="4" fontId="74" fillId="33" borderId="57" applyNumberFormat="0" applyProtection="0">
      <alignment vertical="center"/>
    </xf>
    <xf numFmtId="0" fontId="91" fillId="0" borderId="68" applyNumberFormat="0" applyFill="0" applyAlignment="0" applyProtection="0"/>
    <xf numFmtId="0" fontId="6" fillId="0" borderId="43" applyNumberFormat="0" applyFont="0" applyFill="0" applyBorder="0" applyAlignment="0" applyProtection="0"/>
    <xf numFmtId="0" fontId="17" fillId="36" borderId="59" applyNumberFormat="0" applyFont="0" applyAlignment="0" applyProtection="0"/>
    <xf numFmtId="0" fontId="6" fillId="0" borderId="46" applyNumberFormat="0" applyFont="0" applyFill="0" applyBorder="0" applyAlignment="0" applyProtection="0"/>
    <xf numFmtId="0" fontId="17" fillId="36" borderId="48" applyNumberFormat="0" applyFont="0" applyAlignment="0" applyProtection="0"/>
    <xf numFmtId="0" fontId="79" fillId="4" borderId="47" applyNumberFormat="0" applyAlignment="0" applyProtection="0"/>
    <xf numFmtId="0" fontId="17" fillId="36" borderId="42" applyNumberFormat="0" applyFont="0" applyAlignment="0" applyProtection="0"/>
    <xf numFmtId="0" fontId="17" fillId="36" borderId="48" applyNumberFormat="0" applyFont="0" applyAlignment="0" applyProtection="0"/>
    <xf numFmtId="0" fontId="6" fillId="0" borderId="46" applyNumberFormat="0" applyFont="0" applyFill="0" applyBorder="0" applyAlignment="0" applyProtection="0"/>
    <xf numFmtId="0" fontId="79" fillId="4" borderId="47" applyNumberFormat="0" applyAlignment="0" applyProtection="0"/>
    <xf numFmtId="0" fontId="91" fillId="0" borderId="61" applyNumberFormat="0" applyFill="0" applyAlignment="0" applyProtection="0"/>
    <xf numFmtId="0" fontId="79" fillId="4" borderId="47" applyNumberFormat="0" applyAlignment="0" applyProtection="0"/>
    <xf numFmtId="0" fontId="6" fillId="0" borderId="65" applyNumberFormat="0" applyFont="0" applyFill="0" applyBorder="0" applyAlignment="0" applyProtection="0"/>
    <xf numFmtId="4" fontId="6" fillId="0" borderId="45" applyNumberFormat="0" applyProtection="0">
      <alignment horizontal="right" vertical="center"/>
    </xf>
    <xf numFmtId="4" fontId="32" fillId="34" borderId="56" applyNumberFormat="0" applyProtection="0">
      <alignment horizontal="right" vertical="center"/>
    </xf>
    <xf numFmtId="0" fontId="86" fillId="5" borderId="58" applyNumberFormat="0" applyAlignment="0" applyProtection="0"/>
    <xf numFmtId="0" fontId="6" fillId="0" borderId="46" applyNumberFormat="0" applyFont="0" applyFill="0" applyBorder="0" applyAlignment="0" applyProtection="0"/>
    <xf numFmtId="4" fontId="6" fillId="34" borderId="44" applyNumberFormat="0" applyProtection="0">
      <alignment horizontal="right" vertical="center"/>
    </xf>
    <xf numFmtId="0" fontId="6" fillId="20" borderId="64" applyNumberFormat="0" applyProtection="0">
      <alignment horizontal="left" vertical="top" indent="1"/>
    </xf>
    <xf numFmtId="0" fontId="6" fillId="0" borderId="65" applyNumberFormat="0" applyFont="0" applyFill="0" applyBorder="0" applyAlignment="0" applyProtection="0"/>
    <xf numFmtId="0" fontId="86" fillId="5" borderId="47" applyNumberFormat="0" applyAlignment="0" applyProtection="0"/>
    <xf numFmtId="0" fontId="17" fillId="36" borderId="42" applyNumberFormat="0" applyFont="0" applyAlignment="0" applyProtection="0"/>
    <xf numFmtId="0" fontId="6" fillId="0" borderId="43" applyNumberFormat="0" applyFont="0" applyFill="0" applyBorder="0" applyAlignment="0" applyProtection="0"/>
    <xf numFmtId="4" fontId="6" fillId="20" borderId="44" applyNumberFormat="0" applyProtection="0">
      <alignment horizontal="left" vertical="center" indent="1"/>
    </xf>
    <xf numFmtId="0" fontId="6" fillId="0" borderId="46" applyNumberFormat="0" applyFont="0" applyFill="0" applyBorder="0" applyAlignment="0" applyProtection="0"/>
    <xf numFmtId="0" fontId="79" fillId="4" borderId="47" applyNumberFormat="0" applyAlignment="0" applyProtection="0"/>
    <xf numFmtId="0" fontId="17" fillId="36" borderId="66" applyNumberFormat="0" applyFont="0" applyAlignment="0" applyProtection="0"/>
    <xf numFmtId="4" fontId="31" fillId="26" borderId="64" applyNumberFormat="0" applyProtection="0">
      <alignment vertical="center"/>
    </xf>
    <xf numFmtId="0" fontId="17" fillId="36" borderId="42" applyNumberFormat="0" applyFont="0" applyAlignment="0" applyProtection="0"/>
    <xf numFmtId="0" fontId="17" fillId="36" borderId="42" applyNumberFormat="0" applyFont="0" applyAlignment="0" applyProtection="0"/>
    <xf numFmtId="0" fontId="6" fillId="0" borderId="43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0" fontId="79" fillId="4" borderId="47" applyNumberFormat="0" applyAlignment="0" applyProtection="0"/>
    <xf numFmtId="0" fontId="79" fillId="4" borderId="58" applyNumberFormat="0" applyAlignment="0" applyProtection="0"/>
    <xf numFmtId="0" fontId="6" fillId="0" borderId="46" applyNumberFormat="0" applyFont="0" applyFill="0" applyBorder="0" applyAlignment="0" applyProtection="0"/>
    <xf numFmtId="0" fontId="79" fillId="4" borderId="58" applyNumberFormat="0" applyAlignment="0" applyProtection="0"/>
    <xf numFmtId="4" fontId="74" fillId="33" borderId="45" applyNumberFormat="0" applyProtection="0">
      <alignment vertical="center"/>
    </xf>
    <xf numFmtId="0" fontId="6" fillId="0" borderId="43" applyNumberFormat="0" applyFont="0" applyFill="0" applyBorder="0" applyAlignment="0" applyProtection="0"/>
    <xf numFmtId="0" fontId="17" fillId="36" borderId="42" applyNumberFormat="0" applyFont="0" applyAlignment="0" applyProtection="0"/>
    <xf numFmtId="0" fontId="6" fillId="0" borderId="46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6" fillId="20" borderId="56" applyNumberFormat="0" applyProtection="0">
      <alignment horizontal="left" vertical="center" indent="1"/>
    </xf>
    <xf numFmtId="0" fontId="17" fillId="36" borderId="59" applyNumberFormat="0" applyFont="0" applyAlignment="0" applyProtection="0"/>
    <xf numFmtId="4" fontId="6" fillId="26" borderId="64" applyNumberFormat="0" applyProtection="0">
      <alignment horizontal="right" vertical="center"/>
    </xf>
    <xf numFmtId="0" fontId="6" fillId="0" borderId="43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6" fillId="20" borderId="56" applyNumberFormat="0" applyProtection="0">
      <alignment horizontal="left" vertical="center" indent="1"/>
    </xf>
    <xf numFmtId="4" fontId="73" fillId="22" borderId="57" applyNumberFormat="0" applyProtection="0">
      <alignment horizontal="right" vertical="center"/>
    </xf>
    <xf numFmtId="0" fontId="17" fillId="36" borderId="48" applyNumberFormat="0" applyFont="0" applyAlignment="0" applyProtection="0"/>
    <xf numFmtId="0" fontId="6" fillId="0" borderId="43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17" fillId="36" borderId="48" applyNumberFormat="0" applyFont="0" applyAlignment="0" applyProtection="0"/>
    <xf numFmtId="0" fontId="6" fillId="20" borderId="44" applyNumberFormat="0" applyProtection="0">
      <alignment horizontal="left" vertical="center" indent="1"/>
    </xf>
    <xf numFmtId="0" fontId="86" fillId="5" borderId="47" applyNumberFormat="0" applyAlignment="0" applyProtection="0"/>
    <xf numFmtId="0" fontId="6" fillId="0" borderId="46" applyNumberFormat="0" applyFont="0" applyFill="0" applyBorder="0" applyAlignment="0" applyProtection="0"/>
    <xf numFmtId="4" fontId="73" fillId="22" borderId="45" applyNumberFormat="0" applyProtection="0">
      <alignment horizontal="right" vertical="center"/>
    </xf>
    <xf numFmtId="0" fontId="17" fillId="36" borderId="42" applyNumberFormat="0" applyFont="0" applyAlignment="0" applyProtection="0"/>
    <xf numFmtId="4" fontId="6" fillId="21" borderId="64" applyNumberFormat="0" applyProtection="0">
      <alignment horizontal="right" vertical="center"/>
    </xf>
    <xf numFmtId="0" fontId="6" fillId="0" borderId="43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4" fontId="6" fillId="20" borderId="45" applyNumberFormat="0" applyProtection="0">
      <alignment horizontal="left" vertical="center" indent="1"/>
    </xf>
    <xf numFmtId="0" fontId="17" fillId="36" borderId="59" applyNumberFormat="0" applyFont="0" applyAlignment="0" applyProtection="0"/>
    <xf numFmtId="0" fontId="6" fillId="0" borderId="62" applyNumberFormat="0" applyFont="0" applyFill="0" applyBorder="0" applyAlignment="0" applyProtection="0"/>
    <xf numFmtId="0" fontId="79" fillId="4" borderId="58" applyNumberFormat="0" applyAlignment="0" applyProtection="0"/>
    <xf numFmtId="0" fontId="6" fillId="0" borderId="43" applyNumberFormat="0" applyFont="0" applyFill="0" applyBorder="0" applyAlignment="0" applyProtection="0"/>
    <xf numFmtId="0" fontId="86" fillId="5" borderId="69" applyNumberFormat="0" applyAlignment="0" applyProtection="0"/>
    <xf numFmtId="0" fontId="6" fillId="0" borderId="43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4" fontId="6" fillId="0" borderId="64" applyNumberFormat="0" applyProtection="0">
      <alignment horizontal="right" vertical="center"/>
    </xf>
    <xf numFmtId="0" fontId="86" fillId="5" borderId="47" applyNumberFormat="0" applyAlignment="0" applyProtection="0"/>
    <xf numFmtId="4" fontId="6" fillId="21" borderId="57" applyNumberFormat="0" applyProtection="0">
      <alignment horizontal="right" vertical="center"/>
    </xf>
    <xf numFmtId="0" fontId="86" fillId="5" borderId="47" applyNumberFormat="0" applyAlignment="0" applyProtection="0"/>
    <xf numFmtId="4" fontId="32" fillId="34" borderId="44" applyNumberFormat="0" applyProtection="0">
      <alignment horizontal="right" vertical="center"/>
    </xf>
    <xf numFmtId="0" fontId="6" fillId="20" borderId="56" applyNumberFormat="0" applyProtection="0">
      <alignment horizontal="left" vertical="center" indent="1"/>
    </xf>
    <xf numFmtId="0" fontId="6" fillId="20" borderId="44" applyNumberFormat="0" applyProtection="0">
      <alignment horizontal="left" vertical="center" indent="1"/>
    </xf>
    <xf numFmtId="4" fontId="6" fillId="21" borderId="45" applyNumberFormat="0" applyProtection="0">
      <alignment horizontal="right" vertical="center"/>
    </xf>
    <xf numFmtId="0" fontId="6" fillId="0" borderId="62" applyNumberFormat="0" applyFont="0" applyFill="0" applyBorder="0" applyAlignment="0" applyProtection="0"/>
    <xf numFmtId="0" fontId="79" fillId="4" borderId="69" applyNumberFormat="0" applyAlignment="0" applyProtection="0"/>
    <xf numFmtId="0" fontId="17" fillId="36" borderId="42" applyNumberFormat="0" applyFont="0" applyAlignment="0" applyProtection="0"/>
    <xf numFmtId="0" fontId="6" fillId="20" borderId="57" applyNumberFormat="0" applyProtection="0">
      <alignment horizontal="left" vertical="top" indent="1"/>
    </xf>
    <xf numFmtId="4" fontId="6" fillId="17" borderId="57" applyNumberFormat="0" applyProtection="0">
      <alignment horizontal="right" vertical="center"/>
    </xf>
    <xf numFmtId="0" fontId="79" fillId="4" borderId="47" applyNumberFormat="0" applyAlignment="0" applyProtection="0"/>
    <xf numFmtId="0" fontId="6" fillId="0" borderId="43" applyNumberFormat="0" applyFont="0" applyFill="0" applyBorder="0" applyAlignment="0" applyProtection="0"/>
    <xf numFmtId="0" fontId="17" fillId="36" borderId="42" applyNumberFormat="0" applyFont="0" applyAlignment="0" applyProtection="0"/>
    <xf numFmtId="0" fontId="32" fillId="27" borderId="57" applyNumberFormat="0" applyProtection="0">
      <alignment horizontal="left" vertical="top" indent="1"/>
    </xf>
    <xf numFmtId="0" fontId="6" fillId="0" borderId="43" applyNumberFormat="0" applyFont="0" applyFill="0" applyBorder="0" applyAlignment="0" applyProtection="0"/>
    <xf numFmtId="0" fontId="17" fillId="36" borderId="42" applyNumberFormat="0" applyFont="0" applyAlignment="0" applyProtection="0"/>
    <xf numFmtId="0" fontId="6" fillId="0" borderId="43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4" fontId="6" fillId="19" borderId="45" applyNumberFormat="0" applyProtection="0">
      <alignment horizontal="right" vertical="center"/>
    </xf>
    <xf numFmtId="0" fontId="17" fillId="36" borderId="42" applyNumberFormat="0" applyFont="0" applyAlignment="0" applyProtection="0"/>
    <xf numFmtId="0" fontId="6" fillId="20" borderId="45" applyNumberFormat="0" applyProtection="0">
      <alignment horizontal="left" vertical="top" indent="1"/>
    </xf>
    <xf numFmtId="0" fontId="6" fillId="20" borderId="44" applyNumberFormat="0" applyProtection="0">
      <alignment horizontal="left" vertical="top" indent="1"/>
    </xf>
    <xf numFmtId="0" fontId="91" fillId="0" borderId="50" applyNumberFormat="0" applyFill="0" applyAlignment="0" applyProtection="0"/>
    <xf numFmtId="0" fontId="6" fillId="0" borderId="43" applyNumberFormat="0" applyFont="0" applyFill="0" applyBorder="0" applyAlignment="0" applyProtection="0"/>
    <xf numFmtId="0" fontId="6" fillId="20" borderId="45" applyNumberFormat="0" applyProtection="0">
      <alignment horizontal="left" vertical="top" indent="1"/>
    </xf>
    <xf numFmtId="0" fontId="6" fillId="0" borderId="43" applyNumberFormat="0" applyFont="0" applyFill="0" applyBorder="0" applyAlignment="0" applyProtection="0"/>
    <xf numFmtId="0" fontId="79" fillId="4" borderId="47" applyNumberFormat="0" applyAlignment="0" applyProtection="0"/>
    <xf numFmtId="4" fontId="6" fillId="5" borderId="45" applyNumberFormat="0" applyProtection="0">
      <alignment horizontal="right" vertical="center"/>
    </xf>
    <xf numFmtId="0" fontId="6" fillId="0" borderId="0"/>
    <xf numFmtId="43" fontId="6" fillId="0" borderId="0" applyFont="0" applyFill="0" applyBorder="0" applyAlignment="0" applyProtection="0"/>
    <xf numFmtId="0" fontId="17" fillId="36" borderId="42" applyNumberFormat="0" applyFont="0" applyAlignment="0" applyProtection="0"/>
    <xf numFmtId="0" fontId="86" fillId="5" borderId="47" applyNumberFormat="0" applyAlignment="0" applyProtection="0"/>
    <xf numFmtId="0" fontId="6" fillId="0" borderId="43" applyNumberFormat="0" applyFont="0" applyFill="0" applyBorder="0" applyAlignment="0" applyProtection="0"/>
    <xf numFmtId="0" fontId="79" fillId="4" borderId="33" applyNumberFormat="0" applyAlignment="0" applyProtection="0"/>
    <xf numFmtId="0" fontId="86" fillId="5" borderId="33" applyNumberFormat="0" applyAlignment="0" applyProtection="0"/>
    <xf numFmtId="0" fontId="6" fillId="0" borderId="62" applyNumberFormat="0" applyFont="0" applyFill="0" applyBorder="0" applyAlignment="0" applyProtection="0"/>
    <xf numFmtId="0" fontId="17" fillId="36" borderId="48" applyNumberFormat="0" applyFont="0" applyAlignment="0" applyProtection="0"/>
    <xf numFmtId="0" fontId="6" fillId="20" borderId="56" applyNumberFormat="0" applyProtection="0">
      <alignment horizontal="left" vertical="center" indent="1"/>
    </xf>
    <xf numFmtId="0" fontId="6" fillId="0" borderId="46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4" fontId="6" fillId="0" borderId="57" applyNumberFormat="0" applyProtection="0">
      <alignment horizontal="right" vertical="center"/>
    </xf>
    <xf numFmtId="0" fontId="17" fillId="36" borderId="42" applyNumberFormat="0" applyFont="0" applyAlignment="0" applyProtection="0"/>
    <xf numFmtId="0" fontId="86" fillId="5" borderId="47" applyNumberFormat="0" applyAlignment="0" applyProtection="0"/>
    <xf numFmtId="0" fontId="17" fillId="36" borderId="42" applyNumberFormat="0" applyFont="0" applyAlignment="0" applyProtection="0"/>
    <xf numFmtId="0" fontId="6" fillId="0" borderId="43" applyNumberFormat="0" applyFont="0" applyFill="0" applyBorder="0" applyAlignment="0" applyProtection="0"/>
    <xf numFmtId="0" fontId="17" fillId="36" borderId="42" applyNumberFormat="0" applyFont="0" applyAlignment="0" applyProtection="0"/>
    <xf numFmtId="43" fontId="6" fillId="0" borderId="0" applyFont="0" applyFill="0" applyBorder="0" applyAlignment="0" applyProtection="0"/>
    <xf numFmtId="0" fontId="86" fillId="5" borderId="47" applyNumberForma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46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86" fillId="5" borderId="33" applyNumberFormat="0" applyAlignment="0" applyProtection="0"/>
    <xf numFmtId="0" fontId="17" fillId="36" borderId="39" applyNumberFormat="0" applyFont="0" applyAlignment="0" applyProtection="0"/>
    <xf numFmtId="0" fontId="86" fillId="5" borderId="33" applyNumberFormat="0" applyAlignment="0" applyProtection="0"/>
    <xf numFmtId="0" fontId="17" fillId="36" borderId="39" applyNumberFormat="0" applyFont="0" applyAlignment="0" applyProtection="0"/>
    <xf numFmtId="0" fontId="79" fillId="4" borderId="33" applyNumberFormat="0" applyAlignment="0" applyProtection="0"/>
    <xf numFmtId="0" fontId="6" fillId="0" borderId="32" applyNumberFormat="0" applyFont="0" applyFill="0" applyBorder="0" applyAlignment="0" applyProtection="0"/>
    <xf numFmtId="0" fontId="86" fillId="5" borderId="33" applyNumberFormat="0" applyAlignment="0" applyProtection="0"/>
    <xf numFmtId="0" fontId="6" fillId="0" borderId="32" applyNumberFormat="0" applyFont="0" applyFill="0" applyBorder="0" applyAlignment="0" applyProtection="0"/>
    <xf numFmtId="0" fontId="86" fillId="5" borderId="33" applyNumberFormat="0" applyAlignment="0" applyProtection="0"/>
    <xf numFmtId="0" fontId="17" fillId="36" borderId="39" applyNumberFormat="0" applyFont="0" applyAlignment="0" applyProtection="0"/>
    <xf numFmtId="0" fontId="6" fillId="0" borderId="32" applyNumberFormat="0" applyFont="0" applyFill="0" applyBorder="0" applyAlignment="0" applyProtection="0"/>
    <xf numFmtId="0" fontId="86" fillId="5" borderId="33" applyNumberFormat="0" applyAlignment="0" applyProtection="0"/>
    <xf numFmtId="0" fontId="6" fillId="0" borderId="32" applyNumberFormat="0" applyFont="0" applyFill="0" applyBorder="0" applyAlignment="0" applyProtection="0"/>
    <xf numFmtId="0" fontId="86" fillId="5" borderId="33" applyNumberFormat="0" applyAlignment="0" applyProtection="0"/>
    <xf numFmtId="0" fontId="17" fillId="36" borderId="39" applyNumberFormat="0" applyFont="0" applyAlignment="0" applyProtection="0"/>
    <xf numFmtId="0" fontId="79" fillId="4" borderId="33" applyNumberFormat="0" applyAlignment="0" applyProtection="0"/>
    <xf numFmtId="0" fontId="86" fillId="5" borderId="33" applyNumberFormat="0" applyAlignment="0" applyProtection="0"/>
    <xf numFmtId="0" fontId="6" fillId="0" borderId="32" applyNumberFormat="0" applyFont="0" applyFill="0" applyBorder="0" applyAlignment="0" applyProtection="0"/>
    <xf numFmtId="0" fontId="17" fillId="36" borderId="39" applyNumberFormat="0" applyFont="0" applyAlignment="0" applyProtection="0"/>
    <xf numFmtId="0" fontId="6" fillId="0" borderId="32" applyNumberFormat="0" applyFont="0" applyFill="0" applyBorder="0" applyAlignment="0" applyProtection="0"/>
    <xf numFmtId="0" fontId="86" fillId="5" borderId="33" applyNumberFormat="0" applyAlignment="0" applyProtection="0"/>
    <xf numFmtId="0" fontId="79" fillId="4" borderId="33" applyNumberFormat="0" applyAlignment="0" applyProtection="0"/>
    <xf numFmtId="0" fontId="6" fillId="0" borderId="32" applyNumberFormat="0" applyFont="0" applyFill="0" applyBorder="0" applyAlignment="0" applyProtection="0"/>
    <xf numFmtId="0" fontId="79" fillId="4" borderId="33" applyNumberFormat="0" applyAlignment="0" applyProtection="0"/>
    <xf numFmtId="0" fontId="6" fillId="0" borderId="32" applyNumberFormat="0" applyFont="0" applyFill="0" applyBorder="0" applyAlignment="0" applyProtection="0"/>
    <xf numFmtId="0" fontId="86" fillId="5" borderId="33" applyNumberFormat="0" applyAlignment="0" applyProtection="0"/>
    <xf numFmtId="0" fontId="6" fillId="0" borderId="32" applyNumberFormat="0" applyFont="0" applyFill="0" applyBorder="0" applyAlignment="0" applyProtection="0"/>
    <xf numFmtId="0" fontId="79" fillId="4" borderId="33" applyNumberFormat="0" applyAlignment="0" applyProtection="0"/>
    <xf numFmtId="0" fontId="79" fillId="4" borderId="33" applyNumberFormat="0" applyAlignment="0" applyProtection="0"/>
    <xf numFmtId="0" fontId="17" fillId="36" borderId="39" applyNumberFormat="0" applyFont="0" applyAlignment="0" applyProtection="0"/>
    <xf numFmtId="0" fontId="17" fillId="36" borderId="39" applyNumberFormat="0" applyFont="0" applyAlignment="0" applyProtection="0"/>
    <xf numFmtId="0" fontId="17" fillId="36" borderId="39" applyNumberFormat="0" applyFont="0" applyAlignment="0" applyProtection="0"/>
    <xf numFmtId="0" fontId="17" fillId="36" borderId="39" applyNumberFormat="0" applyFont="0" applyAlignment="0" applyProtection="0"/>
    <xf numFmtId="0" fontId="17" fillId="36" borderId="39" applyNumberFormat="0" applyFont="0" applyAlignment="0" applyProtection="0"/>
    <xf numFmtId="0" fontId="17" fillId="36" borderId="39" applyNumberFormat="0" applyFont="0" applyAlignment="0" applyProtection="0"/>
    <xf numFmtId="0" fontId="17" fillId="36" borderId="39" applyNumberFormat="0" applyFont="0" applyAlignment="0" applyProtection="0"/>
    <xf numFmtId="0" fontId="17" fillId="36" borderId="39" applyNumberFormat="0" applyFont="0" applyAlignment="0" applyProtection="0"/>
    <xf numFmtId="0" fontId="17" fillId="36" borderId="39" applyNumberFormat="0" applyFont="0" applyAlignment="0" applyProtection="0"/>
    <xf numFmtId="0" fontId="17" fillId="36" borderId="39" applyNumberFormat="0" applyFont="0" applyAlignment="0" applyProtection="0"/>
    <xf numFmtId="0" fontId="79" fillId="4" borderId="33" applyNumberFormat="0" applyAlignment="0" applyProtection="0"/>
    <xf numFmtId="0" fontId="86" fillId="5" borderId="33" applyNumberFormat="0" applyAlignment="0" applyProtection="0"/>
    <xf numFmtId="0" fontId="79" fillId="4" borderId="33" applyNumberFormat="0" applyAlignment="0" applyProtection="0"/>
    <xf numFmtId="0" fontId="6" fillId="0" borderId="32" applyNumberFormat="0" applyFont="0" applyFill="0" applyBorder="0" applyAlignment="0" applyProtection="0"/>
    <xf numFmtId="0" fontId="86" fillId="5" borderId="33" applyNumberFormat="0" applyAlignment="0" applyProtection="0"/>
    <xf numFmtId="0" fontId="6" fillId="0" borderId="32" applyNumberFormat="0" applyFont="0" applyFill="0" applyBorder="0" applyAlignment="0" applyProtection="0"/>
    <xf numFmtId="0" fontId="79" fillId="4" borderId="33" applyNumberFormat="0" applyAlignment="0" applyProtection="0"/>
    <xf numFmtId="0" fontId="79" fillId="4" borderId="33" applyNumberFormat="0" applyAlignment="0" applyProtection="0"/>
    <xf numFmtId="0" fontId="17" fillId="36" borderId="39" applyNumberFormat="0" applyFont="0" applyAlignment="0" applyProtection="0"/>
    <xf numFmtId="0" fontId="86" fillId="5" borderId="33" applyNumberFormat="0" applyAlignment="0" applyProtection="0"/>
    <xf numFmtId="0" fontId="17" fillId="36" borderId="39" applyNumberFormat="0" applyFont="0" applyAlignment="0" applyProtection="0"/>
    <xf numFmtId="0" fontId="86" fillId="5" borderId="33" applyNumberFormat="0" applyAlignment="0" applyProtection="0"/>
    <xf numFmtId="0" fontId="6" fillId="0" borderId="32" applyNumberFormat="0" applyFont="0" applyFill="0" applyBorder="0" applyAlignment="0" applyProtection="0"/>
    <xf numFmtId="0" fontId="79" fillId="4" borderId="33" applyNumberFormat="0" applyAlignment="0" applyProtection="0"/>
    <xf numFmtId="0" fontId="86" fillId="5" borderId="33" applyNumberFormat="0" applyAlignment="0" applyProtection="0"/>
    <xf numFmtId="0" fontId="6" fillId="0" borderId="32" applyNumberFormat="0" applyFont="0" applyFill="0" applyBorder="0" applyAlignment="0" applyProtection="0"/>
    <xf numFmtId="0" fontId="86" fillId="5" borderId="33" applyNumberFormat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17" fillId="36" borderId="39" applyNumberFormat="0" applyFont="0" applyAlignment="0" applyProtection="0"/>
    <xf numFmtId="0" fontId="86" fillId="5" borderId="33" applyNumberFormat="0" applyAlignment="0" applyProtection="0"/>
    <xf numFmtId="0" fontId="6" fillId="0" borderId="32" applyNumberFormat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9" fillId="4" borderId="33" applyNumberFormat="0" applyAlignment="0" applyProtection="0"/>
    <xf numFmtId="0" fontId="6" fillId="0" borderId="32" applyNumberFormat="0" applyFont="0" applyFill="0" applyBorder="0" applyAlignment="0" applyProtection="0"/>
    <xf numFmtId="0" fontId="86" fillId="5" borderId="33" applyNumberFormat="0" applyAlignment="0" applyProtection="0"/>
    <xf numFmtId="0" fontId="6" fillId="0" borderId="32" applyNumberFormat="0" applyFont="0" applyFill="0" applyBorder="0" applyAlignment="0" applyProtection="0"/>
    <xf numFmtId="0" fontId="79" fillId="4" borderId="33" applyNumberFormat="0" applyAlignment="0" applyProtection="0"/>
    <xf numFmtId="0" fontId="17" fillId="36" borderId="39" applyNumberFormat="0" applyFont="0" applyAlignment="0" applyProtection="0"/>
    <xf numFmtId="0" fontId="86" fillId="5" borderId="33" applyNumberFormat="0" applyAlignment="0" applyProtection="0"/>
    <xf numFmtId="0" fontId="79" fillId="4" borderId="33" applyNumberFormat="0" applyAlignment="0" applyProtection="0"/>
    <xf numFmtId="0" fontId="86" fillId="5" borderId="33" applyNumberFormat="0" applyAlignment="0" applyProtection="0"/>
    <xf numFmtId="0" fontId="6" fillId="20" borderId="57" applyNumberFormat="0" applyProtection="0">
      <alignment horizontal="left" vertical="top" indent="1"/>
    </xf>
    <xf numFmtId="0" fontId="6" fillId="0" borderId="32" applyNumberFormat="0" applyFont="0" applyFill="0" applyBorder="0" applyAlignment="0" applyProtection="0"/>
    <xf numFmtId="0" fontId="79" fillId="4" borderId="33" applyNumberFormat="0" applyAlignment="0" applyProtection="0"/>
    <xf numFmtId="0" fontId="6" fillId="0" borderId="32" applyNumberFormat="0" applyFont="0" applyFill="0" applyBorder="0" applyAlignment="0" applyProtection="0"/>
    <xf numFmtId="0" fontId="79" fillId="4" borderId="33" applyNumberFormat="0" applyAlignment="0" applyProtection="0"/>
    <xf numFmtId="0" fontId="6" fillId="0" borderId="32" applyNumberFormat="0" applyFont="0" applyFill="0" applyBorder="0" applyAlignment="0" applyProtection="0"/>
    <xf numFmtId="0" fontId="79" fillId="4" borderId="33" applyNumberFormat="0" applyAlignment="0" applyProtection="0"/>
    <xf numFmtId="0" fontId="6" fillId="0" borderId="32" applyNumberFormat="0" applyFont="0" applyFill="0" applyBorder="0" applyAlignment="0" applyProtection="0"/>
    <xf numFmtId="0" fontId="79" fillId="4" borderId="33" applyNumberFormat="0" applyAlignment="0" applyProtection="0"/>
    <xf numFmtId="0" fontId="6" fillId="0" borderId="32" applyNumberFormat="0" applyFont="0" applyFill="0" applyBorder="0" applyAlignment="0" applyProtection="0"/>
    <xf numFmtId="0" fontId="79" fillId="4" borderId="33" applyNumberFormat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6" fillId="0" borderId="32" applyNumberFormat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6" fillId="5" borderId="47" applyNumberFormat="0" applyAlignment="0" applyProtection="0"/>
    <xf numFmtId="0" fontId="6" fillId="0" borderId="43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86" fillId="5" borderId="47" applyNumberFormat="0" applyAlignment="0" applyProtection="0"/>
    <xf numFmtId="0" fontId="17" fillId="36" borderId="59" applyNumberFormat="0" applyFont="0" applyAlignment="0" applyProtection="0"/>
    <xf numFmtId="0" fontId="17" fillId="36" borderId="42" applyNumberFormat="0" applyFont="0" applyAlignment="0" applyProtection="0"/>
    <xf numFmtId="0" fontId="6" fillId="0" borderId="46" applyNumberFormat="0" applyFont="0" applyFill="0" applyBorder="0" applyAlignment="0" applyProtection="0"/>
    <xf numFmtId="0" fontId="79" fillId="4" borderId="47" applyNumberFormat="0" applyAlignment="0" applyProtection="0"/>
    <xf numFmtId="0" fontId="79" fillId="4" borderId="47" applyNumberFormat="0" applyAlignment="0" applyProtection="0"/>
    <xf numFmtId="0" fontId="6" fillId="0" borderId="46" applyNumberFormat="0" applyFont="0" applyFill="0" applyBorder="0" applyAlignment="0" applyProtection="0"/>
    <xf numFmtId="0" fontId="17" fillId="36" borderId="42" applyNumberFormat="0" applyFont="0" applyAlignment="0" applyProtection="0"/>
    <xf numFmtId="0" fontId="6" fillId="0" borderId="43" applyNumberFormat="0" applyFont="0" applyFill="0" applyBorder="0" applyAlignment="0" applyProtection="0"/>
    <xf numFmtId="0" fontId="79" fillId="4" borderId="47" applyNumberFormat="0" applyAlignment="0" applyProtection="0"/>
    <xf numFmtId="0" fontId="17" fillId="36" borderId="59" applyNumberFormat="0" applyFont="0" applyAlignment="0" applyProtection="0"/>
    <xf numFmtId="0" fontId="86" fillId="5" borderId="47" applyNumberFormat="0" applyAlignment="0" applyProtection="0"/>
    <xf numFmtId="0" fontId="6" fillId="0" borderId="43" applyNumberFormat="0" applyFont="0" applyFill="0" applyBorder="0" applyAlignment="0" applyProtection="0"/>
    <xf numFmtId="0" fontId="86" fillId="5" borderId="47" applyNumberFormat="0" applyAlignment="0" applyProtection="0"/>
    <xf numFmtId="0" fontId="6" fillId="20" borderId="56" applyNumberFormat="0" applyProtection="0">
      <alignment horizontal="left" vertical="top" indent="1"/>
    </xf>
    <xf numFmtId="0" fontId="86" fillId="5" borderId="47" applyNumberFormat="0" applyAlignment="0" applyProtection="0"/>
    <xf numFmtId="0" fontId="17" fillId="36" borderId="42" applyNumberFormat="0" applyFont="0" applyAlignment="0" applyProtection="0"/>
    <xf numFmtId="0" fontId="6" fillId="0" borderId="43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0" fontId="17" fillId="36" borderId="42" applyNumberFormat="0" applyFont="0" applyAlignment="0" applyProtection="0"/>
    <xf numFmtId="0" fontId="79" fillId="4" borderId="69" applyNumberFormat="0" applyAlignment="0" applyProtection="0"/>
    <xf numFmtId="0" fontId="79" fillId="4" borderId="47" applyNumberFormat="0" applyAlignment="0" applyProtection="0"/>
    <xf numFmtId="0" fontId="17" fillId="36" borderId="42" applyNumberFormat="0" applyFont="0" applyAlignment="0" applyProtection="0"/>
    <xf numFmtId="0" fontId="6" fillId="0" borderId="46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0" fontId="6" fillId="20" borderId="56" applyNumberFormat="0" applyProtection="0">
      <alignment horizontal="left" vertical="center" indent="1"/>
    </xf>
    <xf numFmtId="0" fontId="6" fillId="0" borderId="43" applyNumberFormat="0" applyFont="0" applyFill="0" applyBorder="0" applyAlignment="0" applyProtection="0"/>
    <xf numFmtId="0" fontId="17" fillId="36" borderId="42" applyNumberFormat="0" applyFont="0" applyAlignment="0" applyProtection="0"/>
    <xf numFmtId="0" fontId="17" fillId="36" borderId="48" applyNumberFormat="0" applyFont="0" applyAlignment="0" applyProtection="0"/>
    <xf numFmtId="0" fontId="89" fillId="4" borderId="60" applyNumberFormat="0" applyAlignment="0" applyProtection="0"/>
    <xf numFmtId="0" fontId="6" fillId="0" borderId="46" applyNumberFormat="0" applyFont="0" applyFill="0" applyBorder="0" applyAlignment="0" applyProtection="0"/>
    <xf numFmtId="0" fontId="86" fillId="5" borderId="58" applyNumberFormat="0" applyAlignment="0" applyProtection="0"/>
    <xf numFmtId="0" fontId="6" fillId="0" borderId="46" applyNumberFormat="0" applyFont="0" applyFill="0" applyBorder="0" applyAlignment="0" applyProtection="0"/>
    <xf numFmtId="0" fontId="17" fillId="36" borderId="48" applyNumberFormat="0" applyFont="0" applyAlignment="0" applyProtection="0"/>
    <xf numFmtId="0" fontId="86" fillId="5" borderId="47" applyNumberFormat="0" applyAlignment="0" applyProtection="0"/>
    <xf numFmtId="0" fontId="6" fillId="0" borderId="46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79" fillId="4" borderId="58" applyNumberFormat="0" applyAlignment="0" applyProtection="0"/>
    <xf numFmtId="0" fontId="6" fillId="0" borderId="46" applyNumberFormat="0" applyFont="0" applyFill="0" applyBorder="0" applyAlignment="0" applyProtection="0"/>
    <xf numFmtId="0" fontId="86" fillId="5" borderId="58" applyNumberFormat="0" applyAlignment="0" applyProtection="0"/>
    <xf numFmtId="0" fontId="6" fillId="0" borderId="43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86" fillId="5" borderId="47" applyNumberFormat="0" applyAlignment="0" applyProtection="0"/>
    <xf numFmtId="0" fontId="17" fillId="36" borderId="42" applyNumberFormat="0" applyFont="0" applyAlignment="0" applyProtection="0"/>
    <xf numFmtId="0" fontId="6" fillId="0" borderId="43" applyNumberFormat="0" applyFont="0" applyFill="0" applyBorder="0" applyAlignment="0" applyProtection="0"/>
    <xf numFmtId="0" fontId="6" fillId="0" borderId="43" applyNumberFormat="0" applyFont="0" applyFill="0" applyBorder="0" applyAlignment="0" applyProtection="0"/>
    <xf numFmtId="0" fontId="17" fillId="36" borderId="42" applyNumberFormat="0" applyFont="0" applyAlignment="0" applyProtection="0"/>
    <xf numFmtId="0" fontId="6" fillId="0" borderId="43" applyNumberFormat="0" applyFont="0" applyFill="0" applyBorder="0" applyAlignment="0" applyProtection="0"/>
    <xf numFmtId="0" fontId="86" fillId="5" borderId="47" applyNumberFormat="0" applyAlignment="0" applyProtection="0"/>
    <xf numFmtId="0" fontId="17" fillId="36" borderId="42" applyNumberFormat="0" applyFont="0" applyAlignment="0" applyProtection="0"/>
    <xf numFmtId="0" fontId="17" fillId="36" borderId="59" applyNumberFormat="0" applyFont="0" applyAlignment="0" applyProtection="0"/>
    <xf numFmtId="4" fontId="73" fillId="29" borderId="57" applyNumberFormat="0" applyProtection="0">
      <alignment horizontal="right" vertical="center"/>
    </xf>
    <xf numFmtId="4" fontId="32" fillId="26" borderId="56" applyNumberFormat="0" applyProtection="0">
      <alignment horizontal="left" vertical="center" indent="1"/>
    </xf>
    <xf numFmtId="0" fontId="6" fillId="0" borderId="43" applyNumberFormat="0" applyFont="0" applyFill="0" applyBorder="0" applyAlignment="0" applyProtection="0"/>
    <xf numFmtId="0" fontId="79" fillId="4" borderId="47" applyNumberFormat="0" applyAlignment="0" applyProtection="0"/>
    <xf numFmtId="0" fontId="17" fillId="36" borderId="42" applyNumberFormat="0" applyFont="0" applyAlignment="0" applyProtection="0"/>
    <xf numFmtId="0" fontId="79" fillId="4" borderId="58" applyNumberFormat="0" applyAlignment="0" applyProtection="0"/>
    <xf numFmtId="0" fontId="86" fillId="5" borderId="69" applyNumberFormat="0" applyAlignment="0" applyProtection="0"/>
    <xf numFmtId="0" fontId="17" fillId="36" borderId="66" applyNumberFormat="0" applyFont="0" applyAlignment="0" applyProtection="0"/>
    <xf numFmtId="0" fontId="86" fillId="5" borderId="69" applyNumberFormat="0" applyAlignment="0" applyProtection="0"/>
    <xf numFmtId="0" fontId="6" fillId="0" borderId="46" applyNumberFormat="0" applyFont="0" applyFill="0" applyBorder="0" applyAlignment="0" applyProtection="0"/>
    <xf numFmtId="0" fontId="17" fillId="36" borderId="48" applyNumberFormat="0" applyFont="0" applyAlignment="0" applyProtection="0"/>
    <xf numFmtId="0" fontId="86" fillId="5" borderId="47" applyNumberFormat="0" applyAlignment="0" applyProtection="0"/>
    <xf numFmtId="0" fontId="6" fillId="0" borderId="46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0" fontId="86" fillId="5" borderId="47" applyNumberFormat="0" applyAlignment="0" applyProtection="0"/>
    <xf numFmtId="0" fontId="79" fillId="4" borderId="47" applyNumberFormat="0" applyAlignment="0" applyProtection="0"/>
    <xf numFmtId="0" fontId="86" fillId="5" borderId="58" applyNumberFormat="0" applyAlignment="0" applyProtection="0"/>
    <xf numFmtId="0" fontId="79" fillId="4" borderId="58" applyNumberFormat="0" applyAlignment="0" applyProtection="0"/>
    <xf numFmtId="0" fontId="6" fillId="20" borderId="63" applyNumberFormat="0" applyProtection="0">
      <alignment horizontal="left" vertical="center" indent="1"/>
    </xf>
    <xf numFmtId="0" fontId="86" fillId="5" borderId="47" applyNumberFormat="0" applyAlignment="0" applyProtection="0"/>
    <xf numFmtId="0" fontId="86" fillId="5" borderId="47" applyNumberFormat="0" applyAlignment="0" applyProtection="0"/>
    <xf numFmtId="0" fontId="89" fillId="4" borderId="49" applyNumberFormat="0" applyAlignment="0" applyProtection="0"/>
    <xf numFmtId="0" fontId="6" fillId="0" borderId="65" applyNumberFormat="0" applyFont="0" applyFill="0" applyBorder="0" applyAlignment="0" applyProtection="0"/>
    <xf numFmtId="0" fontId="17" fillId="36" borderId="48" applyNumberFormat="0" applyFont="0" applyAlignment="0" applyProtection="0"/>
    <xf numFmtId="0" fontId="6" fillId="0" borderId="46" applyNumberFormat="0" applyFont="0" applyFill="0" applyBorder="0" applyAlignment="0" applyProtection="0"/>
    <xf numFmtId="0" fontId="17" fillId="36" borderId="66" applyNumberFormat="0" applyFont="0" applyAlignment="0" applyProtection="0"/>
    <xf numFmtId="0" fontId="6" fillId="0" borderId="65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0" fontId="86" fillId="5" borderId="47" applyNumberFormat="0" applyAlignment="0" applyProtection="0"/>
    <xf numFmtId="0" fontId="86" fillId="5" borderId="47" applyNumberFormat="0" applyAlignment="0" applyProtection="0"/>
    <xf numFmtId="0" fontId="17" fillId="36" borderId="48" applyNumberFormat="0" applyFont="0" applyAlignment="0" applyProtection="0"/>
    <xf numFmtId="4" fontId="6" fillId="17" borderId="64" applyNumberFormat="0" applyProtection="0">
      <alignment horizontal="right" vertical="center"/>
    </xf>
    <xf numFmtId="0" fontId="6" fillId="0" borderId="46" applyNumberFormat="0" applyFont="0" applyFill="0" applyBorder="0" applyAlignment="0" applyProtection="0"/>
    <xf numFmtId="0" fontId="6" fillId="20" borderId="57" applyNumberFormat="0" applyProtection="0">
      <alignment horizontal="left" vertical="top" indent="1"/>
    </xf>
    <xf numFmtId="0" fontId="86" fillId="5" borderId="58" applyNumberFormat="0" applyAlignment="0" applyProtection="0"/>
    <xf numFmtId="0" fontId="17" fillId="36" borderId="48" applyNumberFormat="0" applyFont="0" applyAlignment="0" applyProtection="0"/>
    <xf numFmtId="0" fontId="6" fillId="0" borderId="62" applyNumberFormat="0" applyFont="0" applyFill="0" applyBorder="0" applyAlignment="0" applyProtection="0"/>
    <xf numFmtId="0" fontId="17" fillId="36" borderId="48" applyNumberFormat="0" applyFont="0" applyAlignment="0" applyProtection="0"/>
    <xf numFmtId="0" fontId="17" fillId="36" borderId="59" applyNumberFormat="0" applyFont="0" applyAlignment="0" applyProtection="0"/>
    <xf numFmtId="0" fontId="17" fillId="36" borderId="59" applyNumberFormat="0" applyFont="0" applyAlignment="0" applyProtection="0"/>
    <xf numFmtId="0" fontId="6" fillId="0" borderId="46" applyNumberFormat="0" applyFont="0" applyFill="0" applyBorder="0" applyAlignment="0" applyProtection="0"/>
    <xf numFmtId="0" fontId="79" fillId="4" borderId="69" applyNumberFormat="0" applyAlignment="0" applyProtection="0"/>
    <xf numFmtId="0" fontId="17" fillId="36" borderId="48" applyNumberFormat="0" applyFont="0" applyAlignment="0" applyProtection="0"/>
    <xf numFmtId="0" fontId="6" fillId="20" borderId="44" applyNumberFormat="0" applyProtection="0">
      <alignment horizontal="left" vertical="center" indent="1"/>
    </xf>
    <xf numFmtId="0" fontId="17" fillId="36" borderId="66" applyNumberFormat="0" applyFont="0" applyAlignment="0" applyProtection="0"/>
    <xf numFmtId="0" fontId="79" fillId="4" borderId="47" applyNumberFormat="0" applyAlignment="0" applyProtection="0"/>
    <xf numFmtId="0" fontId="79" fillId="4" borderId="47" applyNumberFormat="0" applyAlignment="0" applyProtection="0"/>
    <xf numFmtId="0" fontId="79" fillId="4" borderId="58" applyNumberFormat="0" applyAlignment="0" applyProtection="0"/>
    <xf numFmtId="0" fontId="17" fillId="36" borderId="66" applyNumberFormat="0" applyFont="0" applyAlignment="0" applyProtection="0"/>
    <xf numFmtId="0" fontId="6" fillId="0" borderId="46" applyNumberFormat="0" applyFont="0" applyFill="0" applyBorder="0" applyAlignment="0" applyProtection="0"/>
    <xf numFmtId="0" fontId="86" fillId="5" borderId="47" applyNumberFormat="0" applyAlignment="0" applyProtection="0"/>
    <xf numFmtId="0" fontId="79" fillId="4" borderId="47" applyNumberFormat="0" applyAlignment="0" applyProtection="0"/>
    <xf numFmtId="0" fontId="86" fillId="5" borderId="51" applyNumberFormat="0" applyAlignment="0" applyProtection="0"/>
    <xf numFmtId="0" fontId="6" fillId="0" borderId="46" applyNumberFormat="0" applyFont="0" applyFill="0" applyBorder="0" applyAlignment="0" applyProtection="0"/>
    <xf numFmtId="0" fontId="79" fillId="4" borderId="58" applyNumberFormat="0" applyAlignment="0" applyProtection="0"/>
    <xf numFmtId="0" fontId="6" fillId="0" borderId="46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0" fontId="79" fillId="4" borderId="47" applyNumberFormat="0" applyAlignment="0" applyProtection="0"/>
    <xf numFmtId="0" fontId="79" fillId="4" borderId="47" applyNumberFormat="0" applyAlignment="0" applyProtection="0"/>
    <xf numFmtId="0" fontId="6" fillId="0" borderId="62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0" fontId="6" fillId="20" borderId="44" applyNumberFormat="0" applyProtection="0">
      <alignment horizontal="left" vertical="center" indent="1"/>
    </xf>
    <xf numFmtId="0" fontId="6" fillId="0" borderId="46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86" fillId="5" borderId="47" applyNumberFormat="0" applyAlignment="0" applyProtection="0"/>
    <xf numFmtId="0" fontId="79" fillId="4" borderId="47" applyNumberFormat="0" applyAlignment="0" applyProtection="0"/>
    <xf numFmtId="0" fontId="17" fillId="36" borderId="48" applyNumberFormat="0" applyFont="0" applyAlignment="0" applyProtection="0"/>
    <xf numFmtId="0" fontId="6" fillId="0" borderId="46" applyNumberFormat="0" applyFont="0" applyFill="0" applyBorder="0" applyAlignment="0" applyProtection="0"/>
    <xf numFmtId="0" fontId="6" fillId="0" borderId="46" applyNumberFormat="0" applyFont="0" applyFill="0" applyBorder="0" applyAlignment="0" applyProtection="0"/>
    <xf numFmtId="0" fontId="17" fillId="36" borderId="48" applyNumberFormat="0" applyFont="0" applyAlignment="0" applyProtection="0"/>
    <xf numFmtId="0" fontId="6" fillId="0" borderId="46" applyNumberFormat="0" applyFont="0" applyFill="0" applyBorder="0" applyAlignment="0" applyProtection="0"/>
    <xf numFmtId="0" fontId="6" fillId="20" borderId="63" applyNumberFormat="0" applyProtection="0">
      <alignment horizontal="left" vertical="top" indent="1"/>
    </xf>
    <xf numFmtId="0" fontId="17" fillId="36" borderId="66" applyNumberFormat="0" applyFont="0" applyAlignment="0" applyProtection="0"/>
    <xf numFmtId="0" fontId="17" fillId="36" borderId="48" applyNumberFormat="0" applyFont="0" applyAlignment="0" applyProtection="0"/>
    <xf numFmtId="0" fontId="6" fillId="20" borderId="45" applyNumberFormat="0" applyProtection="0">
      <alignment horizontal="left" vertical="top" indent="1"/>
    </xf>
    <xf numFmtId="0" fontId="86" fillId="5" borderId="47" applyNumberFormat="0" applyAlignment="0" applyProtection="0"/>
    <xf numFmtId="0" fontId="6" fillId="0" borderId="46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86" fillId="5" borderId="47" applyNumberFormat="0" applyAlignment="0" applyProtection="0"/>
    <xf numFmtId="0" fontId="17" fillId="36" borderId="48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32" fillId="34" borderId="63" applyNumberFormat="0" applyProtection="0">
      <alignment horizontal="right" vertical="center"/>
    </xf>
    <xf numFmtId="0" fontId="6" fillId="0" borderId="62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17" fillId="36" borderId="59" applyNumberFormat="0" applyFont="0" applyAlignment="0" applyProtection="0"/>
    <xf numFmtId="4" fontId="6" fillId="17" borderId="57" applyNumberFormat="0" applyProtection="0">
      <alignment horizontal="right" vertical="center"/>
    </xf>
    <xf numFmtId="0" fontId="6" fillId="0" borderId="55" applyNumberFormat="0" applyFont="0" applyFill="0" applyBorder="0" applyAlignment="0" applyProtection="0"/>
    <xf numFmtId="0" fontId="86" fillId="5" borderId="51" applyNumberFormat="0" applyAlignment="0" applyProtection="0"/>
    <xf numFmtId="0" fontId="17" fillId="36" borderId="52" applyNumberFormat="0" applyFont="0" applyAlignment="0" applyProtection="0"/>
    <xf numFmtId="0" fontId="86" fillId="5" borderId="51" applyNumberFormat="0" applyAlignment="0" applyProtection="0"/>
    <xf numFmtId="0" fontId="17" fillId="36" borderId="52" applyNumberFormat="0" applyFont="0" applyAlignment="0" applyProtection="0"/>
    <xf numFmtId="0" fontId="79" fillId="4" borderId="51" applyNumberFormat="0" applyAlignment="0" applyProtection="0"/>
    <xf numFmtId="0" fontId="6" fillId="0" borderId="55" applyNumberFormat="0" applyFont="0" applyFill="0" applyBorder="0" applyAlignment="0" applyProtection="0"/>
    <xf numFmtId="0" fontId="86" fillId="5" borderId="51" applyNumberFormat="0" applyAlignment="0" applyProtection="0"/>
    <xf numFmtId="0" fontId="6" fillId="0" borderId="55" applyNumberFormat="0" applyFont="0" applyFill="0" applyBorder="0" applyAlignment="0" applyProtection="0"/>
    <xf numFmtId="0" fontId="86" fillId="5" borderId="51" applyNumberFormat="0" applyAlignment="0" applyProtection="0"/>
    <xf numFmtId="0" fontId="17" fillId="36" borderId="52" applyNumberFormat="0" applyFont="0" applyAlignment="0" applyProtection="0"/>
    <xf numFmtId="0" fontId="6" fillId="0" borderId="55" applyNumberFormat="0" applyFont="0" applyFill="0" applyBorder="0" applyAlignment="0" applyProtection="0"/>
    <xf numFmtId="0" fontId="86" fillId="5" borderId="51" applyNumberFormat="0" applyAlignment="0" applyProtection="0"/>
    <xf numFmtId="0" fontId="6" fillId="0" borderId="55" applyNumberFormat="0" applyFont="0" applyFill="0" applyBorder="0" applyAlignment="0" applyProtection="0"/>
    <xf numFmtId="0" fontId="86" fillId="5" borderId="51" applyNumberFormat="0" applyAlignment="0" applyProtection="0"/>
    <xf numFmtId="0" fontId="17" fillId="36" borderId="52" applyNumberFormat="0" applyFont="0" applyAlignment="0" applyProtection="0"/>
    <xf numFmtId="0" fontId="79" fillId="4" borderId="51" applyNumberFormat="0" applyAlignment="0" applyProtection="0"/>
    <xf numFmtId="0" fontId="86" fillId="5" borderId="51" applyNumberFormat="0" applyAlignment="0" applyProtection="0"/>
    <xf numFmtId="0" fontId="6" fillId="0" borderId="55" applyNumberFormat="0" applyFont="0" applyFill="0" applyBorder="0" applyAlignment="0" applyProtection="0"/>
    <xf numFmtId="0" fontId="17" fillId="36" borderId="52" applyNumberFormat="0" applyFont="0" applyAlignment="0" applyProtection="0"/>
    <xf numFmtId="0" fontId="6" fillId="0" borderId="55" applyNumberFormat="0" applyFont="0" applyFill="0" applyBorder="0" applyAlignment="0" applyProtection="0"/>
    <xf numFmtId="0" fontId="86" fillId="5" borderId="51" applyNumberFormat="0" applyAlignment="0" applyProtection="0"/>
    <xf numFmtId="0" fontId="79" fillId="4" borderId="51" applyNumberFormat="0" applyAlignment="0" applyProtection="0"/>
    <xf numFmtId="0" fontId="6" fillId="0" borderId="55" applyNumberFormat="0" applyFont="0" applyFill="0" applyBorder="0" applyAlignment="0" applyProtection="0"/>
    <xf numFmtId="0" fontId="86" fillId="5" borderId="51" applyNumberFormat="0" applyAlignment="0" applyProtection="0"/>
    <xf numFmtId="0" fontId="79" fillId="4" borderId="51" applyNumberFormat="0" applyAlignment="0" applyProtection="0"/>
    <xf numFmtId="0" fontId="6" fillId="0" borderId="55" applyNumberFormat="0" applyFont="0" applyFill="0" applyBorder="0" applyAlignment="0" applyProtection="0"/>
    <xf numFmtId="0" fontId="86" fillId="5" borderId="51" applyNumberFormat="0" applyAlignment="0" applyProtection="0"/>
    <xf numFmtId="0" fontId="6" fillId="0" borderId="55" applyNumberFormat="0" applyFont="0" applyFill="0" applyBorder="0" applyAlignment="0" applyProtection="0"/>
    <xf numFmtId="0" fontId="79" fillId="4" borderId="51" applyNumberFormat="0" applyAlignment="0" applyProtection="0"/>
    <xf numFmtId="0" fontId="79" fillId="4" borderId="51" applyNumberFormat="0" applyAlignment="0" applyProtection="0"/>
    <xf numFmtId="0" fontId="17" fillId="36" borderId="52" applyNumberFormat="0" applyFont="0" applyAlignment="0" applyProtection="0"/>
    <xf numFmtId="0" fontId="17" fillId="36" borderId="52" applyNumberFormat="0" applyFont="0" applyAlignment="0" applyProtection="0"/>
    <xf numFmtId="0" fontId="17" fillId="36" borderId="52" applyNumberFormat="0" applyFont="0" applyAlignment="0" applyProtection="0"/>
    <xf numFmtId="0" fontId="17" fillId="36" borderId="52" applyNumberFormat="0" applyFont="0" applyAlignment="0" applyProtection="0"/>
    <xf numFmtId="0" fontId="17" fillId="36" borderId="52" applyNumberFormat="0" applyFont="0" applyAlignment="0" applyProtection="0"/>
    <xf numFmtId="0" fontId="17" fillId="36" borderId="52" applyNumberFormat="0" applyFont="0" applyAlignment="0" applyProtection="0"/>
    <xf numFmtId="0" fontId="17" fillId="36" borderId="52" applyNumberFormat="0" applyFont="0" applyAlignment="0" applyProtection="0"/>
    <xf numFmtId="0" fontId="17" fillId="36" borderId="52" applyNumberFormat="0" applyFont="0" applyAlignment="0" applyProtection="0"/>
    <xf numFmtId="0" fontId="17" fillId="36" borderId="52" applyNumberFormat="0" applyFont="0" applyAlignment="0" applyProtection="0"/>
    <xf numFmtId="0" fontId="17" fillId="36" borderId="52" applyNumberFormat="0" applyFont="0" applyAlignment="0" applyProtection="0"/>
    <xf numFmtId="0" fontId="79" fillId="4" borderId="51" applyNumberFormat="0" applyAlignment="0" applyProtection="0"/>
    <xf numFmtId="0" fontId="86" fillId="5" borderId="51" applyNumberFormat="0" applyAlignment="0" applyProtection="0"/>
    <xf numFmtId="0" fontId="79" fillId="4" borderId="51" applyNumberFormat="0" applyAlignment="0" applyProtection="0"/>
    <xf numFmtId="0" fontId="6" fillId="0" borderId="55" applyNumberFormat="0" applyFont="0" applyFill="0" applyBorder="0" applyAlignment="0" applyProtection="0"/>
    <xf numFmtId="0" fontId="86" fillId="5" borderId="51" applyNumberFormat="0" applyAlignment="0" applyProtection="0"/>
    <xf numFmtId="0" fontId="6" fillId="0" borderId="55" applyNumberFormat="0" applyFont="0" applyFill="0" applyBorder="0" applyAlignment="0" applyProtection="0"/>
    <xf numFmtId="0" fontId="79" fillId="4" borderId="51" applyNumberFormat="0" applyAlignment="0" applyProtection="0"/>
    <xf numFmtId="0" fontId="79" fillId="4" borderId="51" applyNumberFormat="0" applyAlignment="0" applyProtection="0"/>
    <xf numFmtId="0" fontId="6" fillId="0" borderId="55" applyNumberFormat="0" applyFont="0" applyFill="0" applyBorder="0" applyAlignment="0" applyProtection="0"/>
    <xf numFmtId="0" fontId="17" fillId="36" borderId="52" applyNumberFormat="0" applyFont="0" applyAlignment="0" applyProtection="0"/>
    <xf numFmtId="0" fontId="86" fillId="5" borderId="51" applyNumberFormat="0" applyAlignment="0" applyProtection="0"/>
    <xf numFmtId="0" fontId="17" fillId="36" borderId="52" applyNumberFormat="0" applyFont="0" applyAlignment="0" applyProtection="0"/>
    <xf numFmtId="0" fontId="86" fillId="5" borderId="51" applyNumberFormat="0" applyAlignment="0" applyProtection="0"/>
    <xf numFmtId="0" fontId="6" fillId="0" borderId="55" applyNumberFormat="0" applyFont="0" applyFill="0" applyBorder="0" applyAlignment="0" applyProtection="0"/>
    <xf numFmtId="0" fontId="79" fillId="4" borderId="51" applyNumberFormat="0" applyAlignment="0" applyProtection="0"/>
    <xf numFmtId="0" fontId="86" fillId="5" borderId="51" applyNumberFormat="0" applyAlignment="0" applyProtection="0"/>
    <xf numFmtId="0" fontId="6" fillId="0" borderId="55" applyNumberFormat="0" applyFont="0" applyFill="0" applyBorder="0" applyAlignment="0" applyProtection="0"/>
    <xf numFmtId="0" fontId="86" fillId="5" borderId="51" applyNumberFormat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17" fillId="36" borderId="52" applyNumberFormat="0" applyFont="0" applyAlignment="0" applyProtection="0"/>
    <xf numFmtId="0" fontId="17" fillId="36" borderId="52" applyNumberFormat="0" applyFont="0" applyAlignment="0" applyProtection="0"/>
    <xf numFmtId="0" fontId="86" fillId="5" borderId="51" applyNumberFormat="0" applyAlignment="0" applyProtection="0"/>
    <xf numFmtId="0" fontId="6" fillId="0" borderId="55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6" fillId="20" borderId="63" applyNumberFormat="0" applyProtection="0">
      <alignment horizontal="left" vertical="center" indent="1"/>
    </xf>
    <xf numFmtId="0" fontId="79" fillId="4" borderId="51" applyNumberFormat="0" applyAlignment="0" applyProtection="0"/>
    <xf numFmtId="0" fontId="6" fillId="0" borderId="55" applyNumberFormat="0" applyFont="0" applyFill="0" applyBorder="0" applyAlignment="0" applyProtection="0"/>
    <xf numFmtId="0" fontId="86" fillId="5" borderId="51" applyNumberFormat="0" applyAlignment="0" applyProtection="0"/>
    <xf numFmtId="0" fontId="6" fillId="0" borderId="55" applyNumberFormat="0" applyFont="0" applyFill="0" applyBorder="0" applyAlignment="0" applyProtection="0"/>
    <xf numFmtId="0" fontId="79" fillId="4" borderId="51" applyNumberFormat="0" applyAlignment="0" applyProtection="0"/>
    <xf numFmtId="0" fontId="17" fillId="36" borderId="52" applyNumberFormat="0" applyFont="0" applyAlignment="0" applyProtection="0"/>
    <xf numFmtId="0" fontId="86" fillId="5" borderId="51" applyNumberFormat="0" applyAlignment="0" applyProtection="0"/>
    <xf numFmtId="0" fontId="79" fillId="4" borderId="51" applyNumberFormat="0" applyAlignment="0" applyProtection="0"/>
    <xf numFmtId="0" fontId="86" fillId="5" borderId="51" applyNumberFormat="0" applyAlignment="0" applyProtection="0"/>
    <xf numFmtId="0" fontId="86" fillId="5" borderId="58" applyNumberFormat="0" applyAlignment="0" applyProtection="0"/>
    <xf numFmtId="0" fontId="6" fillId="0" borderId="62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79" fillId="4" borderId="51" applyNumberFormat="0" applyAlignment="0" applyProtection="0"/>
    <xf numFmtId="0" fontId="6" fillId="0" borderId="55" applyNumberFormat="0" applyFont="0" applyFill="0" applyBorder="0" applyAlignment="0" applyProtection="0"/>
    <xf numFmtId="0" fontId="79" fillId="4" borderId="51" applyNumberFormat="0" applyAlignment="0" applyProtection="0"/>
    <xf numFmtId="0" fontId="6" fillId="0" borderId="55" applyNumberFormat="0" applyFont="0" applyFill="0" applyBorder="0" applyAlignment="0" applyProtection="0"/>
    <xf numFmtId="0" fontId="79" fillId="4" borderId="51" applyNumberFormat="0" applyAlignment="0" applyProtection="0"/>
    <xf numFmtId="0" fontId="6" fillId="0" borderId="55" applyNumberFormat="0" applyFont="0" applyFill="0" applyBorder="0" applyAlignment="0" applyProtection="0"/>
    <xf numFmtId="0" fontId="79" fillId="4" borderId="51" applyNumberFormat="0" applyAlignment="0" applyProtection="0"/>
    <xf numFmtId="0" fontId="6" fillId="0" borderId="55" applyNumberFormat="0" applyFont="0" applyFill="0" applyBorder="0" applyAlignment="0" applyProtection="0"/>
    <xf numFmtId="0" fontId="79" fillId="4" borderId="51" applyNumberFormat="0" applyAlignment="0" applyProtection="0"/>
    <xf numFmtId="0" fontId="6" fillId="0" borderId="55" applyNumberFormat="0" applyFont="0" applyFill="0" applyBorder="0" applyAlignment="0" applyProtection="0"/>
    <xf numFmtId="0" fontId="79" fillId="4" borderId="51" applyNumberFormat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79" fillId="4" borderId="51" applyNumberFormat="0" applyAlignment="0" applyProtection="0"/>
    <xf numFmtId="0" fontId="86" fillId="5" borderId="51" applyNumberFormat="0" applyAlignment="0" applyProtection="0"/>
    <xf numFmtId="0" fontId="17" fillId="36" borderId="52" applyNumberFormat="0" applyFont="0" applyAlignment="0" applyProtection="0"/>
    <xf numFmtId="0" fontId="17" fillId="36" borderId="59" applyNumberFormat="0" applyFont="0" applyAlignment="0" applyProtection="0"/>
    <xf numFmtId="0" fontId="89" fillId="4" borderId="67" applyNumberFormat="0" applyAlignment="0" applyProtection="0"/>
    <xf numFmtId="0" fontId="6" fillId="0" borderId="65" applyNumberFormat="0" applyFont="0" applyFill="0" applyBorder="0" applyAlignment="0" applyProtection="0"/>
    <xf numFmtId="0" fontId="86" fillId="5" borderId="58" applyNumberFormat="0" applyAlignment="0" applyProtection="0"/>
    <xf numFmtId="0" fontId="17" fillId="36" borderId="59" applyNumberFormat="0" applyFont="0" applyAlignment="0" applyProtection="0"/>
    <xf numFmtId="0" fontId="79" fillId="4" borderId="58" applyNumberFormat="0" applyAlignment="0" applyProtection="0"/>
    <xf numFmtId="4" fontId="6" fillId="20" borderId="56" applyNumberFormat="0" applyProtection="0">
      <alignment horizontal="left" vertical="center" indent="1"/>
    </xf>
    <xf numFmtId="4" fontId="6" fillId="34" borderId="56" applyNumberFormat="0" applyProtection="0">
      <alignment horizontal="right" vertical="center"/>
    </xf>
    <xf numFmtId="4" fontId="6" fillId="20" borderId="57" applyNumberFormat="0" applyProtection="0">
      <alignment horizontal="left" vertical="center" indent="1"/>
    </xf>
    <xf numFmtId="0" fontId="6" fillId="0" borderId="62" applyNumberFormat="0" applyFont="0" applyFill="0" applyBorder="0" applyAlignment="0" applyProtection="0"/>
    <xf numFmtId="0" fontId="79" fillId="4" borderId="58" applyNumberFormat="0" applyAlignment="0" applyProtection="0"/>
    <xf numFmtId="0" fontId="6" fillId="20" borderId="57" applyNumberFormat="0" applyProtection="0">
      <alignment horizontal="left" vertical="top" indent="1"/>
    </xf>
    <xf numFmtId="0" fontId="6" fillId="20" borderId="57" applyNumberFormat="0" applyProtection="0">
      <alignment horizontal="left" vertical="top" indent="1"/>
    </xf>
    <xf numFmtId="4" fontId="6" fillId="19" borderId="57" applyNumberFormat="0" applyProtection="0">
      <alignment horizontal="right" vertical="center"/>
    </xf>
    <xf numFmtId="4" fontId="32" fillId="26" borderId="56" applyNumberFormat="0" applyProtection="0">
      <alignment horizontal="left" vertical="center" indent="1"/>
    </xf>
    <xf numFmtId="0" fontId="6" fillId="20" borderId="57" applyNumberFormat="0" applyProtection="0">
      <alignment horizontal="left" vertical="top" indent="1"/>
    </xf>
    <xf numFmtId="4" fontId="6" fillId="5" borderId="57" applyNumberFormat="0" applyProtection="0">
      <alignment horizontal="right" vertical="center"/>
    </xf>
    <xf numFmtId="0" fontId="6" fillId="0" borderId="55" applyNumberFormat="0" applyFont="0" applyFill="0" applyBorder="0" applyAlignment="0" applyProtection="0"/>
    <xf numFmtId="0" fontId="86" fillId="5" borderId="51" applyNumberFormat="0" applyAlignment="0" applyProtection="0"/>
    <xf numFmtId="0" fontId="17" fillId="36" borderId="52" applyNumberFormat="0" applyFont="0" applyAlignment="0" applyProtection="0"/>
    <xf numFmtId="0" fontId="86" fillId="5" borderId="51" applyNumberFormat="0" applyAlignment="0" applyProtection="0"/>
    <xf numFmtId="0" fontId="17" fillId="36" borderId="52" applyNumberFormat="0" applyFont="0" applyAlignment="0" applyProtection="0"/>
    <xf numFmtId="0" fontId="79" fillId="4" borderId="51" applyNumberFormat="0" applyAlignment="0" applyProtection="0"/>
    <xf numFmtId="0" fontId="6" fillId="0" borderId="55" applyNumberFormat="0" applyFont="0" applyFill="0" applyBorder="0" applyAlignment="0" applyProtection="0"/>
    <xf numFmtId="0" fontId="86" fillId="5" borderId="51" applyNumberFormat="0" applyAlignment="0" applyProtection="0"/>
    <xf numFmtId="0" fontId="6" fillId="0" borderId="55" applyNumberFormat="0" applyFont="0" applyFill="0" applyBorder="0" applyAlignment="0" applyProtection="0"/>
    <xf numFmtId="0" fontId="86" fillId="5" borderId="51" applyNumberFormat="0" applyAlignment="0" applyProtection="0"/>
    <xf numFmtId="0" fontId="17" fillId="36" borderId="52" applyNumberFormat="0" applyFont="0" applyAlignment="0" applyProtection="0"/>
    <xf numFmtId="0" fontId="6" fillId="0" borderId="55" applyNumberFormat="0" applyFont="0" applyFill="0" applyBorder="0" applyAlignment="0" applyProtection="0"/>
    <xf numFmtId="0" fontId="86" fillId="5" borderId="51" applyNumberFormat="0" applyAlignment="0" applyProtection="0"/>
    <xf numFmtId="0" fontId="6" fillId="0" borderId="55" applyNumberFormat="0" applyFont="0" applyFill="0" applyBorder="0" applyAlignment="0" applyProtection="0"/>
    <xf numFmtId="0" fontId="86" fillId="5" borderId="51" applyNumberFormat="0" applyAlignment="0" applyProtection="0"/>
    <xf numFmtId="0" fontId="17" fillId="36" borderId="52" applyNumberFormat="0" applyFont="0" applyAlignment="0" applyProtection="0"/>
    <xf numFmtId="0" fontId="79" fillId="4" borderId="51" applyNumberFormat="0" applyAlignment="0" applyProtection="0"/>
    <xf numFmtId="0" fontId="86" fillId="5" borderId="51" applyNumberFormat="0" applyAlignment="0" applyProtection="0"/>
    <xf numFmtId="0" fontId="6" fillId="0" borderId="55" applyNumberFormat="0" applyFont="0" applyFill="0" applyBorder="0" applyAlignment="0" applyProtection="0"/>
    <xf numFmtId="0" fontId="17" fillId="36" borderId="52" applyNumberFormat="0" applyFont="0" applyAlignment="0" applyProtection="0"/>
    <xf numFmtId="0" fontId="6" fillId="0" borderId="55" applyNumberFormat="0" applyFont="0" applyFill="0" applyBorder="0" applyAlignment="0" applyProtection="0"/>
    <xf numFmtId="0" fontId="86" fillId="5" borderId="51" applyNumberFormat="0" applyAlignment="0" applyProtection="0"/>
    <xf numFmtId="0" fontId="79" fillId="4" borderId="51" applyNumberFormat="0" applyAlignment="0" applyProtection="0"/>
    <xf numFmtId="0" fontId="6" fillId="0" borderId="55" applyNumberFormat="0" applyFont="0" applyFill="0" applyBorder="0" applyAlignment="0" applyProtection="0"/>
    <xf numFmtId="0" fontId="79" fillId="4" borderId="51" applyNumberFormat="0" applyAlignment="0" applyProtection="0"/>
    <xf numFmtId="0" fontId="6" fillId="0" borderId="55" applyNumberFormat="0" applyFont="0" applyFill="0" applyBorder="0" applyAlignment="0" applyProtection="0"/>
    <xf numFmtId="0" fontId="86" fillId="5" borderId="51" applyNumberFormat="0" applyAlignment="0" applyProtection="0"/>
    <xf numFmtId="0" fontId="6" fillId="0" borderId="55" applyNumberFormat="0" applyFont="0" applyFill="0" applyBorder="0" applyAlignment="0" applyProtection="0"/>
    <xf numFmtId="0" fontId="79" fillId="4" borderId="51" applyNumberFormat="0" applyAlignment="0" applyProtection="0"/>
    <xf numFmtId="0" fontId="79" fillId="4" borderId="51" applyNumberFormat="0" applyAlignment="0" applyProtection="0"/>
    <xf numFmtId="0" fontId="17" fillId="36" borderId="52" applyNumberFormat="0" applyFont="0" applyAlignment="0" applyProtection="0"/>
    <xf numFmtId="0" fontId="17" fillId="36" borderId="52" applyNumberFormat="0" applyFont="0" applyAlignment="0" applyProtection="0"/>
    <xf numFmtId="0" fontId="17" fillId="36" borderId="52" applyNumberFormat="0" applyFont="0" applyAlignment="0" applyProtection="0"/>
    <xf numFmtId="0" fontId="17" fillId="36" borderId="52" applyNumberFormat="0" applyFont="0" applyAlignment="0" applyProtection="0"/>
    <xf numFmtId="0" fontId="17" fillId="36" borderId="52" applyNumberFormat="0" applyFont="0" applyAlignment="0" applyProtection="0"/>
    <xf numFmtId="0" fontId="17" fillId="36" borderId="52" applyNumberFormat="0" applyFont="0" applyAlignment="0" applyProtection="0"/>
    <xf numFmtId="0" fontId="17" fillId="36" borderId="52" applyNumberFormat="0" applyFont="0" applyAlignment="0" applyProtection="0"/>
    <xf numFmtId="0" fontId="17" fillId="36" borderId="52" applyNumberFormat="0" applyFont="0" applyAlignment="0" applyProtection="0"/>
    <xf numFmtId="0" fontId="17" fillId="36" borderId="52" applyNumberFormat="0" applyFont="0" applyAlignment="0" applyProtection="0"/>
    <xf numFmtId="0" fontId="17" fillId="36" borderId="52" applyNumberFormat="0" applyFont="0" applyAlignment="0" applyProtection="0"/>
    <xf numFmtId="0" fontId="79" fillId="4" borderId="51" applyNumberFormat="0" applyAlignment="0" applyProtection="0"/>
    <xf numFmtId="0" fontId="86" fillId="5" borderId="51" applyNumberFormat="0" applyAlignment="0" applyProtection="0"/>
    <xf numFmtId="0" fontId="79" fillId="4" borderId="51" applyNumberFormat="0" applyAlignment="0" applyProtection="0"/>
    <xf numFmtId="0" fontId="6" fillId="0" borderId="55" applyNumberFormat="0" applyFont="0" applyFill="0" applyBorder="0" applyAlignment="0" applyProtection="0"/>
    <xf numFmtId="0" fontId="86" fillId="5" borderId="51" applyNumberFormat="0" applyAlignment="0" applyProtection="0"/>
    <xf numFmtId="0" fontId="6" fillId="0" borderId="55" applyNumberFormat="0" applyFont="0" applyFill="0" applyBorder="0" applyAlignment="0" applyProtection="0"/>
    <xf numFmtId="0" fontId="79" fillId="4" borderId="51" applyNumberFormat="0" applyAlignment="0" applyProtection="0"/>
    <xf numFmtId="0" fontId="79" fillId="4" borderId="51" applyNumberFormat="0" applyAlignment="0" applyProtection="0"/>
    <xf numFmtId="0" fontId="17" fillId="36" borderId="52" applyNumberFormat="0" applyFont="0" applyAlignment="0" applyProtection="0"/>
    <xf numFmtId="0" fontId="86" fillId="5" borderId="51" applyNumberFormat="0" applyAlignment="0" applyProtection="0"/>
    <xf numFmtId="0" fontId="17" fillId="36" borderId="52" applyNumberFormat="0" applyFont="0" applyAlignment="0" applyProtection="0"/>
    <xf numFmtId="0" fontId="86" fillId="5" borderId="51" applyNumberFormat="0" applyAlignment="0" applyProtection="0"/>
    <xf numFmtId="0" fontId="6" fillId="0" borderId="55" applyNumberFormat="0" applyFont="0" applyFill="0" applyBorder="0" applyAlignment="0" applyProtection="0"/>
    <xf numFmtId="0" fontId="79" fillId="4" borderId="51" applyNumberFormat="0" applyAlignment="0" applyProtection="0"/>
    <xf numFmtId="0" fontId="86" fillId="5" borderId="51" applyNumberFormat="0" applyAlignment="0" applyProtection="0"/>
    <xf numFmtId="0" fontId="6" fillId="0" borderId="55" applyNumberFormat="0" applyFont="0" applyFill="0" applyBorder="0" applyAlignment="0" applyProtection="0"/>
    <xf numFmtId="0" fontId="86" fillId="5" borderId="51" applyNumberFormat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17" fillId="36" borderId="52" applyNumberFormat="0" applyFont="0" applyAlignment="0" applyProtection="0"/>
    <xf numFmtId="0" fontId="86" fillId="5" borderId="51" applyNumberFormat="0" applyAlignment="0" applyProtection="0"/>
    <xf numFmtId="0" fontId="6" fillId="0" borderId="55" applyNumberFormat="0" applyFont="0" applyFill="0" applyBorder="0" applyAlignment="0" applyProtection="0"/>
    <xf numFmtId="0" fontId="86" fillId="5" borderId="58" applyNumberFormat="0" applyAlignment="0" applyProtection="0"/>
    <xf numFmtId="0" fontId="79" fillId="4" borderId="51" applyNumberFormat="0" applyAlignment="0" applyProtection="0"/>
    <xf numFmtId="0" fontId="6" fillId="0" borderId="55" applyNumberFormat="0" applyFont="0" applyFill="0" applyBorder="0" applyAlignment="0" applyProtection="0"/>
    <xf numFmtId="0" fontId="86" fillId="5" borderId="51" applyNumberFormat="0" applyAlignment="0" applyProtection="0"/>
    <xf numFmtId="0" fontId="6" fillId="0" borderId="55" applyNumberFormat="0" applyFont="0" applyFill="0" applyBorder="0" applyAlignment="0" applyProtection="0"/>
    <xf numFmtId="0" fontId="79" fillId="4" borderId="51" applyNumberFormat="0" applyAlignment="0" applyProtection="0"/>
    <xf numFmtId="0" fontId="17" fillId="36" borderId="52" applyNumberFormat="0" applyFont="0" applyAlignment="0" applyProtection="0"/>
    <xf numFmtId="0" fontId="86" fillId="5" borderId="51" applyNumberFormat="0" applyAlignment="0" applyProtection="0"/>
    <xf numFmtId="0" fontId="79" fillId="4" borderId="51" applyNumberFormat="0" applyAlignment="0" applyProtection="0"/>
    <xf numFmtId="0" fontId="86" fillId="5" borderId="51" applyNumberFormat="0" applyAlignment="0" applyProtection="0"/>
    <xf numFmtId="0" fontId="6" fillId="0" borderId="62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79" fillId="4" borderId="51" applyNumberFormat="0" applyAlignment="0" applyProtection="0"/>
    <xf numFmtId="0" fontId="6" fillId="0" borderId="55" applyNumberFormat="0" applyFont="0" applyFill="0" applyBorder="0" applyAlignment="0" applyProtection="0"/>
    <xf numFmtId="0" fontId="79" fillId="4" borderId="51" applyNumberFormat="0" applyAlignment="0" applyProtection="0"/>
    <xf numFmtId="0" fontId="6" fillId="0" borderId="55" applyNumberFormat="0" applyFont="0" applyFill="0" applyBorder="0" applyAlignment="0" applyProtection="0"/>
    <xf numFmtId="0" fontId="79" fillId="4" borderId="51" applyNumberFormat="0" applyAlignment="0" applyProtection="0"/>
    <xf numFmtId="0" fontId="6" fillId="0" borderId="55" applyNumberFormat="0" applyFont="0" applyFill="0" applyBorder="0" applyAlignment="0" applyProtection="0"/>
    <xf numFmtId="0" fontId="79" fillId="4" borderId="51" applyNumberFormat="0" applyAlignment="0" applyProtection="0"/>
    <xf numFmtId="0" fontId="6" fillId="0" borderId="55" applyNumberFormat="0" applyFont="0" applyFill="0" applyBorder="0" applyAlignment="0" applyProtection="0"/>
    <xf numFmtId="0" fontId="79" fillId="4" borderId="51" applyNumberFormat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0" fontId="6" fillId="0" borderId="55" applyNumberFormat="0" applyFont="0" applyFill="0" applyBorder="0" applyAlignment="0" applyProtection="0"/>
    <xf numFmtId="4" fontId="6" fillId="26" borderId="64" applyNumberFormat="0" applyProtection="0">
      <alignment horizontal="right" vertical="center"/>
    </xf>
    <xf numFmtId="0" fontId="32" fillId="27" borderId="57" applyNumberFormat="0" applyProtection="0">
      <alignment horizontal="left" vertical="top" indent="1"/>
    </xf>
    <xf numFmtId="0" fontId="6" fillId="20" borderId="63" applyNumberFormat="0" applyProtection="0">
      <alignment horizontal="left" vertical="center" indent="1"/>
    </xf>
    <xf numFmtId="4" fontId="32" fillId="26" borderId="56" applyNumberFormat="0" applyProtection="0">
      <alignment vertical="center"/>
    </xf>
    <xf numFmtId="0" fontId="86" fillId="5" borderId="58" applyNumberFormat="0" applyAlignment="0" applyProtection="0"/>
    <xf numFmtId="0" fontId="17" fillId="36" borderId="59" applyNumberFormat="0" applyFont="0" applyAlignment="0" applyProtection="0"/>
    <xf numFmtId="0" fontId="17" fillId="36" borderId="59" applyNumberFormat="0" applyFont="0" applyAlignment="0" applyProtection="0"/>
    <xf numFmtId="0" fontId="6" fillId="0" borderId="62" applyNumberFormat="0" applyFont="0" applyFill="0" applyBorder="0" applyAlignment="0" applyProtection="0"/>
    <xf numFmtId="0" fontId="86" fillId="5" borderId="58" applyNumberFormat="0" applyAlignment="0" applyProtection="0"/>
    <xf numFmtId="0" fontId="6" fillId="0" borderId="62" applyNumberFormat="0" applyFont="0" applyFill="0" applyBorder="0" applyAlignment="0" applyProtection="0"/>
    <xf numFmtId="0" fontId="17" fillId="36" borderId="66" applyNumberFormat="0" applyFont="0" applyAlignment="0" applyProtection="0"/>
    <xf numFmtId="0" fontId="6" fillId="0" borderId="62" applyNumberFormat="0" applyFont="0" applyFill="0" applyBorder="0" applyAlignment="0" applyProtection="0"/>
    <xf numFmtId="4" fontId="73" fillId="29" borderId="64" applyNumberFormat="0" applyProtection="0">
      <alignment horizontal="right" vertical="center"/>
    </xf>
    <xf numFmtId="0" fontId="17" fillId="36" borderId="59" applyNumberFormat="0" applyFont="0" applyAlignment="0" applyProtection="0"/>
    <xf numFmtId="4" fontId="73" fillId="22" borderId="64" applyNumberFormat="0" applyProtection="0">
      <alignment horizontal="right" vertical="center"/>
    </xf>
    <xf numFmtId="0" fontId="6" fillId="0" borderId="62" applyNumberFormat="0" applyFont="0" applyFill="0" applyBorder="0" applyAlignment="0" applyProtection="0"/>
    <xf numFmtId="4" fontId="32" fillId="26" borderId="63" applyNumberFormat="0" applyProtection="0">
      <alignment horizontal="left" vertical="center" indent="1"/>
    </xf>
    <xf numFmtId="0" fontId="17" fillId="36" borderId="59" applyNumberFormat="0" applyFont="0" applyAlignment="0" applyProtection="0"/>
    <xf numFmtId="0" fontId="79" fillId="4" borderId="69" applyNumberFormat="0" applyAlignment="0" applyProtection="0"/>
    <xf numFmtId="0" fontId="86" fillId="5" borderId="58" applyNumberFormat="0" applyAlignment="0" applyProtection="0"/>
    <xf numFmtId="0" fontId="86" fillId="5" borderId="69" applyNumberFormat="0" applyAlignment="0" applyProtection="0"/>
    <xf numFmtId="0" fontId="17" fillId="36" borderId="59" applyNumberFormat="0" applyFont="0" applyAlignment="0" applyProtection="0"/>
    <xf numFmtId="0" fontId="6" fillId="0" borderId="62" applyNumberFormat="0" applyFont="0" applyFill="0" applyBorder="0" applyAlignment="0" applyProtection="0"/>
    <xf numFmtId="0" fontId="6" fillId="20" borderId="64" applyNumberFormat="0" applyProtection="0">
      <alignment horizontal="left" vertical="top" indent="1"/>
    </xf>
    <xf numFmtId="4" fontId="6" fillId="20" borderId="63" applyNumberFormat="0" applyProtection="0">
      <alignment horizontal="left" vertical="center" indent="1"/>
    </xf>
    <xf numFmtId="0" fontId="86" fillId="5" borderId="69" applyNumberFormat="0" applyAlignment="0" applyProtection="0"/>
    <xf numFmtId="0" fontId="17" fillId="36" borderId="66" applyNumberFormat="0" applyFont="0" applyAlignment="0" applyProtection="0"/>
    <xf numFmtId="0" fontId="6" fillId="20" borderId="63" applyNumberFormat="0" applyProtection="0">
      <alignment horizontal="left" vertical="center" indent="1"/>
    </xf>
    <xf numFmtId="0" fontId="6" fillId="20" borderId="63" applyNumberFormat="0" applyProtection="0">
      <alignment horizontal="left" vertical="center" indent="1"/>
    </xf>
    <xf numFmtId="0" fontId="6" fillId="20" borderId="63" applyNumberFormat="0" applyProtection="0">
      <alignment horizontal="left" vertical="center" indent="1"/>
    </xf>
    <xf numFmtId="0" fontId="6" fillId="20" borderId="63" applyNumberFormat="0" applyProtection="0">
      <alignment horizontal="left" vertical="center" indent="1"/>
    </xf>
    <xf numFmtId="4" fontId="38" fillId="33" borderId="64" applyNumberFormat="0" applyProtection="0">
      <alignment vertical="center"/>
    </xf>
    <xf numFmtId="4" fontId="6" fillId="20" borderId="64" applyNumberFormat="0" applyProtection="0">
      <alignment horizontal="left" vertical="center" indent="1"/>
    </xf>
    <xf numFmtId="4" fontId="6" fillId="34" borderId="63" applyNumberFormat="0" applyProtection="0">
      <alignment horizontal="right" vertical="center"/>
    </xf>
    <xf numFmtId="4" fontId="6" fillId="20" borderId="63" applyNumberFormat="0" applyProtection="0">
      <alignment horizontal="left" vertical="center" indent="1"/>
    </xf>
    <xf numFmtId="0" fontId="6" fillId="0" borderId="65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86" fillId="5" borderId="58" applyNumberFormat="0" applyAlignment="0" applyProtection="0"/>
    <xf numFmtId="0" fontId="6" fillId="0" borderId="62" applyNumberFormat="0" applyFont="0" applyFill="0" applyBorder="0" applyAlignment="0" applyProtection="0"/>
    <xf numFmtId="0" fontId="86" fillId="5" borderId="58" applyNumberFormat="0" applyAlignment="0" applyProtection="0"/>
    <xf numFmtId="0" fontId="79" fillId="4" borderId="58" applyNumberFormat="0" applyAlignment="0" applyProtection="0"/>
    <xf numFmtId="0" fontId="17" fillId="36" borderId="59" applyNumberFormat="0" applyFont="0" applyAlignment="0" applyProtection="0"/>
    <xf numFmtId="0" fontId="79" fillId="4" borderId="58" applyNumberFormat="0" applyAlignment="0" applyProtection="0"/>
    <xf numFmtId="4" fontId="6" fillId="34" borderId="63" applyNumberFormat="0" applyProtection="0">
      <alignment horizontal="right" vertical="center"/>
    </xf>
    <xf numFmtId="0" fontId="79" fillId="4" borderId="58" applyNumberFormat="0" applyAlignment="0" applyProtection="0"/>
    <xf numFmtId="0" fontId="86" fillId="5" borderId="58" applyNumberFormat="0" applyAlignment="0" applyProtection="0"/>
    <xf numFmtId="0" fontId="79" fillId="4" borderId="58" applyNumberFormat="0" applyAlignment="0" applyProtection="0"/>
    <xf numFmtId="0" fontId="6" fillId="0" borderId="62" applyNumberFormat="0" applyFont="0" applyFill="0" applyBorder="0" applyAlignment="0" applyProtection="0"/>
    <xf numFmtId="0" fontId="86" fillId="5" borderId="58" applyNumberFormat="0" applyAlignment="0" applyProtection="0"/>
    <xf numFmtId="0" fontId="17" fillId="36" borderId="59" applyNumberFormat="0" applyFont="0" applyAlignment="0" applyProtection="0"/>
    <xf numFmtId="0" fontId="17" fillId="36" borderId="59" applyNumberFormat="0" applyFont="0" applyAlignment="0" applyProtection="0"/>
    <xf numFmtId="0" fontId="17" fillId="36" borderId="59" applyNumberFormat="0" applyFont="0" applyAlignment="0" applyProtection="0"/>
    <xf numFmtId="0" fontId="17" fillId="36" borderId="59" applyNumberFormat="0" applyFont="0" applyAlignment="0" applyProtection="0"/>
    <xf numFmtId="0" fontId="79" fillId="4" borderId="58" applyNumberFormat="0" applyAlignment="0" applyProtection="0"/>
    <xf numFmtId="0" fontId="6" fillId="0" borderId="62" applyNumberFormat="0" applyFont="0" applyFill="0" applyBorder="0" applyAlignment="0" applyProtection="0"/>
    <xf numFmtId="0" fontId="79" fillId="4" borderId="58" applyNumberFormat="0" applyAlignment="0" applyProtection="0"/>
    <xf numFmtId="0" fontId="79" fillId="4" borderId="58" applyNumberFormat="0" applyAlignment="0" applyProtection="0"/>
    <xf numFmtId="0" fontId="79" fillId="4" borderId="58" applyNumberFormat="0" applyAlignment="0" applyProtection="0"/>
    <xf numFmtId="0" fontId="6" fillId="0" borderId="62" applyNumberFormat="0" applyFont="0" applyFill="0" applyBorder="0" applyAlignment="0" applyProtection="0"/>
    <xf numFmtId="0" fontId="6" fillId="20" borderId="63" applyNumberFormat="0" applyProtection="0">
      <alignment horizontal="left" vertical="center" indent="1"/>
    </xf>
    <xf numFmtId="0" fontId="79" fillId="4" borderId="58" applyNumberFormat="0" applyAlignment="0" applyProtection="0"/>
    <xf numFmtId="0" fontId="86" fillId="5" borderId="58" applyNumberFormat="0" applyAlignment="0" applyProtection="0"/>
    <xf numFmtId="0" fontId="17" fillId="36" borderId="59" applyNumberFormat="0" applyFont="0" applyAlignment="0" applyProtection="0"/>
    <xf numFmtId="0" fontId="6" fillId="0" borderId="62" applyNumberFormat="0" applyFont="0" applyFill="0" applyBorder="0" applyAlignment="0" applyProtection="0"/>
    <xf numFmtId="4" fontId="6" fillId="19" borderId="64" applyNumberFormat="0" applyProtection="0">
      <alignment horizontal="right" vertical="center"/>
    </xf>
    <xf numFmtId="0" fontId="86" fillId="5" borderId="58" applyNumberFormat="0" applyAlignment="0" applyProtection="0"/>
    <xf numFmtId="0" fontId="6" fillId="0" borderId="62" applyNumberFormat="0" applyFont="0" applyFill="0" applyBorder="0" applyAlignment="0" applyProtection="0"/>
    <xf numFmtId="0" fontId="17" fillId="36" borderId="66" applyNumberFormat="0" applyFont="0" applyAlignment="0" applyProtection="0"/>
    <xf numFmtId="0" fontId="79" fillId="4" borderId="58" applyNumberFormat="0" applyAlignment="0" applyProtection="0"/>
    <xf numFmtId="4" fontId="73" fillId="28" borderId="64" applyNumberFormat="0" applyProtection="0">
      <alignment horizontal="right" vertical="center"/>
    </xf>
    <xf numFmtId="0" fontId="6" fillId="0" borderId="62" applyNumberFormat="0" applyFont="0" applyFill="0" applyBorder="0" applyAlignment="0" applyProtection="0"/>
    <xf numFmtId="0" fontId="86" fillId="5" borderId="58" applyNumberFormat="0" applyAlignment="0" applyProtection="0"/>
    <xf numFmtId="0" fontId="86" fillId="5" borderId="69" applyNumberFormat="0" applyAlignment="0" applyProtection="0"/>
    <xf numFmtId="0" fontId="86" fillId="5" borderId="58" applyNumberFormat="0" applyAlignment="0" applyProtection="0"/>
    <xf numFmtId="0" fontId="17" fillId="36" borderId="66" applyNumberFormat="0" applyFont="0" applyAlignment="0" applyProtection="0"/>
    <xf numFmtId="0" fontId="86" fillId="5" borderId="58" applyNumberFormat="0" applyAlignment="0" applyProtection="0"/>
    <xf numFmtId="0" fontId="6" fillId="0" borderId="65" applyNumberFormat="0" applyFont="0" applyFill="0" applyBorder="0" applyAlignment="0" applyProtection="0"/>
    <xf numFmtId="0" fontId="17" fillId="36" borderId="59" applyNumberFormat="0" applyFont="0" applyAlignment="0" applyProtection="0"/>
    <xf numFmtId="0" fontId="79" fillId="4" borderId="69" applyNumberFormat="0" applyAlignment="0" applyProtection="0"/>
    <xf numFmtId="0" fontId="17" fillId="36" borderId="59" applyNumberFormat="0" applyFont="0" applyAlignment="0" applyProtection="0"/>
    <xf numFmtId="4" fontId="32" fillId="26" borderId="63" applyNumberFormat="0" applyProtection="0">
      <alignment horizontal="left" vertical="center" indent="1"/>
    </xf>
    <xf numFmtId="0" fontId="17" fillId="36" borderId="59" applyNumberFormat="0" applyFont="0" applyAlignment="0" applyProtection="0"/>
    <xf numFmtId="0" fontId="6" fillId="0" borderId="62" applyNumberFormat="0" applyFont="0" applyFill="0" applyBorder="0" applyAlignment="0" applyProtection="0"/>
    <xf numFmtId="4" fontId="6" fillId="5" borderId="64" applyNumberFormat="0" applyProtection="0">
      <alignment horizontal="right" vertical="center"/>
    </xf>
    <xf numFmtId="0" fontId="17" fillId="36" borderId="66" applyNumberFormat="0" applyFont="0" applyAlignment="0" applyProtection="0"/>
    <xf numFmtId="0" fontId="17" fillId="36" borderId="66" applyNumberFormat="0" applyFont="0" applyAlignment="0" applyProtection="0"/>
    <xf numFmtId="0" fontId="86" fillId="5" borderId="69" applyNumberFormat="0" applyAlignment="0" applyProtection="0"/>
    <xf numFmtId="0" fontId="6" fillId="20" borderId="64" applyNumberFormat="0" applyProtection="0">
      <alignment horizontal="left" vertical="top" indent="1"/>
    </xf>
    <xf numFmtId="0" fontId="86" fillId="5" borderId="58" applyNumberFormat="0" applyAlignment="0" applyProtection="0"/>
    <xf numFmtId="0" fontId="79" fillId="4" borderId="58" applyNumberFormat="0" applyAlignment="0" applyProtection="0"/>
    <xf numFmtId="0" fontId="17" fillId="36" borderId="59" applyNumberFormat="0" applyFont="0" applyAlignment="0" applyProtection="0"/>
    <xf numFmtId="0" fontId="17" fillId="36" borderId="59" applyNumberFormat="0" applyFont="0" applyAlignment="0" applyProtection="0"/>
    <xf numFmtId="0" fontId="86" fillId="5" borderId="69" applyNumberFormat="0" applyAlignment="0" applyProtection="0"/>
    <xf numFmtId="0" fontId="79" fillId="4" borderId="58" applyNumberFormat="0" applyAlignment="0" applyProtection="0"/>
    <xf numFmtId="0" fontId="86" fillId="5" borderId="58" applyNumberFormat="0" applyAlignment="0" applyProtection="0"/>
    <xf numFmtId="0" fontId="17" fillId="36" borderId="66" applyNumberFormat="0" applyFont="0" applyAlignment="0" applyProtection="0"/>
    <xf numFmtId="0" fontId="79" fillId="4" borderId="58" applyNumberFormat="0" applyAlignment="0" applyProtection="0"/>
    <xf numFmtId="4" fontId="6" fillId="5" borderId="64" applyNumberFormat="0" applyProtection="0">
      <alignment horizontal="right" vertical="center"/>
    </xf>
    <xf numFmtId="0" fontId="17" fillId="36" borderId="66" applyNumberFormat="0" applyFont="0" applyAlignment="0" applyProtection="0"/>
    <xf numFmtId="0" fontId="86" fillId="5" borderId="58" applyNumberFormat="0" applyAlignment="0" applyProtection="0"/>
    <xf numFmtId="4" fontId="73" fillId="30" borderId="64" applyNumberFormat="0" applyProtection="0">
      <alignment horizontal="right" vertical="center"/>
    </xf>
    <xf numFmtId="0" fontId="6" fillId="0" borderId="62" applyNumberFormat="0" applyFont="0" applyFill="0" applyBorder="0" applyAlignment="0" applyProtection="0"/>
    <xf numFmtId="4" fontId="6" fillId="19" borderId="64" applyNumberFormat="0" applyProtection="0">
      <alignment horizontal="right" vertical="center"/>
    </xf>
    <xf numFmtId="0" fontId="17" fillId="36" borderId="59" applyNumberFormat="0" applyFont="0" applyAlignment="0" applyProtection="0"/>
    <xf numFmtId="4" fontId="32" fillId="26" borderId="63" applyNumberFormat="0" applyProtection="0">
      <alignment vertical="center"/>
    </xf>
    <xf numFmtId="0" fontId="6" fillId="0" borderId="65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17" fillId="36" borderId="66" applyNumberFormat="0" applyFont="0" applyAlignment="0" applyProtection="0"/>
    <xf numFmtId="0" fontId="6" fillId="0" borderId="62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4" fontId="6" fillId="0" borderId="64" applyNumberFormat="0" applyProtection="0">
      <alignment horizontal="right" vertical="center"/>
    </xf>
    <xf numFmtId="0" fontId="6" fillId="20" borderId="64" applyNumberFormat="0" applyProtection="0">
      <alignment horizontal="left" vertical="top" indent="1"/>
    </xf>
    <xf numFmtId="0" fontId="79" fillId="4" borderId="69" applyNumberFormat="0" applyAlignment="0" applyProtection="0"/>
    <xf numFmtId="0" fontId="79" fillId="4" borderId="69" applyNumberFormat="0" applyAlignment="0" applyProtection="0"/>
    <xf numFmtId="4" fontId="6" fillId="20" borderId="63" applyNumberFormat="0" applyProtection="0">
      <alignment horizontal="right" vertical="center"/>
    </xf>
    <xf numFmtId="0" fontId="6" fillId="20" borderId="64" applyNumberFormat="0" applyProtection="0">
      <alignment horizontal="left" vertical="top" indent="1"/>
    </xf>
    <xf numFmtId="0" fontId="6" fillId="20" borderId="64" applyNumberFormat="0" applyProtection="0">
      <alignment horizontal="left" vertical="top" indent="1"/>
    </xf>
    <xf numFmtId="0" fontId="6" fillId="20" borderId="64" applyNumberFormat="0" applyProtection="0">
      <alignment horizontal="left" vertical="top" indent="1"/>
    </xf>
    <xf numFmtId="0" fontId="6" fillId="20" borderId="64" applyNumberFormat="0" applyProtection="0">
      <alignment horizontal="left" vertical="top" indent="1"/>
    </xf>
    <xf numFmtId="4" fontId="74" fillId="33" borderId="64" applyNumberFormat="0" applyProtection="0">
      <alignment vertical="center"/>
    </xf>
    <xf numFmtId="0" fontId="6" fillId="20" borderId="64" applyNumberFormat="0" applyProtection="0">
      <alignment horizontal="left" vertical="top" indent="1"/>
    </xf>
    <xf numFmtId="4" fontId="32" fillId="34" borderId="63" applyNumberFormat="0" applyProtection="0">
      <alignment horizontal="right" vertical="center"/>
    </xf>
    <xf numFmtId="0" fontId="6" fillId="20" borderId="63" applyNumberFormat="0" applyProtection="0">
      <alignment horizontal="left" vertical="top" indent="1"/>
    </xf>
    <xf numFmtId="0" fontId="6" fillId="0" borderId="62" applyNumberFormat="0" applyFont="0" applyFill="0" applyBorder="0" applyAlignment="0" applyProtection="0"/>
    <xf numFmtId="0" fontId="79" fillId="4" borderId="58" applyNumberFormat="0" applyAlignment="0" applyProtection="0"/>
    <xf numFmtId="0" fontId="86" fillId="5" borderId="58" applyNumberFormat="0" applyAlignment="0" applyProtection="0"/>
    <xf numFmtId="0" fontId="17" fillId="36" borderId="59" applyNumberFormat="0" applyFont="0" applyAlignment="0" applyProtection="0"/>
    <xf numFmtId="0" fontId="6" fillId="0" borderId="62" applyNumberFormat="0" applyFont="0" applyFill="0" applyBorder="0" applyAlignment="0" applyProtection="0"/>
    <xf numFmtId="0" fontId="79" fillId="4" borderId="58" applyNumberFormat="0" applyAlignment="0" applyProtection="0"/>
    <xf numFmtId="0" fontId="86" fillId="5" borderId="58" applyNumberFormat="0" applyAlignment="0" applyProtection="0"/>
    <xf numFmtId="0" fontId="6" fillId="0" borderId="62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17" fillId="36" borderId="59" applyNumberFormat="0" applyFont="0" applyAlignment="0" applyProtection="0"/>
    <xf numFmtId="0" fontId="86" fillId="5" borderId="58" applyNumberFormat="0" applyAlignment="0" applyProtection="0"/>
    <xf numFmtId="0" fontId="6" fillId="0" borderId="62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79" fillId="4" borderId="58" applyNumberFormat="0" applyAlignment="0" applyProtection="0"/>
    <xf numFmtId="0" fontId="6" fillId="0" borderId="62" applyNumberFormat="0" applyFont="0" applyFill="0" applyBorder="0" applyAlignment="0" applyProtection="0"/>
    <xf numFmtId="0" fontId="86" fillId="5" borderId="58" applyNumberFormat="0" applyAlignment="0" applyProtection="0"/>
    <xf numFmtId="0" fontId="6" fillId="0" borderId="62" applyNumberFormat="0" applyFont="0" applyFill="0" applyBorder="0" applyAlignment="0" applyProtection="0"/>
    <xf numFmtId="0" fontId="79" fillId="4" borderId="58" applyNumberFormat="0" applyAlignment="0" applyProtection="0"/>
    <xf numFmtId="0" fontId="17" fillId="36" borderId="59" applyNumberFormat="0" applyFont="0" applyAlignment="0" applyProtection="0"/>
    <xf numFmtId="0" fontId="86" fillId="5" borderId="58" applyNumberFormat="0" applyAlignment="0" applyProtection="0"/>
    <xf numFmtId="0" fontId="79" fillId="4" borderId="58" applyNumberFormat="0" applyAlignment="0" applyProtection="0"/>
    <xf numFmtId="0" fontId="86" fillId="5" borderId="58" applyNumberFormat="0" applyAlignment="0" applyProtection="0"/>
    <xf numFmtId="0" fontId="6" fillId="0" borderId="62" applyNumberFormat="0" applyFont="0" applyFill="0" applyBorder="0" applyAlignment="0" applyProtection="0"/>
    <xf numFmtId="0" fontId="79" fillId="4" borderId="58" applyNumberFormat="0" applyAlignment="0" applyProtection="0"/>
    <xf numFmtId="0" fontId="6" fillId="0" borderId="62" applyNumberFormat="0" applyFont="0" applyFill="0" applyBorder="0" applyAlignment="0" applyProtection="0"/>
    <xf numFmtId="0" fontId="79" fillId="4" borderId="58" applyNumberFormat="0" applyAlignment="0" applyProtection="0"/>
    <xf numFmtId="0" fontId="6" fillId="0" borderId="62" applyNumberFormat="0" applyFont="0" applyFill="0" applyBorder="0" applyAlignment="0" applyProtection="0"/>
    <xf numFmtId="0" fontId="79" fillId="4" borderId="58" applyNumberFormat="0" applyAlignment="0" applyProtection="0"/>
    <xf numFmtId="0" fontId="6" fillId="0" borderId="62" applyNumberFormat="0" applyFont="0" applyFill="0" applyBorder="0" applyAlignment="0" applyProtection="0"/>
    <xf numFmtId="0" fontId="79" fillId="4" borderId="58" applyNumberFormat="0" applyAlignment="0" applyProtection="0"/>
    <xf numFmtId="0" fontId="6" fillId="0" borderId="62" applyNumberFormat="0" applyFont="0" applyFill="0" applyBorder="0" applyAlignment="0" applyProtection="0"/>
    <xf numFmtId="0" fontId="79" fillId="4" borderId="58" applyNumberFormat="0" applyAlignment="0" applyProtection="0"/>
    <xf numFmtId="0" fontId="6" fillId="0" borderId="62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6" fillId="0" borderId="62" applyNumberFormat="0" applyFont="0" applyFill="0" applyBorder="0" applyAlignment="0" applyProtection="0"/>
    <xf numFmtId="0" fontId="32" fillId="27" borderId="64" applyNumberFormat="0" applyProtection="0">
      <alignment horizontal="left" vertical="top" indent="1"/>
    </xf>
    <xf numFmtId="4" fontId="32" fillId="26" borderId="63" applyNumberFormat="0" applyProtection="0">
      <alignment vertical="center"/>
    </xf>
    <xf numFmtId="0" fontId="86" fillId="5" borderId="69" applyNumberFormat="0" applyAlignment="0" applyProtection="0"/>
    <xf numFmtId="0" fontId="6" fillId="0" borderId="65" applyNumberFormat="0" applyFont="0" applyFill="0" applyBorder="0" applyAlignment="0" applyProtection="0"/>
    <xf numFmtId="0" fontId="79" fillId="4" borderId="69" applyNumberFormat="0" applyAlignment="0" applyProtection="0"/>
    <xf numFmtId="0" fontId="86" fillId="5" borderId="69" applyNumberFormat="0" applyAlignment="0" applyProtection="0"/>
    <xf numFmtId="0" fontId="6" fillId="0" borderId="65" applyNumberFormat="0" applyFont="0" applyFill="0" applyBorder="0" applyAlignment="0" applyProtection="0"/>
    <xf numFmtId="0" fontId="86" fillId="5" borderId="69" applyNumberFormat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17" fillId="36" borderId="66" applyNumberFormat="0" applyFont="0" applyAlignment="0" applyProtection="0"/>
    <xf numFmtId="0" fontId="17" fillId="36" borderId="66" applyNumberFormat="0" applyFont="0" applyAlignment="0" applyProtection="0"/>
    <xf numFmtId="0" fontId="86" fillId="5" borderId="69" applyNumberFormat="0" applyAlignment="0" applyProtection="0"/>
    <xf numFmtId="0" fontId="6" fillId="0" borderId="65" applyNumberFormat="0" applyFont="0" applyFill="0" applyBorder="0" applyAlignment="0" applyProtection="0"/>
    <xf numFmtId="0" fontId="79" fillId="4" borderId="69" applyNumberFormat="0" applyAlignment="0" applyProtection="0"/>
    <xf numFmtId="0" fontId="6" fillId="0" borderId="65" applyNumberFormat="0" applyFont="0" applyFill="0" applyBorder="0" applyAlignment="0" applyProtection="0"/>
    <xf numFmtId="0" fontId="86" fillId="5" borderId="69" applyNumberFormat="0" applyAlignment="0" applyProtection="0"/>
    <xf numFmtId="0" fontId="6" fillId="0" borderId="65" applyNumberFormat="0" applyFont="0" applyFill="0" applyBorder="0" applyAlignment="0" applyProtection="0"/>
    <xf numFmtId="0" fontId="79" fillId="4" borderId="69" applyNumberFormat="0" applyAlignment="0" applyProtection="0"/>
    <xf numFmtId="0" fontId="17" fillId="36" borderId="66" applyNumberFormat="0" applyFont="0" applyAlignment="0" applyProtection="0"/>
    <xf numFmtId="0" fontId="86" fillId="5" borderId="69" applyNumberFormat="0" applyAlignment="0" applyProtection="0"/>
    <xf numFmtId="0" fontId="79" fillId="4" borderId="69" applyNumberFormat="0" applyAlignment="0" applyProtection="0"/>
    <xf numFmtId="0" fontId="86" fillId="5" borderId="69" applyNumberFormat="0" applyAlignment="0" applyProtection="0"/>
    <xf numFmtId="0" fontId="6" fillId="0" borderId="65" applyNumberFormat="0" applyFont="0" applyFill="0" applyBorder="0" applyAlignment="0" applyProtection="0"/>
    <xf numFmtId="0" fontId="79" fillId="4" borderId="69" applyNumberFormat="0" applyAlignment="0" applyProtection="0"/>
    <xf numFmtId="0" fontId="6" fillId="0" borderId="65" applyNumberFormat="0" applyFont="0" applyFill="0" applyBorder="0" applyAlignment="0" applyProtection="0"/>
    <xf numFmtId="0" fontId="79" fillId="4" borderId="69" applyNumberFormat="0" applyAlignment="0" applyProtection="0"/>
    <xf numFmtId="0" fontId="6" fillId="0" borderId="65" applyNumberFormat="0" applyFont="0" applyFill="0" applyBorder="0" applyAlignment="0" applyProtection="0"/>
    <xf numFmtId="0" fontId="79" fillId="4" borderId="69" applyNumberFormat="0" applyAlignment="0" applyProtection="0"/>
    <xf numFmtId="0" fontId="6" fillId="0" borderId="65" applyNumberFormat="0" applyFont="0" applyFill="0" applyBorder="0" applyAlignment="0" applyProtection="0"/>
    <xf numFmtId="0" fontId="79" fillId="4" borderId="69" applyNumberFormat="0" applyAlignment="0" applyProtection="0"/>
    <xf numFmtId="0" fontId="6" fillId="0" borderId="65" applyNumberFormat="0" applyFont="0" applyFill="0" applyBorder="0" applyAlignment="0" applyProtection="0"/>
    <xf numFmtId="0" fontId="79" fillId="4" borderId="69" applyNumberFormat="0" applyAlignment="0" applyProtection="0"/>
    <xf numFmtId="0" fontId="6" fillId="0" borderId="65" applyNumberFormat="0" applyFont="0" applyFill="0" applyBorder="0" applyAlignment="0" applyProtection="0"/>
    <xf numFmtId="0" fontId="79" fillId="4" borderId="69" applyNumberFormat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79" fillId="4" borderId="69" applyNumberFormat="0" applyAlignment="0" applyProtection="0"/>
    <xf numFmtId="0" fontId="86" fillId="5" borderId="69" applyNumberFormat="0" applyAlignment="0" applyProtection="0"/>
    <xf numFmtId="0" fontId="17" fillId="36" borderId="66" applyNumberFormat="0" applyFont="0" applyAlignment="0" applyProtection="0"/>
    <xf numFmtId="0" fontId="6" fillId="0" borderId="65" applyNumberFormat="0" applyFont="0" applyFill="0" applyBorder="0" applyAlignment="0" applyProtection="0"/>
    <xf numFmtId="0" fontId="86" fillId="5" borderId="69" applyNumberFormat="0" applyAlignment="0" applyProtection="0"/>
    <xf numFmtId="0" fontId="17" fillId="36" borderId="66" applyNumberFormat="0" applyFont="0" applyAlignment="0" applyProtection="0"/>
    <xf numFmtId="0" fontId="86" fillId="5" borderId="69" applyNumberFormat="0" applyAlignment="0" applyProtection="0"/>
    <xf numFmtId="0" fontId="17" fillId="36" borderId="66" applyNumberFormat="0" applyFont="0" applyAlignment="0" applyProtection="0"/>
    <xf numFmtId="0" fontId="79" fillId="4" borderId="69" applyNumberFormat="0" applyAlignment="0" applyProtection="0"/>
    <xf numFmtId="0" fontId="6" fillId="0" borderId="65" applyNumberFormat="0" applyFont="0" applyFill="0" applyBorder="0" applyAlignment="0" applyProtection="0"/>
    <xf numFmtId="0" fontId="86" fillId="5" borderId="69" applyNumberFormat="0" applyAlignment="0" applyProtection="0"/>
    <xf numFmtId="0" fontId="6" fillId="0" borderId="65" applyNumberFormat="0" applyFont="0" applyFill="0" applyBorder="0" applyAlignment="0" applyProtection="0"/>
    <xf numFmtId="0" fontId="86" fillId="5" borderId="69" applyNumberFormat="0" applyAlignment="0" applyProtection="0"/>
    <xf numFmtId="0" fontId="17" fillId="36" borderId="66" applyNumberFormat="0" applyFont="0" applyAlignment="0" applyProtection="0"/>
    <xf numFmtId="0" fontId="6" fillId="0" borderId="65" applyNumberFormat="0" applyFont="0" applyFill="0" applyBorder="0" applyAlignment="0" applyProtection="0"/>
    <xf numFmtId="0" fontId="86" fillId="5" borderId="69" applyNumberFormat="0" applyAlignment="0" applyProtection="0"/>
    <xf numFmtId="0" fontId="6" fillId="0" borderId="65" applyNumberFormat="0" applyFont="0" applyFill="0" applyBorder="0" applyAlignment="0" applyProtection="0"/>
    <xf numFmtId="0" fontId="86" fillId="5" borderId="69" applyNumberFormat="0" applyAlignment="0" applyProtection="0"/>
    <xf numFmtId="0" fontId="17" fillId="36" borderId="66" applyNumberFormat="0" applyFont="0" applyAlignment="0" applyProtection="0"/>
    <xf numFmtId="0" fontId="79" fillId="4" borderId="69" applyNumberFormat="0" applyAlignment="0" applyProtection="0"/>
    <xf numFmtId="0" fontId="86" fillId="5" borderId="69" applyNumberFormat="0" applyAlignment="0" applyProtection="0"/>
    <xf numFmtId="0" fontId="6" fillId="0" borderId="65" applyNumberFormat="0" applyFont="0" applyFill="0" applyBorder="0" applyAlignment="0" applyProtection="0"/>
    <xf numFmtId="0" fontId="17" fillId="36" borderId="66" applyNumberFormat="0" applyFont="0" applyAlignment="0" applyProtection="0"/>
    <xf numFmtId="0" fontId="6" fillId="0" borderId="65" applyNumberFormat="0" applyFont="0" applyFill="0" applyBorder="0" applyAlignment="0" applyProtection="0"/>
    <xf numFmtId="0" fontId="86" fillId="5" borderId="69" applyNumberFormat="0" applyAlignment="0" applyProtection="0"/>
    <xf numFmtId="0" fontId="79" fillId="4" borderId="69" applyNumberFormat="0" applyAlignment="0" applyProtection="0"/>
    <xf numFmtId="0" fontId="6" fillId="0" borderId="65" applyNumberFormat="0" applyFont="0" applyFill="0" applyBorder="0" applyAlignment="0" applyProtection="0"/>
    <xf numFmtId="0" fontId="79" fillId="4" borderId="69" applyNumberFormat="0" applyAlignment="0" applyProtection="0"/>
    <xf numFmtId="0" fontId="6" fillId="0" borderId="65" applyNumberFormat="0" applyFont="0" applyFill="0" applyBorder="0" applyAlignment="0" applyProtection="0"/>
    <xf numFmtId="0" fontId="86" fillId="5" borderId="69" applyNumberFormat="0" applyAlignment="0" applyProtection="0"/>
    <xf numFmtId="0" fontId="6" fillId="0" borderId="65" applyNumberFormat="0" applyFont="0" applyFill="0" applyBorder="0" applyAlignment="0" applyProtection="0"/>
    <xf numFmtId="0" fontId="79" fillId="4" borderId="69" applyNumberFormat="0" applyAlignment="0" applyProtection="0"/>
    <xf numFmtId="0" fontId="79" fillId="4" borderId="69" applyNumberFormat="0" applyAlignment="0" applyProtection="0"/>
    <xf numFmtId="0" fontId="17" fillId="36" borderId="66" applyNumberFormat="0" applyFont="0" applyAlignment="0" applyProtection="0"/>
    <xf numFmtId="0" fontId="17" fillId="36" borderId="66" applyNumberFormat="0" applyFont="0" applyAlignment="0" applyProtection="0"/>
    <xf numFmtId="0" fontId="17" fillId="36" borderId="66" applyNumberFormat="0" applyFont="0" applyAlignment="0" applyProtection="0"/>
    <xf numFmtId="0" fontId="17" fillId="36" borderId="66" applyNumberFormat="0" applyFont="0" applyAlignment="0" applyProtection="0"/>
    <xf numFmtId="0" fontId="17" fillId="36" borderId="66" applyNumberFormat="0" applyFont="0" applyAlignment="0" applyProtection="0"/>
    <xf numFmtId="0" fontId="17" fillId="36" borderId="66" applyNumberFormat="0" applyFont="0" applyAlignment="0" applyProtection="0"/>
    <xf numFmtId="0" fontId="17" fillId="36" borderId="66" applyNumberFormat="0" applyFont="0" applyAlignment="0" applyProtection="0"/>
    <xf numFmtId="0" fontId="17" fillId="36" borderId="66" applyNumberFormat="0" applyFont="0" applyAlignment="0" applyProtection="0"/>
    <xf numFmtId="0" fontId="17" fillId="36" borderId="66" applyNumberFormat="0" applyFont="0" applyAlignment="0" applyProtection="0"/>
    <xf numFmtId="0" fontId="17" fillId="36" borderId="66" applyNumberFormat="0" applyFont="0" applyAlignment="0" applyProtection="0"/>
    <xf numFmtId="0" fontId="79" fillId="4" borderId="69" applyNumberFormat="0" applyAlignment="0" applyProtection="0"/>
    <xf numFmtId="0" fontId="86" fillId="5" borderId="69" applyNumberFormat="0" applyAlignment="0" applyProtection="0"/>
    <xf numFmtId="0" fontId="79" fillId="4" borderId="69" applyNumberFormat="0" applyAlignment="0" applyProtection="0"/>
    <xf numFmtId="0" fontId="6" fillId="0" borderId="65" applyNumberFormat="0" applyFont="0" applyFill="0" applyBorder="0" applyAlignment="0" applyProtection="0"/>
    <xf numFmtId="0" fontId="86" fillId="5" borderId="69" applyNumberFormat="0" applyAlignment="0" applyProtection="0"/>
    <xf numFmtId="0" fontId="6" fillId="0" borderId="65" applyNumberFormat="0" applyFont="0" applyFill="0" applyBorder="0" applyAlignment="0" applyProtection="0"/>
    <xf numFmtId="0" fontId="79" fillId="4" borderId="69" applyNumberFormat="0" applyAlignment="0" applyProtection="0"/>
    <xf numFmtId="0" fontId="79" fillId="4" borderId="69" applyNumberFormat="0" applyAlignment="0" applyProtection="0"/>
    <xf numFmtId="0" fontId="17" fillId="36" borderId="66" applyNumberFormat="0" applyFont="0" applyAlignment="0" applyProtection="0"/>
    <xf numFmtId="0" fontId="86" fillId="5" borderId="69" applyNumberFormat="0" applyAlignment="0" applyProtection="0"/>
    <xf numFmtId="0" fontId="17" fillId="36" borderId="66" applyNumberFormat="0" applyFont="0" applyAlignment="0" applyProtection="0"/>
    <xf numFmtId="0" fontId="86" fillId="5" borderId="69" applyNumberFormat="0" applyAlignment="0" applyProtection="0"/>
    <xf numFmtId="0" fontId="6" fillId="0" borderId="65" applyNumberFormat="0" applyFont="0" applyFill="0" applyBorder="0" applyAlignment="0" applyProtection="0"/>
    <xf numFmtId="0" fontId="79" fillId="4" borderId="69" applyNumberFormat="0" applyAlignment="0" applyProtection="0"/>
    <xf numFmtId="0" fontId="86" fillId="5" borderId="69" applyNumberFormat="0" applyAlignment="0" applyProtection="0"/>
    <xf numFmtId="0" fontId="6" fillId="0" borderId="65" applyNumberFormat="0" applyFont="0" applyFill="0" applyBorder="0" applyAlignment="0" applyProtection="0"/>
    <xf numFmtId="0" fontId="86" fillId="5" borderId="69" applyNumberFormat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17" fillId="36" borderId="66" applyNumberFormat="0" applyFont="0" applyAlignment="0" applyProtection="0"/>
    <xf numFmtId="0" fontId="86" fillId="5" borderId="69" applyNumberFormat="0" applyAlignment="0" applyProtection="0"/>
    <xf numFmtId="0" fontId="6" fillId="0" borderId="65" applyNumberFormat="0" applyFont="0" applyFill="0" applyBorder="0" applyAlignment="0" applyProtection="0"/>
    <xf numFmtId="0" fontId="79" fillId="4" borderId="69" applyNumberFormat="0" applyAlignment="0" applyProtection="0"/>
    <xf numFmtId="0" fontId="6" fillId="0" borderId="65" applyNumberFormat="0" applyFont="0" applyFill="0" applyBorder="0" applyAlignment="0" applyProtection="0"/>
    <xf numFmtId="0" fontId="86" fillId="5" borderId="69" applyNumberFormat="0" applyAlignment="0" applyProtection="0"/>
    <xf numFmtId="0" fontId="6" fillId="0" borderId="65" applyNumberFormat="0" applyFont="0" applyFill="0" applyBorder="0" applyAlignment="0" applyProtection="0"/>
    <xf numFmtId="0" fontId="79" fillId="4" borderId="69" applyNumberFormat="0" applyAlignment="0" applyProtection="0"/>
    <xf numFmtId="0" fontId="17" fillId="36" borderId="66" applyNumberFormat="0" applyFont="0" applyAlignment="0" applyProtection="0"/>
    <xf numFmtId="0" fontId="86" fillId="5" borderId="69" applyNumberFormat="0" applyAlignment="0" applyProtection="0"/>
    <xf numFmtId="0" fontId="79" fillId="4" borderId="69" applyNumberFormat="0" applyAlignment="0" applyProtection="0"/>
    <xf numFmtId="0" fontId="86" fillId="5" borderId="69" applyNumberFormat="0" applyAlignment="0" applyProtection="0"/>
    <xf numFmtId="0" fontId="6" fillId="0" borderId="65" applyNumberFormat="0" applyFont="0" applyFill="0" applyBorder="0" applyAlignment="0" applyProtection="0"/>
    <xf numFmtId="0" fontId="79" fillId="4" borderId="69" applyNumberFormat="0" applyAlignment="0" applyProtection="0"/>
    <xf numFmtId="0" fontId="6" fillId="0" borderId="65" applyNumberFormat="0" applyFont="0" applyFill="0" applyBorder="0" applyAlignment="0" applyProtection="0"/>
    <xf numFmtId="0" fontId="79" fillId="4" borderId="69" applyNumberFormat="0" applyAlignment="0" applyProtection="0"/>
    <xf numFmtId="0" fontId="6" fillId="0" borderId="65" applyNumberFormat="0" applyFont="0" applyFill="0" applyBorder="0" applyAlignment="0" applyProtection="0"/>
    <xf numFmtId="0" fontId="79" fillId="4" borderId="69" applyNumberFormat="0" applyAlignment="0" applyProtection="0"/>
    <xf numFmtId="0" fontId="6" fillId="0" borderId="65" applyNumberFormat="0" applyFont="0" applyFill="0" applyBorder="0" applyAlignment="0" applyProtection="0"/>
    <xf numFmtId="0" fontId="79" fillId="4" borderId="69" applyNumberFormat="0" applyAlignment="0" applyProtection="0"/>
    <xf numFmtId="0" fontId="6" fillId="0" borderId="65" applyNumberFormat="0" applyFont="0" applyFill="0" applyBorder="0" applyAlignment="0" applyProtection="0"/>
    <xf numFmtId="0" fontId="79" fillId="4" borderId="69" applyNumberFormat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65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2" fillId="18" borderId="0" applyNumberFormat="0" applyBorder="0" applyAlignment="0" applyProtection="0"/>
    <xf numFmtId="0" fontId="86" fillId="5" borderId="76" applyNumberFormat="0" applyAlignment="0" applyProtection="0"/>
    <xf numFmtId="0" fontId="6" fillId="0" borderId="75" applyNumberFormat="0" applyFont="0" applyFill="0" applyBorder="0" applyAlignment="0" applyProtection="0"/>
    <xf numFmtId="0" fontId="79" fillId="4" borderId="76" applyNumberFormat="0" applyAlignment="0" applyProtection="0"/>
    <xf numFmtId="0" fontId="17" fillId="36" borderId="77" applyNumberFormat="0" applyFont="0" applyAlignment="0" applyProtection="0"/>
    <xf numFmtId="0" fontId="86" fillId="5" borderId="76" applyNumberFormat="0" applyAlignment="0" applyProtection="0"/>
    <xf numFmtId="0" fontId="79" fillId="4" borderId="76" applyNumberFormat="0" applyAlignment="0" applyProtection="0"/>
    <xf numFmtId="0" fontId="86" fillId="5" borderId="76" applyNumberFormat="0" applyAlignment="0" applyProtection="0"/>
    <xf numFmtId="0" fontId="6" fillId="0" borderId="75" applyNumberFormat="0" applyFont="0" applyFill="0" applyBorder="0" applyAlignment="0" applyProtection="0"/>
    <xf numFmtId="0" fontId="79" fillId="4" borderId="76" applyNumberFormat="0" applyAlignment="0" applyProtection="0"/>
    <xf numFmtId="0" fontId="79" fillId="4" borderId="76" applyNumberFormat="0" applyAlignment="0" applyProtection="0"/>
    <xf numFmtId="0" fontId="86" fillId="5" borderId="76" applyNumberFormat="0" applyAlignment="0" applyProtection="0"/>
    <xf numFmtId="0" fontId="6" fillId="0" borderId="91" applyNumberFormat="0" applyFont="0" applyFill="0" applyBorder="0" applyAlignment="0" applyProtection="0"/>
    <xf numFmtId="4" fontId="6" fillId="0" borderId="74" applyNumberFormat="0" applyProtection="0">
      <alignment horizontal="right" vertical="center"/>
    </xf>
    <xf numFmtId="0" fontId="6" fillId="0" borderId="75" applyNumberFormat="0" applyFont="0" applyFill="0" applyBorder="0" applyAlignment="0" applyProtection="0"/>
    <xf numFmtId="0" fontId="17" fillId="36" borderId="87" applyNumberFormat="0" applyFont="0" applyAlignment="0" applyProtection="0"/>
    <xf numFmtId="0" fontId="86" fillId="5" borderId="92" applyNumberFormat="0" applyAlignment="0" applyProtection="0"/>
    <xf numFmtId="0" fontId="86" fillId="5" borderId="86" applyNumberFormat="0" applyAlignment="0" applyProtection="0"/>
    <xf numFmtId="0" fontId="86" fillId="5" borderId="103" applyNumberFormat="0" applyAlignment="0" applyProtection="0"/>
    <xf numFmtId="0" fontId="6" fillId="20" borderId="96" applyNumberFormat="0" applyProtection="0">
      <alignment horizontal="left" vertical="top" indent="1"/>
    </xf>
    <xf numFmtId="0" fontId="6" fillId="20" borderId="97" applyNumberFormat="0" applyProtection="0">
      <alignment horizontal="left" vertical="top" indent="1"/>
    </xf>
    <xf numFmtId="4" fontId="74" fillId="33" borderId="97" applyNumberFormat="0" applyProtection="0">
      <alignment vertical="center"/>
    </xf>
    <xf numFmtId="0" fontId="6" fillId="20" borderId="99" applyNumberFormat="0" applyProtection="0">
      <alignment horizontal="left" vertical="center" indent="1"/>
    </xf>
    <xf numFmtId="4" fontId="74" fillId="33" borderId="100" applyNumberFormat="0" applyProtection="0">
      <alignment vertical="center"/>
    </xf>
    <xf numFmtId="0" fontId="6" fillId="0" borderId="101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86" fillId="5" borderId="103" applyNumberFormat="0" applyAlignment="0" applyProtection="0"/>
    <xf numFmtId="0" fontId="86" fillId="5" borderId="103" applyNumberFormat="0" applyAlignment="0" applyProtection="0"/>
    <xf numFmtId="0" fontId="6" fillId="0" borderId="101" applyNumberFormat="0" applyFont="0" applyFill="0" applyBorder="0" applyAlignment="0" applyProtection="0"/>
    <xf numFmtId="0" fontId="79" fillId="4" borderId="103" applyNumberFormat="0" applyAlignment="0" applyProtection="0"/>
    <xf numFmtId="0" fontId="6" fillId="0" borderId="101" applyNumberFormat="0" applyFont="0" applyFill="0" applyBorder="0" applyAlignment="0" applyProtection="0"/>
    <xf numFmtId="0" fontId="6" fillId="0" borderId="98" applyNumberFormat="0" applyFont="0" applyFill="0" applyBorder="0" applyAlignment="0" applyProtection="0"/>
    <xf numFmtId="4" fontId="6" fillId="20" borderId="96" applyNumberFormat="0" applyProtection="0">
      <alignment horizontal="left" vertical="center" indent="1"/>
    </xf>
    <xf numFmtId="4" fontId="6" fillId="34" borderId="96" applyNumberFormat="0" applyProtection="0">
      <alignment horizontal="right" vertical="center"/>
    </xf>
    <xf numFmtId="0" fontId="6" fillId="20" borderId="97" applyNumberFormat="0" applyProtection="0">
      <alignment horizontal="left" vertical="top" indent="1"/>
    </xf>
    <xf numFmtId="0" fontId="6" fillId="20" borderId="96" applyNumberFormat="0" applyProtection="0">
      <alignment horizontal="left" vertical="center" indent="1"/>
    </xf>
    <xf numFmtId="4" fontId="6" fillId="26" borderId="90" applyNumberFormat="0" applyProtection="0">
      <alignment horizontal="right" vertical="center"/>
    </xf>
    <xf numFmtId="0" fontId="6" fillId="0" borderId="91" applyNumberFormat="0" applyFont="0" applyFill="0" applyBorder="0" applyAlignment="0" applyProtection="0"/>
    <xf numFmtId="4" fontId="6" fillId="26" borderId="97" applyNumberFormat="0" applyProtection="0">
      <alignment horizontal="right" vertical="center"/>
    </xf>
    <xf numFmtId="0" fontId="32" fillId="27" borderId="81" applyNumberFormat="0" applyProtection="0">
      <alignment horizontal="left" vertical="top" indent="1"/>
    </xf>
    <xf numFmtId="0" fontId="6" fillId="0" borderId="101" applyNumberFormat="0" applyFont="0" applyFill="0" applyBorder="0" applyAlignment="0" applyProtection="0"/>
    <xf numFmtId="4" fontId="6" fillId="26" borderId="81" applyNumberFormat="0" applyProtection="0">
      <alignment horizontal="right" vertical="center"/>
    </xf>
    <xf numFmtId="4" fontId="73" fillId="28" borderId="81" applyNumberFormat="0" applyProtection="0">
      <alignment horizontal="right" vertical="center"/>
    </xf>
    <xf numFmtId="4" fontId="6" fillId="5" borderId="81" applyNumberFormat="0" applyProtection="0">
      <alignment horizontal="right" vertical="center"/>
    </xf>
    <xf numFmtId="4" fontId="6" fillId="17" borderId="81" applyNumberFormat="0" applyProtection="0">
      <alignment horizontal="right" vertical="center"/>
    </xf>
    <xf numFmtId="4" fontId="73" fillId="22" borderId="81" applyNumberFormat="0" applyProtection="0">
      <alignment horizontal="right" vertical="center"/>
    </xf>
    <xf numFmtId="4" fontId="6" fillId="21" borderId="81" applyNumberFormat="0" applyProtection="0">
      <alignment horizontal="right" vertical="center"/>
    </xf>
    <xf numFmtId="0" fontId="6" fillId="0" borderId="101" applyNumberFormat="0" applyFont="0" applyFill="0" applyBorder="0" applyAlignment="0" applyProtection="0"/>
    <xf numFmtId="0" fontId="17" fillId="36" borderId="102" applyNumberFormat="0" applyFont="0" applyAlignment="0" applyProtection="0"/>
    <xf numFmtId="0" fontId="32" fillId="27" borderId="90" applyNumberFormat="0" applyProtection="0">
      <alignment horizontal="left" vertical="top" indent="1"/>
    </xf>
    <xf numFmtId="0" fontId="6" fillId="20" borderId="80" applyNumberFormat="0" applyProtection="0">
      <alignment horizontal="left" vertical="center" indent="1"/>
    </xf>
    <xf numFmtId="0" fontId="6" fillId="20" borderId="80" applyNumberFormat="0" applyProtection="0">
      <alignment horizontal="left" vertical="center" indent="1"/>
    </xf>
    <xf numFmtId="0" fontId="6" fillId="20" borderId="80" applyNumberFormat="0" applyProtection="0">
      <alignment horizontal="left" vertical="center" indent="1"/>
    </xf>
    <xf numFmtId="0" fontId="6" fillId="20" borderId="80" applyNumberFormat="0" applyProtection="0">
      <alignment horizontal="left" vertical="center" indent="1"/>
    </xf>
    <xf numFmtId="0" fontId="6" fillId="20" borderId="81" applyNumberFormat="0" applyProtection="0">
      <alignment horizontal="left" vertical="top" indent="1"/>
    </xf>
    <xf numFmtId="4" fontId="38" fillId="33" borderId="81" applyNumberFormat="0" applyProtection="0">
      <alignment vertical="center"/>
    </xf>
    <xf numFmtId="4" fontId="6" fillId="20" borderId="81" applyNumberFormat="0" applyProtection="0">
      <alignment horizontal="left" vertical="center" indent="1"/>
    </xf>
    <xf numFmtId="4" fontId="6" fillId="34" borderId="80" applyNumberFormat="0" applyProtection="0">
      <alignment horizontal="right" vertical="center"/>
    </xf>
    <xf numFmtId="4" fontId="6" fillId="20" borderId="80" applyNumberFormat="0" applyProtection="0">
      <alignment horizontal="left" vertical="center" indent="1"/>
    </xf>
    <xf numFmtId="0" fontId="86" fillId="5" borderId="103" applyNumberFormat="0" applyAlignment="0" applyProtection="0"/>
    <xf numFmtId="0" fontId="6" fillId="0" borderId="82" applyNumberFormat="0" applyFont="0" applyFill="0" applyBorder="0" applyAlignment="0" applyProtection="0"/>
    <xf numFmtId="0" fontId="86" fillId="5" borderId="92" applyNumberFormat="0" applyAlignment="0" applyProtection="0"/>
    <xf numFmtId="0" fontId="86" fillId="5" borderId="86" applyNumberFormat="0" applyAlignment="0" applyProtection="0"/>
    <xf numFmtId="4" fontId="6" fillId="0" borderId="84" applyNumberFormat="0" applyProtection="0">
      <alignment horizontal="right" vertical="center"/>
    </xf>
    <xf numFmtId="0" fontId="17" fillId="36" borderId="93" applyNumberFormat="0" applyFont="0" applyAlignment="0" applyProtection="0"/>
    <xf numFmtId="0" fontId="86" fillId="5" borderId="86" applyNumberFormat="0" applyAlignment="0" applyProtection="0"/>
    <xf numFmtId="0" fontId="79" fillId="4" borderId="86" applyNumberFormat="0" applyAlignment="0" applyProtection="0"/>
    <xf numFmtId="0" fontId="79" fillId="4" borderId="86" applyNumberFormat="0" applyAlignment="0" applyProtection="0"/>
    <xf numFmtId="0" fontId="79" fillId="4" borderId="86" applyNumberFormat="0" applyAlignment="0" applyProtection="0"/>
    <xf numFmtId="0" fontId="79" fillId="4" borderId="86" applyNumberFormat="0" applyAlignment="0" applyProtection="0"/>
    <xf numFmtId="0" fontId="6" fillId="0" borderId="85" applyNumberFormat="0" applyFont="0" applyFill="0" applyBorder="0" applyAlignment="0" applyProtection="0"/>
    <xf numFmtId="0" fontId="79" fillId="4" borderId="86" applyNumberFormat="0" applyAlignment="0" applyProtection="0"/>
    <xf numFmtId="0" fontId="79" fillId="4" borderId="86" applyNumberFormat="0" applyAlignment="0" applyProtection="0"/>
    <xf numFmtId="0" fontId="79" fillId="4" borderId="103" applyNumberFormat="0" applyAlignment="0" applyProtection="0"/>
    <xf numFmtId="0" fontId="86" fillId="5" borderId="86" applyNumberFormat="0" applyAlignment="0" applyProtection="0"/>
    <xf numFmtId="0" fontId="86" fillId="5" borderId="86" applyNumberFormat="0" applyAlignment="0" applyProtection="0"/>
    <xf numFmtId="0" fontId="79" fillId="4" borderId="86" applyNumberFormat="0" applyAlignment="0" applyProtection="0"/>
    <xf numFmtId="0" fontId="86" fillId="5" borderId="86" applyNumberFormat="0" applyAlignment="0" applyProtection="0"/>
    <xf numFmtId="0" fontId="6" fillId="0" borderId="85" applyNumberFormat="0" applyFont="0" applyFill="0" applyBorder="0" applyAlignment="0" applyProtection="0"/>
    <xf numFmtId="0" fontId="86" fillId="5" borderId="86" applyNumberFormat="0" applyAlignment="0" applyProtection="0"/>
    <xf numFmtId="0" fontId="79" fillId="4" borderId="76" applyNumberFormat="0" applyAlignment="0" applyProtection="0"/>
    <xf numFmtId="0" fontId="79" fillId="4" borderId="76" applyNumberFormat="0" applyAlignment="0" applyProtection="0"/>
    <xf numFmtId="0" fontId="6" fillId="0" borderId="91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6" fillId="20" borderId="97" applyNumberFormat="0" applyProtection="0">
      <alignment horizontal="left" vertical="top" indent="1"/>
    </xf>
    <xf numFmtId="0" fontId="2" fillId="18" borderId="0" applyNumberFormat="0" applyBorder="0" applyAlignment="0" applyProtection="0"/>
    <xf numFmtId="0" fontId="32" fillId="27" borderId="71" applyNumberFormat="0" applyProtection="0">
      <alignment horizontal="left" vertical="top" indent="1"/>
    </xf>
    <xf numFmtId="4" fontId="32" fillId="26" borderId="70" applyNumberFormat="0" applyProtection="0">
      <alignment horizontal="left" vertical="center" indent="1"/>
    </xf>
    <xf numFmtId="4" fontId="32" fillId="26" borderId="70" applyNumberFormat="0" applyProtection="0">
      <alignment vertical="center"/>
    </xf>
    <xf numFmtId="0" fontId="6" fillId="20" borderId="99" applyNumberFormat="0" applyProtection="0">
      <alignment horizontal="left" vertical="center" indent="1"/>
    </xf>
    <xf numFmtId="0" fontId="6" fillId="0" borderId="101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0" fontId="86" fillId="5" borderId="103" applyNumberFormat="0" applyAlignment="0" applyProtection="0"/>
    <xf numFmtId="4" fontId="32" fillId="26" borderId="89" applyNumberFormat="0" applyProtection="0">
      <alignment horizontal="left" vertical="center" indent="1"/>
    </xf>
    <xf numFmtId="0" fontId="6" fillId="0" borderId="85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4" fontId="6" fillId="20" borderId="89" applyNumberFormat="0" applyProtection="0">
      <alignment horizontal="right" vertical="center"/>
    </xf>
    <xf numFmtId="0" fontId="6" fillId="20" borderId="90" applyNumberFormat="0" applyProtection="0">
      <alignment horizontal="left" vertical="top" indent="1"/>
    </xf>
    <xf numFmtId="0" fontId="6" fillId="0" borderId="82" applyNumberFormat="0" applyFont="0" applyFill="0" applyBorder="0" applyAlignment="0" applyProtection="0"/>
    <xf numFmtId="0" fontId="17" fillId="36" borderId="87" applyNumberFormat="0" applyFont="0" applyAlignment="0" applyProtection="0"/>
    <xf numFmtId="0" fontId="6" fillId="0" borderId="82" applyNumberFormat="0" applyFont="0" applyFill="0" applyBorder="0" applyAlignment="0" applyProtection="0"/>
    <xf numFmtId="4" fontId="6" fillId="17" borderId="74" applyNumberFormat="0" applyProtection="0">
      <alignment horizontal="right" vertical="center"/>
    </xf>
    <xf numFmtId="4" fontId="6" fillId="34" borderId="73" applyNumberFormat="0" applyProtection="0">
      <alignment horizontal="right" vertical="center"/>
    </xf>
    <xf numFmtId="4" fontId="32" fillId="34" borderId="73" applyNumberFormat="0" applyProtection="0">
      <alignment horizontal="right" vertical="center"/>
    </xf>
    <xf numFmtId="0" fontId="17" fillId="36" borderId="77" applyNumberFormat="0" applyFont="0" applyAlignment="0" applyProtection="0"/>
    <xf numFmtId="0" fontId="79" fillId="4" borderId="76" applyNumberFormat="0" applyAlignment="0" applyProtection="0"/>
    <xf numFmtId="0" fontId="86" fillId="5" borderId="76" applyNumberFormat="0" applyAlignment="0" applyProtection="0"/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20" borderId="70" applyNumberFormat="0" applyProtection="0">
      <alignment horizontal="left" vertical="center" indent="1"/>
    </xf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4" fontId="31" fillId="26" borderId="84" applyNumberFormat="0" applyProtection="0">
      <alignment vertical="center"/>
    </xf>
    <xf numFmtId="0" fontId="6" fillId="0" borderId="8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4" fontId="6" fillId="0" borderId="71" applyNumberFormat="0" applyProtection="0">
      <alignment horizontal="right" vertical="center"/>
    </xf>
    <xf numFmtId="0" fontId="6" fillId="0" borderId="82" applyNumberFormat="0" applyFont="0" applyFill="0" applyBorder="0" applyAlignment="0" applyProtection="0"/>
    <xf numFmtId="0" fontId="6" fillId="20" borderId="70" applyNumberFormat="0" applyProtection="0">
      <alignment horizontal="left" vertical="top" indent="1"/>
    </xf>
    <xf numFmtId="0" fontId="6" fillId="0" borderId="85" applyNumberFormat="0" applyFont="0" applyFill="0" applyBorder="0" applyAlignment="0" applyProtection="0"/>
    <xf numFmtId="0" fontId="32" fillId="27" borderId="90" applyNumberFormat="0" applyProtection="0">
      <alignment horizontal="left" vertical="top" indent="1"/>
    </xf>
    <xf numFmtId="4" fontId="6" fillId="0" borderId="97" applyNumberFormat="0" applyProtection="0">
      <alignment horizontal="right" vertical="center"/>
    </xf>
    <xf numFmtId="4" fontId="6" fillId="34" borderId="96" applyNumberFormat="0" applyProtection="0">
      <alignment horizontal="right" vertical="center"/>
    </xf>
    <xf numFmtId="0" fontId="6" fillId="0" borderId="101" applyNumberFormat="0" applyFont="0" applyFill="0" applyBorder="0" applyAlignment="0" applyProtection="0"/>
    <xf numFmtId="4" fontId="6" fillId="20" borderId="97" applyNumberFormat="0" applyProtection="0">
      <alignment horizontal="left" vertical="center" indent="1"/>
    </xf>
    <xf numFmtId="4" fontId="32" fillId="26" borderId="80" applyNumberFormat="0" applyProtection="0">
      <alignment horizontal="left" vertical="center" indent="1"/>
    </xf>
    <xf numFmtId="0" fontId="6" fillId="0" borderId="85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0" fontId="17" fillId="36" borderId="87" applyNumberFormat="0" applyFont="0" applyAlignment="0" applyProtection="0"/>
    <xf numFmtId="0" fontId="6" fillId="0" borderId="85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86" fillId="5" borderId="76" applyNumberFormat="0" applyAlignment="0" applyProtection="0"/>
    <xf numFmtId="0" fontId="6" fillId="0" borderId="82" applyNumberFormat="0" applyFont="0" applyFill="0" applyBorder="0" applyAlignment="0" applyProtection="0"/>
    <xf numFmtId="4" fontId="73" fillId="22" borderId="97" applyNumberFormat="0" applyProtection="0">
      <alignment horizontal="right" vertical="center"/>
    </xf>
    <xf numFmtId="0" fontId="86" fillId="5" borderId="103" applyNumberFormat="0" applyAlignment="0" applyProtection="0"/>
    <xf numFmtId="0" fontId="6" fillId="0" borderId="75" applyNumberFormat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4" fontId="6" fillId="20" borderId="83" applyNumberFormat="0" applyProtection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9" fillId="4" borderId="76" applyNumberFormat="0" applyAlignment="0" applyProtection="0"/>
    <xf numFmtId="0" fontId="6" fillId="0" borderId="75" applyNumberFormat="0" applyFont="0" applyFill="0" applyBorder="0" applyAlignment="0" applyProtection="0"/>
    <xf numFmtId="0" fontId="17" fillId="36" borderId="77" applyNumberFormat="0" applyFont="0" applyAlignment="0" applyProtection="0"/>
    <xf numFmtId="0" fontId="79" fillId="4" borderId="103" applyNumberFormat="0" applyAlignment="0" applyProtection="0"/>
    <xf numFmtId="0" fontId="6" fillId="0" borderId="101" applyNumberFormat="0" applyFont="0" applyFill="0" applyBorder="0" applyAlignment="0" applyProtection="0"/>
    <xf numFmtId="4" fontId="6" fillId="0" borderId="97" applyNumberFormat="0" applyProtection="0">
      <alignment horizontal="right" vertical="center"/>
    </xf>
    <xf numFmtId="4" fontId="32" fillId="34" borderId="96" applyNumberFormat="0" applyProtection="0">
      <alignment horizontal="right" vertical="center"/>
    </xf>
    <xf numFmtId="0" fontId="6" fillId="20" borderId="97" applyNumberFormat="0" applyProtection="0">
      <alignment horizontal="left" vertical="top" indent="1"/>
    </xf>
    <xf numFmtId="0" fontId="6" fillId="20" borderId="97" applyNumberFormat="0" applyProtection="0">
      <alignment horizontal="left" vertical="top" indent="1"/>
    </xf>
    <xf numFmtId="4" fontId="6" fillId="21" borderId="97" applyNumberFormat="0" applyProtection="0">
      <alignment horizontal="right" vertical="center"/>
    </xf>
    <xf numFmtId="4" fontId="6" fillId="17" borderId="97" applyNumberFormat="0" applyProtection="0">
      <alignment horizontal="right" vertical="center"/>
    </xf>
    <xf numFmtId="4" fontId="73" fillId="28" borderId="97" applyNumberFormat="0" applyProtection="0">
      <alignment horizontal="right" vertical="center"/>
    </xf>
    <xf numFmtId="0" fontId="2" fillId="0" borderId="0"/>
    <xf numFmtId="0" fontId="2" fillId="0" borderId="0"/>
    <xf numFmtId="0" fontId="86" fillId="5" borderId="103" applyNumberFormat="0" applyAlignment="0" applyProtection="0"/>
    <xf numFmtId="0" fontId="6" fillId="0" borderId="101" applyNumberFormat="0" applyFont="0" applyFill="0" applyBorder="0" applyAlignment="0" applyProtection="0"/>
    <xf numFmtId="4" fontId="73" fillId="29" borderId="81" applyNumberFormat="0" applyProtection="0">
      <alignment horizontal="right" vertical="center"/>
    </xf>
    <xf numFmtId="4" fontId="6" fillId="19" borderId="81" applyNumberFormat="0" applyProtection="0">
      <alignment horizontal="right" vertical="center"/>
    </xf>
    <xf numFmtId="4" fontId="73" fillId="30" borderId="81" applyNumberFormat="0" applyProtection="0">
      <alignment horizontal="right" vertical="center"/>
    </xf>
    <xf numFmtId="0" fontId="17" fillId="36" borderId="93" applyNumberFormat="0" applyFont="0" applyAlignment="0" applyProtection="0"/>
    <xf numFmtId="4" fontId="6" fillId="20" borderId="80" applyNumberFormat="0" applyProtection="0">
      <alignment horizontal="right" vertical="center"/>
    </xf>
    <xf numFmtId="0" fontId="6" fillId="20" borderId="81" applyNumberFormat="0" applyProtection="0">
      <alignment horizontal="left" vertical="top" indent="1"/>
    </xf>
    <xf numFmtId="0" fontId="6" fillId="20" borderId="81" applyNumberFormat="0" applyProtection="0">
      <alignment horizontal="left" vertical="top" indent="1"/>
    </xf>
    <xf numFmtId="0" fontId="6" fillId="20" borderId="81" applyNumberFormat="0" applyProtection="0">
      <alignment horizontal="left" vertical="top" indent="1"/>
    </xf>
    <xf numFmtId="4" fontId="74" fillId="33" borderId="81" applyNumberFormat="0" applyProtection="0">
      <alignment vertical="center"/>
    </xf>
    <xf numFmtId="0" fontId="6" fillId="20" borderId="81" applyNumberFormat="0" applyProtection="0">
      <alignment horizontal="left" vertical="top" indent="1"/>
    </xf>
    <xf numFmtId="4" fontId="32" fillId="34" borderId="80" applyNumberFormat="0" applyProtection="0">
      <alignment horizontal="right" vertical="center"/>
    </xf>
    <xf numFmtId="0" fontId="6" fillId="20" borderId="80" applyNumberFormat="0" applyProtection="0">
      <alignment horizontal="left" vertical="top" indent="1"/>
    </xf>
    <xf numFmtId="4" fontId="6" fillId="0" borderId="81" applyNumberFormat="0" applyProtection="0">
      <alignment horizontal="right" vertical="center"/>
    </xf>
    <xf numFmtId="0" fontId="6" fillId="0" borderId="91" applyNumberFormat="0" applyFont="0" applyFill="0" applyBorder="0" applyAlignment="0" applyProtection="0"/>
    <xf numFmtId="4" fontId="6" fillId="20" borderId="96" applyNumberFormat="0" applyProtection="0">
      <alignment horizontal="right" vertical="center"/>
    </xf>
    <xf numFmtId="0" fontId="6" fillId="0" borderId="85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4" fontId="32" fillId="34" borderId="99" applyNumberFormat="0" applyProtection="0">
      <alignment horizontal="right" vertical="center"/>
    </xf>
    <xf numFmtId="0" fontId="79" fillId="4" borderId="86" applyNumberFormat="0" applyAlignment="0" applyProtection="0"/>
    <xf numFmtId="0" fontId="17" fillId="36" borderId="87" applyNumberFormat="0" applyFont="0" applyAlignment="0" applyProtection="0"/>
    <xf numFmtId="0" fontId="6" fillId="0" borderId="85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4" fontId="31" fillId="26" borderId="74" applyNumberFormat="0" applyProtection="0">
      <alignment vertical="center"/>
    </xf>
    <xf numFmtId="0" fontId="79" fillId="4" borderId="103" applyNumberFormat="0" applyAlignment="0" applyProtection="0"/>
    <xf numFmtId="0" fontId="79" fillId="4" borderId="76" applyNumberFormat="0" applyAlignment="0" applyProtection="0"/>
    <xf numFmtId="43" fontId="2" fillId="0" borderId="0" applyFont="0" applyFill="0" applyBorder="0" applyAlignment="0" applyProtection="0"/>
    <xf numFmtId="0" fontId="86" fillId="5" borderId="76" applyNumberFormat="0" applyAlignment="0" applyProtection="0"/>
    <xf numFmtId="0" fontId="79" fillId="4" borderId="76" applyNumberForma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74" fillId="33" borderId="90" applyNumberFormat="0" applyProtection="0">
      <alignment vertical="center"/>
    </xf>
    <xf numFmtId="4" fontId="31" fillId="26" borderId="71" applyNumberFormat="0" applyProtection="0">
      <alignment vertical="center"/>
    </xf>
    <xf numFmtId="0" fontId="6" fillId="0" borderId="82" applyNumberFormat="0" applyFont="0" applyFill="0" applyBorder="0" applyAlignment="0" applyProtection="0"/>
    <xf numFmtId="0" fontId="6" fillId="20" borderId="89" applyNumberFormat="0" applyProtection="0">
      <alignment horizontal="left" vertical="center" indent="1"/>
    </xf>
    <xf numFmtId="4" fontId="6" fillId="21" borderId="90" applyNumberFormat="0" applyProtection="0">
      <alignment horizontal="right" vertical="center"/>
    </xf>
    <xf numFmtId="0" fontId="6" fillId="20" borderId="70" applyNumberFormat="0" applyProtection="0">
      <alignment horizontal="left" vertical="center" indent="1"/>
    </xf>
    <xf numFmtId="0" fontId="6" fillId="0" borderId="75" applyNumberFormat="0" applyFont="0" applyFill="0" applyBorder="0" applyAlignment="0" applyProtection="0"/>
    <xf numFmtId="4" fontId="6" fillId="26" borderId="71" applyNumberFormat="0" applyProtection="0">
      <alignment horizontal="right" vertical="center"/>
    </xf>
    <xf numFmtId="0" fontId="6" fillId="0" borderId="82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4" fontId="32" fillId="26" borderId="73" applyNumberFormat="0" applyProtection="0">
      <alignment vertical="center"/>
    </xf>
    <xf numFmtId="4" fontId="73" fillId="30" borderId="71" applyNumberFormat="0" applyProtection="0">
      <alignment horizontal="right" vertical="center"/>
    </xf>
    <xf numFmtId="0" fontId="6" fillId="0" borderId="101" applyNumberFormat="0" applyFont="0" applyFill="0" applyBorder="0" applyAlignment="0" applyProtection="0"/>
    <xf numFmtId="0" fontId="6" fillId="20" borderId="70" applyNumberFormat="0" applyProtection="0">
      <alignment horizontal="left" vertical="center" indent="1"/>
    </xf>
    <xf numFmtId="0" fontId="79" fillId="4" borderId="92" applyNumberFormat="0" applyAlignment="0" applyProtection="0"/>
    <xf numFmtId="4" fontId="6" fillId="20" borderId="70" applyNumberFormat="0" applyProtection="0">
      <alignment horizontal="left" vertical="center" indent="1"/>
    </xf>
    <xf numFmtId="0" fontId="17" fillId="36" borderId="87" applyNumberFormat="0" applyFont="0" applyAlignment="0" applyProtection="0"/>
    <xf numFmtId="4" fontId="6" fillId="26" borderId="74" applyNumberFormat="0" applyProtection="0">
      <alignment horizontal="right" vertical="center"/>
    </xf>
    <xf numFmtId="4" fontId="6" fillId="5" borderId="71" applyNumberFormat="0" applyProtection="0">
      <alignment horizontal="right" vertical="center"/>
    </xf>
    <xf numFmtId="0" fontId="17" fillId="36" borderId="77" applyNumberFormat="0" applyFont="0" applyAlignment="0" applyProtection="0"/>
    <xf numFmtId="0" fontId="6" fillId="20" borderId="84" applyNumberFormat="0" applyProtection="0">
      <alignment horizontal="left" vertical="top" indent="1"/>
    </xf>
    <xf numFmtId="4" fontId="6" fillId="20" borderId="71" applyNumberFormat="0" applyProtection="0">
      <alignment horizontal="left" vertical="center" indent="1"/>
    </xf>
    <xf numFmtId="4" fontId="6" fillId="0" borderId="74" applyNumberFormat="0" applyProtection="0">
      <alignment horizontal="right" vertical="center"/>
    </xf>
    <xf numFmtId="0" fontId="6" fillId="0" borderId="75" applyNumberFormat="0" applyFont="0" applyFill="0" applyBorder="0" applyAlignment="0" applyProtection="0"/>
    <xf numFmtId="0" fontId="17" fillId="36" borderId="93" applyNumberFormat="0" applyFont="0" applyAlignment="0" applyProtection="0"/>
    <xf numFmtId="0" fontId="79" fillId="4" borderId="103" applyNumberFormat="0" applyAlignment="0" applyProtection="0"/>
    <xf numFmtId="0" fontId="17" fillId="36" borderId="102" applyNumberFormat="0" applyFont="0" applyAlignment="0" applyProtection="0"/>
    <xf numFmtId="0" fontId="6" fillId="0" borderId="82" applyNumberFormat="0" applyFont="0" applyFill="0" applyBorder="0" applyAlignment="0" applyProtection="0"/>
    <xf numFmtId="4" fontId="73" fillId="29" borderId="71" applyNumberFormat="0" applyProtection="0">
      <alignment horizontal="right" vertical="center"/>
    </xf>
    <xf numFmtId="0" fontId="6" fillId="0" borderId="82" applyNumberFormat="0" applyFont="0" applyFill="0" applyBorder="0" applyAlignment="0" applyProtection="0"/>
    <xf numFmtId="0" fontId="86" fillId="5" borderId="76" applyNumberFormat="0" applyAlignment="0" applyProtection="0"/>
    <xf numFmtId="4" fontId="38" fillId="33" borderId="71" applyNumberFormat="0" applyProtection="0">
      <alignment vertical="center"/>
    </xf>
    <xf numFmtId="0" fontId="6" fillId="0" borderId="75" applyNumberFormat="0" applyFont="0" applyFill="0" applyBorder="0" applyAlignment="0" applyProtection="0"/>
    <xf numFmtId="0" fontId="17" fillId="36" borderId="77" applyNumberFormat="0" applyFont="0" applyAlignment="0" applyProtection="0"/>
    <xf numFmtId="0" fontId="6" fillId="20" borderId="80" applyNumberFormat="0" applyProtection="0">
      <alignment horizontal="left" vertical="top" indent="1"/>
    </xf>
    <xf numFmtId="0" fontId="6" fillId="20" borderId="70" applyNumberFormat="0" applyProtection="0">
      <alignment horizontal="left" vertical="center" indent="1"/>
    </xf>
    <xf numFmtId="0" fontId="17" fillId="36" borderId="102" applyNumberFormat="0" applyFont="0" applyAlignment="0" applyProtection="0"/>
    <xf numFmtId="4" fontId="6" fillId="19" borderId="71" applyNumberFormat="0" applyProtection="0">
      <alignment horizontal="right" vertical="center"/>
    </xf>
    <xf numFmtId="0" fontId="32" fillId="27" borderId="74" applyNumberFormat="0" applyProtection="0">
      <alignment horizontal="left" vertical="top" indent="1"/>
    </xf>
    <xf numFmtId="0" fontId="79" fillId="4" borderId="86" applyNumberFormat="0" applyAlignment="0" applyProtection="0"/>
    <xf numFmtId="0" fontId="17" fillId="36" borderId="93" applyNumberFormat="0" applyFont="0" applyAlignment="0" applyProtection="0"/>
    <xf numFmtId="0" fontId="32" fillId="27" borderId="71" applyNumberFormat="0" applyProtection="0">
      <alignment horizontal="left" vertical="top" indent="1"/>
    </xf>
    <xf numFmtId="0" fontId="6" fillId="0" borderId="82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86" fillId="5" borderId="86" applyNumberFormat="0" applyAlignment="0" applyProtection="0"/>
    <xf numFmtId="4" fontId="6" fillId="34" borderId="70" applyNumberFormat="0" applyProtection="0">
      <alignment horizontal="right" vertical="center"/>
    </xf>
    <xf numFmtId="0" fontId="86" fillId="5" borderId="92" applyNumberFormat="0" applyAlignment="0" applyProtection="0"/>
    <xf numFmtId="4" fontId="6" fillId="21" borderId="74" applyNumberFormat="0" applyProtection="0">
      <alignment horizontal="right" vertical="center"/>
    </xf>
    <xf numFmtId="0" fontId="86" fillId="5" borderId="103" applyNumberFormat="0" applyAlignment="0" applyProtection="0"/>
    <xf numFmtId="0" fontId="6" fillId="20" borderId="70" applyNumberFormat="0" applyProtection="0">
      <alignment horizontal="left" vertical="center" indent="1"/>
    </xf>
    <xf numFmtId="0" fontId="6" fillId="20" borderId="90" applyNumberFormat="0" applyProtection="0">
      <alignment horizontal="left" vertical="top" indent="1"/>
    </xf>
    <xf numFmtId="0" fontId="2" fillId="0" borderId="0"/>
    <xf numFmtId="43" fontId="2" fillId="0" borderId="0" applyFont="0" applyFill="0" applyBorder="0" applyAlignment="0" applyProtection="0"/>
    <xf numFmtId="0" fontId="6" fillId="20" borderId="73" applyNumberFormat="0" applyProtection="0">
      <alignment horizontal="left" vertical="center" indent="1"/>
    </xf>
    <xf numFmtId="0" fontId="79" fillId="4" borderId="86" applyNumberFormat="0" applyAlignment="0" applyProtection="0"/>
    <xf numFmtId="0" fontId="6" fillId="20" borderId="74" applyNumberFormat="0" applyProtection="0">
      <alignment horizontal="left" vertical="top" indent="1"/>
    </xf>
    <xf numFmtId="0" fontId="6" fillId="0" borderId="101" applyNumberFormat="0" applyFont="0" applyFill="0" applyBorder="0" applyAlignment="0" applyProtection="0"/>
    <xf numFmtId="4" fontId="74" fillId="33" borderId="74" applyNumberFormat="0" applyProtection="0">
      <alignment vertical="center"/>
    </xf>
    <xf numFmtId="0" fontId="6" fillId="20" borderId="70" applyNumberFormat="0" applyProtection="0">
      <alignment horizontal="left" vertical="center" indent="1"/>
    </xf>
    <xf numFmtId="0" fontId="6" fillId="20" borderId="74" applyNumberFormat="0" applyProtection="0">
      <alignment horizontal="left" vertical="top" indent="1"/>
    </xf>
    <xf numFmtId="0" fontId="6" fillId="20" borderId="70" applyNumberFormat="0" applyProtection="0">
      <alignment horizontal="left" vertical="center" indent="1"/>
    </xf>
    <xf numFmtId="4" fontId="32" fillId="34" borderId="73" applyNumberFormat="0" applyProtection="0">
      <alignment horizontal="right" vertical="center"/>
    </xf>
    <xf numFmtId="0" fontId="6" fillId="20" borderId="70" applyNumberFormat="0" applyProtection="0">
      <alignment horizontal="left" vertical="center" indent="1"/>
    </xf>
    <xf numFmtId="0" fontId="6" fillId="20" borderId="73" applyNumberFormat="0" applyProtection="0">
      <alignment horizontal="left" vertical="top" indent="1"/>
    </xf>
    <xf numFmtId="0" fontId="6" fillId="0" borderId="75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4" fontId="32" fillId="26" borderId="73" applyNumberFormat="0" applyProtection="0">
      <alignment horizontal="left" vertical="center" indent="1"/>
    </xf>
    <xf numFmtId="0" fontId="6" fillId="0" borderId="82" applyNumberFormat="0" applyFont="0" applyFill="0" applyBorder="0" applyAlignment="0" applyProtection="0"/>
    <xf numFmtId="4" fontId="73" fillId="28" borderId="74" applyNumberFormat="0" applyProtection="0">
      <alignment horizontal="right" vertical="center"/>
    </xf>
    <xf numFmtId="4" fontId="6" fillId="5" borderId="74" applyNumberFormat="0" applyProtection="0">
      <alignment horizontal="right" vertical="center"/>
    </xf>
    <xf numFmtId="4" fontId="6" fillId="19" borderId="74" applyNumberFormat="0" applyProtection="0">
      <alignment horizontal="right" vertical="center"/>
    </xf>
    <xf numFmtId="4" fontId="73" fillId="30" borderId="74" applyNumberFormat="0" applyProtection="0">
      <alignment horizontal="right" vertical="center"/>
    </xf>
    <xf numFmtId="0" fontId="86" fillId="5" borderId="92" applyNumberFormat="0" applyAlignment="0" applyProtection="0"/>
    <xf numFmtId="0" fontId="6" fillId="0" borderId="85" applyNumberFormat="0" applyFont="0" applyFill="0" applyBorder="0" applyAlignment="0" applyProtection="0"/>
    <xf numFmtId="0" fontId="6" fillId="20" borderId="84" applyNumberFormat="0" applyProtection="0">
      <alignment horizontal="left" vertical="top" indent="1"/>
    </xf>
    <xf numFmtId="0" fontId="6" fillId="20" borderId="73" applyNumberFormat="0" applyProtection="0">
      <alignment horizontal="left" vertical="center" indent="1"/>
    </xf>
    <xf numFmtId="0" fontId="6" fillId="20" borderId="73" applyNumberFormat="0" applyProtection="0">
      <alignment horizontal="left" vertical="center" indent="1"/>
    </xf>
    <xf numFmtId="0" fontId="6" fillId="20" borderId="73" applyNumberFormat="0" applyProtection="0">
      <alignment horizontal="left" vertical="center" indent="1"/>
    </xf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79" fillId="4" borderId="76" applyNumberFormat="0" applyAlignment="0" applyProtection="0"/>
    <xf numFmtId="0" fontId="2" fillId="18" borderId="0" applyNumberFormat="0" applyBorder="0" applyAlignment="0" applyProtection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71" applyNumberFormat="0" applyProtection="0">
      <alignment horizontal="left" vertical="top" indent="1"/>
    </xf>
    <xf numFmtId="4" fontId="6" fillId="21" borderId="71" applyNumberFormat="0" applyProtection="0">
      <alignment horizontal="right" vertical="center"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75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75" applyNumberFormat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32" fillId="26" borderId="70" applyNumberFormat="0" applyProtection="0">
      <alignment vertical="center"/>
    </xf>
    <xf numFmtId="4" fontId="6" fillId="20" borderId="70" applyNumberFormat="0" applyProtection="0">
      <alignment horizontal="right" vertical="center"/>
    </xf>
    <xf numFmtId="0" fontId="6" fillId="20" borderId="89" applyNumberFormat="0" applyProtection="0">
      <alignment horizontal="left" vertical="center" indent="1"/>
    </xf>
    <xf numFmtId="0" fontId="17" fillId="36" borderId="87" applyNumberFormat="0" applyFont="0" applyAlignment="0" applyProtection="0"/>
    <xf numFmtId="0" fontId="6" fillId="20" borderId="71" applyNumberFormat="0" applyProtection="0">
      <alignment horizontal="left" vertical="top" indent="1"/>
    </xf>
    <xf numFmtId="0" fontId="86" fillId="5" borderId="76" applyNumberFormat="0" applyAlignment="0" applyProtection="0"/>
    <xf numFmtId="0" fontId="17" fillId="36" borderId="87" applyNumberFormat="0" applyFont="0" applyAlignment="0" applyProtection="0"/>
    <xf numFmtId="0" fontId="17" fillId="36" borderId="102" applyNumberFormat="0" applyFont="0" applyAlignment="0" applyProtection="0"/>
    <xf numFmtId="4" fontId="32" fillId="26" borderId="73" applyNumberFormat="0" applyProtection="0">
      <alignment vertical="center"/>
    </xf>
    <xf numFmtId="0" fontId="6" fillId="20" borderId="83" applyNumberFormat="0" applyProtection="0">
      <alignment horizontal="left" vertical="center" indent="1"/>
    </xf>
    <xf numFmtId="4" fontId="32" fillId="26" borderId="73" applyNumberFormat="0" applyProtection="0">
      <alignment horizontal="left" vertical="center" indent="1"/>
    </xf>
    <xf numFmtId="4" fontId="73" fillId="22" borderId="71" applyNumberFormat="0" applyProtection="0">
      <alignment horizontal="right" vertical="center"/>
    </xf>
    <xf numFmtId="4" fontId="6" fillId="5" borderId="74" applyNumberFormat="0" applyProtection="0">
      <alignment horizontal="right" vertical="center"/>
    </xf>
    <xf numFmtId="0" fontId="6" fillId="20" borderId="71" applyNumberFormat="0" applyProtection="0">
      <alignment horizontal="left" vertical="top" indent="1"/>
    </xf>
    <xf numFmtId="0" fontId="6" fillId="20" borderId="96" applyNumberFormat="0" applyProtection="0">
      <alignment horizontal="left" vertical="center" indent="1"/>
    </xf>
    <xf numFmtId="0" fontId="6" fillId="0" borderId="101" applyNumberFormat="0" applyFont="0" applyFill="0" applyBorder="0" applyAlignment="0" applyProtection="0"/>
    <xf numFmtId="4" fontId="73" fillId="30" borderId="90" applyNumberFormat="0" applyProtection="0">
      <alignment horizontal="right" vertical="center"/>
    </xf>
    <xf numFmtId="4" fontId="32" fillId="34" borderId="70" applyNumberFormat="0" applyProtection="0">
      <alignment horizontal="right" vertical="center"/>
    </xf>
    <xf numFmtId="0" fontId="86" fillId="5" borderId="92" applyNumberFormat="0" applyAlignment="0" applyProtection="0"/>
    <xf numFmtId="4" fontId="6" fillId="19" borderId="74" applyNumberFormat="0" applyProtection="0">
      <alignment horizontal="right" vertical="center"/>
    </xf>
    <xf numFmtId="0" fontId="6" fillId="0" borderId="75" applyNumberFormat="0" applyFont="0" applyFill="0" applyBorder="0" applyAlignment="0" applyProtection="0"/>
    <xf numFmtId="0" fontId="79" fillId="4" borderId="92" applyNumberFormat="0" applyAlignment="0" applyProtection="0"/>
    <xf numFmtId="4" fontId="74" fillId="33" borderId="71" applyNumberFormat="0" applyProtection="0">
      <alignment vertical="center"/>
    </xf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20" borderId="89" applyNumberFormat="0" applyProtection="0">
      <alignment horizontal="left" vertical="center" indent="1"/>
    </xf>
    <xf numFmtId="0" fontId="6" fillId="0" borderId="101" applyNumberFormat="0" applyFont="0" applyFill="0" applyBorder="0" applyAlignment="0" applyProtection="0"/>
    <xf numFmtId="0" fontId="79" fillId="4" borderId="103" applyNumberFormat="0" applyAlignment="0" applyProtection="0"/>
    <xf numFmtId="0" fontId="86" fillId="5" borderId="103" applyNumberFormat="0" applyAlignment="0" applyProtection="0"/>
    <xf numFmtId="0" fontId="6" fillId="0" borderId="101" applyNumberFormat="0" applyFont="0" applyFill="0" applyBorder="0" applyAlignment="0" applyProtection="0"/>
    <xf numFmtId="0" fontId="17" fillId="36" borderId="102" applyNumberFormat="0" applyFont="0" applyAlignment="0" applyProtection="0"/>
    <xf numFmtId="4" fontId="6" fillId="20" borderId="73" applyNumberFormat="0" applyProtection="0">
      <alignment horizontal="left" vertical="center" indent="1"/>
    </xf>
    <xf numFmtId="4" fontId="73" fillId="28" borderId="71" applyNumberFormat="0" applyProtection="0">
      <alignment horizontal="right" vertical="center"/>
    </xf>
    <xf numFmtId="0" fontId="79" fillId="4" borderId="76" applyNumberFormat="0" applyAlignment="0" applyProtection="0"/>
    <xf numFmtId="0" fontId="6" fillId="20" borderId="71" applyNumberFormat="0" applyProtection="0">
      <alignment horizontal="left" vertical="top" indent="1"/>
    </xf>
    <xf numFmtId="0" fontId="6" fillId="20" borderId="83" applyNumberFormat="0" applyProtection="0">
      <alignment horizontal="left" vertical="center" indent="1"/>
    </xf>
    <xf numFmtId="0" fontId="6" fillId="0" borderId="75" applyNumberFormat="0" applyFont="0" applyFill="0" applyBorder="0" applyAlignment="0" applyProtection="0"/>
    <xf numFmtId="0" fontId="79" fillId="4" borderId="92" applyNumberFormat="0" applyAlignment="0" applyProtection="0"/>
    <xf numFmtId="0" fontId="6" fillId="0" borderId="82" applyNumberFormat="0" applyFont="0" applyFill="0" applyBorder="0" applyAlignment="0" applyProtection="0"/>
    <xf numFmtId="0" fontId="86" fillId="5" borderId="103" applyNumberFormat="0" applyAlignment="0" applyProtection="0"/>
    <xf numFmtId="4" fontId="6" fillId="17" borderId="71" applyNumberFormat="0" applyProtection="0">
      <alignment horizontal="right" vertical="center"/>
    </xf>
    <xf numFmtId="0" fontId="6" fillId="0" borderId="82" applyNumberFormat="0" applyFont="0" applyFill="0" applyBorder="0" applyAlignment="0" applyProtection="0"/>
    <xf numFmtId="4" fontId="32" fillId="26" borderId="80" applyNumberFormat="0" applyProtection="0">
      <alignment horizontal="left" vertical="center" indent="1"/>
    </xf>
    <xf numFmtId="0" fontId="89" fillId="4" borderId="78" applyNumberFormat="0" applyAlignment="0" applyProtection="0"/>
    <xf numFmtId="4" fontId="32" fillId="26" borderId="70" applyNumberFormat="0" applyProtection="0">
      <alignment horizontal="left" vertical="center" indent="1"/>
    </xf>
    <xf numFmtId="0" fontId="86" fillId="5" borderId="86" applyNumberFormat="0" applyAlignment="0" applyProtection="0"/>
    <xf numFmtId="0" fontId="86" fillId="5" borderId="103" applyNumberFormat="0" applyAlignment="0" applyProtection="0"/>
    <xf numFmtId="0" fontId="6" fillId="0" borderId="82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" fontId="32" fillId="26" borderId="99" applyNumberFormat="0" applyProtection="0">
      <alignment vertical="center"/>
    </xf>
    <xf numFmtId="0" fontId="6" fillId="20" borderId="73" applyNumberFormat="0" applyProtection="0">
      <alignment horizontal="left" vertical="top" indent="1"/>
    </xf>
    <xf numFmtId="0" fontId="6" fillId="20" borderId="71" applyNumberFormat="0" applyProtection="0">
      <alignment horizontal="left" vertical="top" indent="1"/>
    </xf>
    <xf numFmtId="0" fontId="6" fillId="0" borderId="75" applyNumberFormat="0" applyFont="0" applyFill="0" applyBorder="0" applyAlignment="0" applyProtection="0"/>
    <xf numFmtId="0" fontId="6" fillId="20" borderId="71" applyNumberFormat="0" applyProtection="0">
      <alignment horizontal="left" vertical="top" indent="1"/>
    </xf>
    <xf numFmtId="0" fontId="6" fillId="20" borderId="100" applyNumberFormat="0" applyProtection="0">
      <alignment horizontal="left" vertical="top" indent="1"/>
    </xf>
    <xf numFmtId="0" fontId="2" fillId="0" borderId="0"/>
    <xf numFmtId="43" fontId="2" fillId="0" borderId="0" applyFont="0" applyFill="0" applyBorder="0" applyAlignment="0" applyProtection="0"/>
    <xf numFmtId="0" fontId="6" fillId="20" borderId="74" applyNumberFormat="0" applyProtection="0">
      <alignment horizontal="left" vertical="top" indent="1"/>
    </xf>
    <xf numFmtId="0" fontId="6" fillId="20" borderId="90" applyNumberFormat="0" applyProtection="0">
      <alignment horizontal="left" vertical="top" indent="1"/>
    </xf>
    <xf numFmtId="4" fontId="38" fillId="33" borderId="74" applyNumberFormat="0" applyProtection="0">
      <alignment vertical="center"/>
    </xf>
    <xf numFmtId="0" fontId="6" fillId="20" borderId="71" applyNumberFormat="0" applyProtection="0">
      <alignment horizontal="left" vertical="top" indent="1"/>
    </xf>
    <xf numFmtId="4" fontId="6" fillId="20" borderId="74" applyNumberFormat="0" applyProtection="0">
      <alignment horizontal="left" vertical="center" indent="1"/>
    </xf>
    <xf numFmtId="0" fontId="6" fillId="20" borderId="71" applyNumberFormat="0" applyProtection="0">
      <alignment horizontal="left" vertical="top" indent="1"/>
    </xf>
    <xf numFmtId="4" fontId="6" fillId="34" borderId="73" applyNumberFormat="0" applyProtection="0">
      <alignment horizontal="right" vertical="center"/>
    </xf>
    <xf numFmtId="0" fontId="6" fillId="20" borderId="71" applyNumberFormat="0" applyProtection="0">
      <alignment horizontal="left" vertical="top" indent="1"/>
    </xf>
    <xf numFmtId="4" fontId="6" fillId="20" borderId="73" applyNumberFormat="0" applyProtection="0">
      <alignment horizontal="left" vertical="center" indent="1"/>
    </xf>
    <xf numFmtId="0" fontId="6" fillId="0" borderId="82" applyNumberFormat="0" applyFont="0" applyFill="0" applyBorder="0" applyAlignment="0" applyProtection="0"/>
    <xf numFmtId="0" fontId="17" fillId="36" borderId="87" applyNumberFormat="0" applyFont="0" applyAlignment="0" applyProtection="0"/>
    <xf numFmtId="0" fontId="6" fillId="0" borderId="101" applyNumberFormat="0" applyFont="0" applyFill="0" applyBorder="0" applyAlignment="0" applyProtection="0"/>
    <xf numFmtId="0" fontId="17" fillId="36" borderId="87" applyNumberFormat="0" applyFont="0" applyAlignment="0" applyProtection="0"/>
    <xf numFmtId="0" fontId="32" fillId="27" borderId="74" applyNumberFormat="0" applyProtection="0">
      <alignment horizontal="left" vertical="top" indent="1"/>
    </xf>
    <xf numFmtId="4" fontId="6" fillId="26" borderId="74" applyNumberFormat="0" applyProtection="0">
      <alignment horizontal="right" vertical="center"/>
    </xf>
    <xf numFmtId="4" fontId="73" fillId="29" borderId="74" applyNumberFormat="0" applyProtection="0">
      <alignment horizontal="right" vertical="center"/>
    </xf>
    <xf numFmtId="4" fontId="6" fillId="17" borderId="74" applyNumberFormat="0" applyProtection="0">
      <alignment horizontal="right" vertical="center"/>
    </xf>
    <xf numFmtId="4" fontId="73" fillId="22" borderId="74" applyNumberFormat="0" applyProtection="0">
      <alignment horizontal="right" vertical="center"/>
    </xf>
    <xf numFmtId="4" fontId="6" fillId="21" borderId="74" applyNumberFormat="0" applyProtection="0">
      <alignment horizontal="right" vertical="center"/>
    </xf>
    <xf numFmtId="0" fontId="6" fillId="0" borderId="85" applyNumberFormat="0" applyFont="0" applyFill="0" applyBorder="0" applyAlignment="0" applyProtection="0"/>
    <xf numFmtId="4" fontId="6" fillId="20" borderId="73" applyNumberFormat="0" applyProtection="0">
      <alignment horizontal="right" vertical="center"/>
    </xf>
    <xf numFmtId="0" fontId="86" fillId="5" borderId="103" applyNumberFormat="0" applyAlignment="0" applyProtection="0"/>
    <xf numFmtId="0" fontId="6" fillId="20" borderId="74" applyNumberFormat="0" applyProtection="0">
      <alignment horizontal="left" vertical="top" indent="1"/>
    </xf>
    <xf numFmtId="0" fontId="6" fillId="20" borderId="74" applyNumberFormat="0" applyProtection="0">
      <alignment horizontal="left" vertical="top" indent="1"/>
    </xf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36" borderId="102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6" fillId="26" borderId="71" applyNumberFormat="0" applyProtection="0">
      <alignment horizontal="right" vertical="center"/>
    </xf>
    <xf numFmtId="4" fontId="6" fillId="5" borderId="71" applyNumberFormat="0" applyProtection="0">
      <alignment horizontal="right" vertical="center"/>
    </xf>
    <xf numFmtId="4" fontId="6" fillId="17" borderId="71" applyNumberFormat="0" applyProtection="0">
      <alignment horizontal="right" vertical="center"/>
    </xf>
    <xf numFmtId="4" fontId="6" fillId="19" borderId="71" applyNumberFormat="0" applyProtection="0">
      <alignment horizontal="right" vertical="center"/>
    </xf>
    <xf numFmtId="4" fontId="6" fillId="21" borderId="71" applyNumberFormat="0" applyProtection="0">
      <alignment horizontal="right" vertical="center"/>
    </xf>
    <xf numFmtId="0" fontId="6" fillId="0" borderId="82" applyNumberFormat="0" applyFont="0" applyFill="0" applyBorder="0" applyAlignment="0" applyProtection="0"/>
    <xf numFmtId="4" fontId="6" fillId="21" borderId="100" applyNumberFormat="0" applyProtection="0">
      <alignment horizontal="right" vertical="center"/>
    </xf>
    <xf numFmtId="0" fontId="17" fillId="36" borderId="93" applyNumberFormat="0" applyFont="0" applyAlignment="0" applyProtection="0"/>
    <xf numFmtId="4" fontId="6" fillId="20" borderId="70" applyNumberFormat="0" applyProtection="0">
      <alignment horizontal="right" vertical="center"/>
    </xf>
    <xf numFmtId="0" fontId="6" fillId="0" borderId="82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4" fontId="6" fillId="20" borderId="71" applyNumberFormat="0" applyProtection="0">
      <alignment horizontal="left" vertical="center" indent="1"/>
    </xf>
    <xf numFmtId="0" fontId="6" fillId="20" borderId="71" applyNumberFormat="0" applyProtection="0">
      <alignment horizontal="left" vertical="top" indent="1"/>
    </xf>
    <xf numFmtId="4" fontId="6" fillId="34" borderId="70" applyNumberFormat="0" applyProtection="0">
      <alignment horizontal="right" vertical="center"/>
    </xf>
    <xf numFmtId="4" fontId="32" fillId="34" borderId="70" applyNumberFormat="0" applyProtection="0">
      <alignment horizontal="right" vertical="center"/>
    </xf>
    <xf numFmtId="4" fontId="6" fillId="20" borderId="70" applyNumberFormat="0" applyProtection="0">
      <alignment horizontal="left" vertical="center" indent="1"/>
    </xf>
    <xf numFmtId="0" fontId="6" fillId="20" borderId="70" applyNumberFormat="0" applyProtection="0">
      <alignment horizontal="left" vertical="top" indent="1"/>
    </xf>
    <xf numFmtId="4" fontId="6" fillId="0" borderId="71" applyNumberFormat="0" applyProtection="0">
      <alignment horizontal="right" vertical="center"/>
    </xf>
    <xf numFmtId="0" fontId="6" fillId="0" borderId="72" applyNumberFormat="0" applyFont="0" applyFill="0" applyBorder="0" applyAlignment="0" applyProtection="0"/>
    <xf numFmtId="0" fontId="86" fillId="5" borderId="76" applyNumberFormat="0" applyAlignment="0" applyProtection="0"/>
    <xf numFmtId="0" fontId="86" fillId="5" borderId="76" applyNumberFormat="0" applyAlignment="0" applyProtection="0"/>
    <xf numFmtId="0" fontId="17" fillId="36" borderId="87" applyNumberFormat="0" applyFont="0" applyAlignment="0" applyProtection="0"/>
    <xf numFmtId="4" fontId="6" fillId="0" borderId="81" applyNumberFormat="0" applyProtection="0">
      <alignment horizontal="right" vertical="center"/>
    </xf>
    <xf numFmtId="0" fontId="17" fillId="36" borderId="93" applyNumberFormat="0" applyFont="0" applyAlignment="0" applyProtection="0"/>
    <xf numFmtId="0" fontId="86" fillId="5" borderId="86" applyNumberFormat="0" applyAlignment="0" applyProtection="0"/>
    <xf numFmtId="0" fontId="79" fillId="4" borderId="92" applyNumberFormat="0" applyAlignment="0" applyProtection="0"/>
    <xf numFmtId="0" fontId="6" fillId="20" borderId="74" applyNumberFormat="0" applyProtection="0">
      <alignment horizontal="left" vertical="top" indent="1"/>
    </xf>
    <xf numFmtId="0" fontId="86" fillId="5" borderId="92" applyNumberFormat="0" applyAlignment="0" applyProtection="0"/>
    <xf numFmtId="0" fontId="6" fillId="0" borderId="91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20" borderId="73" applyNumberFormat="0" applyProtection="0">
      <alignment horizontal="left" vertical="center" indent="1"/>
    </xf>
    <xf numFmtId="0" fontId="79" fillId="4" borderId="92" applyNumberFormat="0" applyAlignment="0" applyProtection="0"/>
    <xf numFmtId="4" fontId="6" fillId="20" borderId="90" applyNumberFormat="0" applyProtection="0">
      <alignment horizontal="left" vertical="center" indent="1"/>
    </xf>
    <xf numFmtId="4" fontId="6" fillId="19" borderId="81" applyNumberFormat="0" applyProtection="0">
      <alignment horizontal="right" vertical="center"/>
    </xf>
    <xf numFmtId="0" fontId="17" fillId="36" borderId="77" applyNumberFormat="0" applyFont="0" applyAlignment="0" applyProtection="0"/>
    <xf numFmtId="0" fontId="6" fillId="0" borderId="72" applyNumberFormat="0" applyFont="0" applyFill="0" applyBorder="0" applyAlignment="0" applyProtection="0"/>
    <xf numFmtId="4" fontId="6" fillId="17" borderId="100" applyNumberFormat="0" applyProtection="0">
      <alignment horizontal="right" vertical="center"/>
    </xf>
    <xf numFmtId="0" fontId="6" fillId="0" borderId="72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4" fontId="6" fillId="20" borderId="81" applyNumberFormat="0" applyProtection="0">
      <alignment horizontal="left" vertical="center" indent="1"/>
    </xf>
    <xf numFmtId="0" fontId="6" fillId="0" borderId="72" applyNumberFormat="0" applyFont="0" applyFill="0" applyBorder="0" applyAlignment="0" applyProtection="0"/>
    <xf numFmtId="0" fontId="6" fillId="20" borderId="73" applyNumberFormat="0" applyProtection="0">
      <alignment horizontal="left" vertical="center" indent="1"/>
    </xf>
    <xf numFmtId="0" fontId="6" fillId="0" borderId="72" applyNumberFormat="0" applyFont="0" applyFill="0" applyBorder="0" applyAlignment="0" applyProtection="0"/>
    <xf numFmtId="0" fontId="79" fillId="4" borderId="92" applyNumberFormat="0" applyAlignment="0" applyProtection="0"/>
    <xf numFmtId="0" fontId="17" fillId="36" borderId="77" applyNumberFormat="0" applyFont="0" applyAlignment="0" applyProtection="0"/>
    <xf numFmtId="0" fontId="6" fillId="0" borderId="91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17" fillId="36" borderId="93" applyNumberFormat="0" applyFont="0" applyAlignment="0" applyProtection="0"/>
    <xf numFmtId="0" fontId="6" fillId="0" borderId="72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0" fontId="17" fillId="36" borderId="77" applyNumberFormat="0" applyFont="0" applyAlignment="0" applyProtection="0"/>
    <xf numFmtId="0" fontId="6" fillId="0" borderId="72" applyNumberFormat="0" applyFont="0" applyFill="0" applyBorder="0" applyAlignment="0" applyProtection="0"/>
    <xf numFmtId="0" fontId="86" fillId="5" borderId="86" applyNumberFormat="0" applyAlignment="0" applyProtection="0"/>
    <xf numFmtId="0" fontId="6" fillId="0" borderId="75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79" fillId="4" borderId="103" applyNumberFormat="0" applyAlignment="0" applyProtection="0"/>
    <xf numFmtId="0" fontId="6" fillId="0" borderId="72" applyNumberFormat="0" applyFont="0" applyFill="0" applyBorder="0" applyAlignment="0" applyProtection="0"/>
    <xf numFmtId="0" fontId="17" fillId="36" borderId="77" applyNumberFormat="0" applyFont="0" applyAlignment="0" applyProtection="0"/>
    <xf numFmtId="0" fontId="79" fillId="4" borderId="92" applyNumberFormat="0" applyAlignment="0" applyProtection="0"/>
    <xf numFmtId="0" fontId="6" fillId="0" borderId="91" applyNumberFormat="0" applyFont="0" applyFill="0" applyBorder="0" applyAlignment="0" applyProtection="0"/>
    <xf numFmtId="4" fontId="6" fillId="17" borderId="84" applyNumberFormat="0" applyProtection="0">
      <alignment horizontal="right" vertical="center"/>
    </xf>
    <xf numFmtId="0" fontId="86" fillId="5" borderId="86" applyNumberFormat="0" applyAlignment="0" applyProtection="0"/>
    <xf numFmtId="4" fontId="6" fillId="34" borderId="80" applyNumberFormat="0" applyProtection="0">
      <alignment horizontal="right" vertical="center"/>
    </xf>
    <xf numFmtId="4" fontId="6" fillId="20" borderId="80" applyNumberFormat="0" applyProtection="0">
      <alignment horizontal="left" vertical="center" indent="1"/>
    </xf>
    <xf numFmtId="4" fontId="32" fillId="34" borderId="83" applyNumberFormat="0" applyProtection="0">
      <alignment horizontal="right" vertical="center"/>
    </xf>
    <xf numFmtId="0" fontId="79" fillId="4" borderId="92" applyNumberFormat="0" applyAlignment="0" applyProtection="0"/>
    <xf numFmtId="0" fontId="6" fillId="0" borderId="75" applyNumberFormat="0" applyFont="0" applyFill="0" applyBorder="0" applyAlignment="0" applyProtection="0"/>
    <xf numFmtId="0" fontId="86" fillId="5" borderId="76" applyNumberFormat="0" applyAlignment="0" applyProtection="0"/>
    <xf numFmtId="0" fontId="6" fillId="0" borderId="72" applyNumberFormat="0" applyFont="0" applyFill="0" applyBorder="0" applyAlignment="0" applyProtection="0"/>
    <xf numFmtId="0" fontId="79" fillId="4" borderId="92" applyNumberFormat="0" applyAlignment="0" applyProtection="0"/>
    <xf numFmtId="0" fontId="6" fillId="0" borderId="72" applyNumberFormat="0" applyFont="0" applyFill="0" applyBorder="0" applyAlignment="0" applyProtection="0"/>
    <xf numFmtId="0" fontId="79" fillId="4" borderId="76" applyNumberFormat="0" applyAlignment="0" applyProtection="0"/>
    <xf numFmtId="0" fontId="17" fillId="36" borderId="77" applyNumberFormat="0" applyFont="0" applyAlignment="0" applyProtection="0"/>
    <xf numFmtId="0" fontId="6" fillId="0" borderId="72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86" fillId="5" borderId="92" applyNumberFormat="0" applyAlignment="0" applyProtection="0"/>
    <xf numFmtId="0" fontId="6" fillId="0" borderId="72" applyNumberFormat="0" applyFont="0" applyFill="0" applyBorder="0" applyAlignment="0" applyProtection="0"/>
    <xf numFmtId="0" fontId="86" fillId="5" borderId="76" applyNumberFormat="0" applyAlignment="0" applyProtection="0"/>
    <xf numFmtId="0" fontId="6" fillId="20" borderId="73" applyNumberFormat="0" applyProtection="0">
      <alignment horizontal="left" vertical="center" indent="1"/>
    </xf>
    <xf numFmtId="0" fontId="6" fillId="0" borderId="72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4" fontId="6" fillId="5" borderId="81" applyNumberFormat="0" applyProtection="0">
      <alignment horizontal="right" vertical="center"/>
    </xf>
    <xf numFmtId="0" fontId="86" fillId="5" borderId="92" applyNumberFormat="0" applyAlignment="0" applyProtection="0"/>
    <xf numFmtId="0" fontId="6" fillId="20" borderId="73" applyNumberFormat="0" applyProtection="0">
      <alignment horizontal="left" vertical="center" indent="1"/>
    </xf>
    <xf numFmtId="0" fontId="6" fillId="0" borderId="72" applyNumberFormat="0" applyFont="0" applyFill="0" applyBorder="0" applyAlignment="0" applyProtection="0"/>
    <xf numFmtId="0" fontId="79" fillId="4" borderId="76" applyNumberFormat="0" applyAlignment="0" applyProtection="0"/>
    <xf numFmtId="0" fontId="6" fillId="0" borderId="75" applyNumberFormat="0" applyFont="0" applyFill="0" applyBorder="0" applyAlignment="0" applyProtection="0"/>
    <xf numFmtId="4" fontId="31" fillId="26" borderId="81" applyNumberFormat="0" applyProtection="0">
      <alignment vertical="center"/>
    </xf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79" fillId="4" borderId="76" applyNumberFormat="0" applyAlignment="0" applyProtection="0"/>
    <xf numFmtId="0" fontId="6" fillId="20" borderId="100" applyNumberFormat="0" applyProtection="0">
      <alignment horizontal="left" vertical="top" indent="1"/>
    </xf>
    <xf numFmtId="0" fontId="17" fillId="36" borderId="77" applyNumberFormat="0" applyFont="0" applyAlignment="0" applyProtection="0"/>
    <xf numFmtId="0" fontId="6" fillId="0" borderId="91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79" fillId="4" borderId="76" applyNumberFormat="0" applyAlignment="0" applyProtection="0"/>
    <xf numFmtId="0" fontId="6" fillId="0" borderId="72" applyNumberFormat="0" applyFont="0" applyFill="0" applyBorder="0" applyAlignment="0" applyProtection="0"/>
    <xf numFmtId="0" fontId="86" fillId="5" borderId="76" applyNumberFormat="0" applyAlignment="0" applyProtection="0"/>
    <xf numFmtId="0" fontId="6" fillId="0" borderId="72" applyNumberFormat="0" applyFont="0" applyFill="0" applyBorder="0" applyAlignment="0" applyProtection="0"/>
    <xf numFmtId="0" fontId="86" fillId="5" borderId="76" applyNumberFormat="0" applyAlignment="0" applyProtection="0"/>
    <xf numFmtId="0" fontId="6" fillId="0" borderId="72" applyNumberFormat="0" applyFont="0" applyFill="0" applyBorder="0" applyAlignment="0" applyProtection="0"/>
    <xf numFmtId="0" fontId="79" fillId="4" borderId="76" applyNumberFormat="0" applyAlignment="0" applyProtection="0"/>
    <xf numFmtId="0" fontId="6" fillId="0" borderId="72" applyNumberFormat="0" applyFont="0" applyFill="0" applyBorder="0" applyAlignment="0" applyProtection="0"/>
    <xf numFmtId="0" fontId="86" fillId="5" borderId="76" applyNumberFormat="0" applyAlignment="0" applyProtection="0"/>
    <xf numFmtId="0" fontId="6" fillId="0" borderId="72" applyNumberFormat="0" applyFont="0" applyFill="0" applyBorder="0" applyAlignment="0" applyProtection="0"/>
    <xf numFmtId="0" fontId="79" fillId="4" borderId="76" applyNumberFormat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4" fontId="73" fillId="22" borderId="90" applyNumberFormat="0" applyProtection="0">
      <alignment horizontal="right" vertical="center"/>
    </xf>
    <xf numFmtId="0" fontId="6" fillId="0" borderId="85" applyNumberFormat="0" applyFont="0" applyFill="0" applyBorder="0" applyAlignment="0" applyProtection="0"/>
    <xf numFmtId="0" fontId="86" fillId="5" borderId="76" applyNumberFormat="0" applyAlignment="0" applyProtection="0"/>
    <xf numFmtId="0" fontId="6" fillId="0" borderId="75" applyNumberFormat="0" applyFont="0" applyFill="0" applyBorder="0" applyAlignment="0" applyProtection="0"/>
    <xf numFmtId="0" fontId="86" fillId="5" borderId="92" applyNumberFormat="0" applyAlignment="0" applyProtection="0"/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79" fillId="4" borderId="76" applyNumberFormat="0" applyAlignment="0" applyProtection="0"/>
    <xf numFmtId="0" fontId="17" fillId="36" borderId="93" applyNumberFormat="0" applyFont="0" applyAlignment="0" applyProtection="0"/>
    <xf numFmtId="4" fontId="32" fillId="26" borderId="80" applyNumberFormat="0" applyProtection="0">
      <alignment vertical="center"/>
    </xf>
    <xf numFmtId="0" fontId="6" fillId="0" borderId="91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86" fillId="5" borderId="76" applyNumberFormat="0" applyAlignment="0" applyProtection="0"/>
    <xf numFmtId="0" fontId="17" fillId="36" borderId="77" applyNumberFormat="0" applyFont="0" applyAlignment="0" applyProtection="0"/>
    <xf numFmtId="0" fontId="6" fillId="0" borderId="75" applyNumberFormat="0" applyFont="0" applyFill="0" applyBorder="0" applyAlignment="0" applyProtection="0"/>
    <xf numFmtId="0" fontId="17" fillId="36" borderId="77" applyNumberFormat="0" applyFont="0" applyAlignment="0" applyProtection="0"/>
    <xf numFmtId="0" fontId="86" fillId="5" borderId="76" applyNumberFormat="0" applyAlignment="0" applyProtection="0"/>
    <xf numFmtId="0" fontId="6" fillId="0" borderId="82" applyNumberFormat="0" applyFont="0" applyFill="0" applyBorder="0" applyAlignment="0" applyProtection="0"/>
    <xf numFmtId="0" fontId="6" fillId="20" borderId="97" applyNumberFormat="0" applyProtection="0">
      <alignment horizontal="left" vertical="top" indent="1"/>
    </xf>
    <xf numFmtId="0" fontId="6" fillId="0" borderId="75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0" fontId="17" fillId="36" borderId="87" applyNumberFormat="0" applyFont="0" applyAlignment="0" applyProtection="0"/>
    <xf numFmtId="0" fontId="6" fillId="0" borderId="82" applyNumberFormat="0" applyFont="0" applyFill="0" applyBorder="0" applyAlignment="0" applyProtection="0"/>
    <xf numFmtId="4" fontId="6" fillId="20" borderId="74" applyNumberFormat="0" applyProtection="0">
      <alignment horizontal="left" vertical="center" indent="1"/>
    </xf>
    <xf numFmtId="0" fontId="79" fillId="4" borderId="86" applyNumberFormat="0" applyAlignment="0" applyProtection="0"/>
    <xf numFmtId="0" fontId="79" fillId="4" borderId="76" applyNumberFormat="0" applyAlignment="0" applyProtection="0"/>
    <xf numFmtId="0" fontId="6" fillId="0" borderId="72" applyNumberFormat="0" applyFont="0" applyFill="0" applyBorder="0" applyAlignment="0" applyProtection="0"/>
    <xf numFmtId="0" fontId="6" fillId="20" borderId="74" applyNumberFormat="0" applyProtection="0">
      <alignment horizontal="left" vertical="top" indent="1"/>
    </xf>
    <xf numFmtId="4" fontId="6" fillId="17" borderId="81" applyNumberFormat="0" applyProtection="0">
      <alignment horizontal="right" vertical="center"/>
    </xf>
    <xf numFmtId="0" fontId="17" fillId="36" borderId="77" applyNumberFormat="0" applyFont="0" applyAlignment="0" applyProtection="0"/>
    <xf numFmtId="0" fontId="6" fillId="0" borderId="72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91" fillId="0" borderId="79" applyNumberFormat="0" applyFill="0" applyAlignment="0" applyProtection="0"/>
    <xf numFmtId="0" fontId="6" fillId="0" borderId="91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20" borderId="74" applyNumberFormat="0" applyProtection="0">
      <alignment horizontal="left" vertical="top" indent="1"/>
    </xf>
    <xf numFmtId="0" fontId="6" fillId="0" borderId="72" applyNumberFormat="0" applyFont="0" applyFill="0" applyBorder="0" applyAlignment="0" applyProtection="0"/>
    <xf numFmtId="0" fontId="6" fillId="20" borderId="89" applyNumberFormat="0" applyProtection="0">
      <alignment horizontal="left" vertical="center" indent="1"/>
    </xf>
    <xf numFmtId="0" fontId="32" fillId="27" borderId="81" applyNumberFormat="0" applyProtection="0">
      <alignment horizontal="left" vertical="top" indent="1"/>
    </xf>
    <xf numFmtId="0" fontId="17" fillId="36" borderId="77" applyNumberFormat="0" applyFont="0" applyAlignment="0" applyProtection="0"/>
    <xf numFmtId="0" fontId="86" fillId="5" borderId="86" applyNumberFormat="0" applyAlignment="0" applyProtection="0"/>
    <xf numFmtId="0" fontId="6" fillId="0" borderId="72" applyNumberFormat="0" applyFont="0" applyFill="0" applyBorder="0" applyAlignment="0" applyProtection="0"/>
    <xf numFmtId="0" fontId="17" fillId="36" borderId="102" applyNumberFormat="0" applyFont="0" applyAlignment="0" applyProtection="0"/>
    <xf numFmtId="0" fontId="6" fillId="0" borderId="72" applyNumberFormat="0" applyFont="0" applyFill="0" applyBorder="0" applyAlignment="0" applyProtection="0"/>
    <xf numFmtId="4" fontId="32" fillId="34" borderId="99" applyNumberFormat="0" applyProtection="0">
      <alignment horizontal="right" vertical="center"/>
    </xf>
    <xf numFmtId="0" fontId="17" fillId="36" borderId="77" applyNumberFormat="0" applyFont="0" applyAlignment="0" applyProtection="0"/>
    <xf numFmtId="0" fontId="6" fillId="0" borderId="72" applyNumberFormat="0" applyFont="0" applyFill="0" applyBorder="0" applyAlignment="0" applyProtection="0"/>
    <xf numFmtId="0" fontId="6" fillId="20" borderId="89" applyNumberFormat="0" applyProtection="0">
      <alignment horizontal="left" vertical="top" indent="1"/>
    </xf>
    <xf numFmtId="0" fontId="6" fillId="0" borderId="72" applyNumberFormat="0" applyFont="0" applyFill="0" applyBorder="0" applyAlignment="0" applyProtection="0"/>
    <xf numFmtId="0" fontId="86" fillId="5" borderId="92" applyNumberFormat="0" applyAlignment="0" applyProtection="0"/>
    <xf numFmtId="0" fontId="6" fillId="0" borderId="72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20" borderId="90" applyNumberFormat="0" applyProtection="0">
      <alignment horizontal="left" vertical="top" indent="1"/>
    </xf>
    <xf numFmtId="0" fontId="6" fillId="0" borderId="91" applyNumberFormat="0" applyFont="0" applyFill="0" applyBorder="0" applyAlignment="0" applyProtection="0"/>
    <xf numFmtId="4" fontId="6" fillId="34" borderId="83" applyNumberFormat="0" applyProtection="0">
      <alignment horizontal="right" vertical="center"/>
    </xf>
    <xf numFmtId="0" fontId="6" fillId="0" borderId="82" applyNumberFormat="0" applyFont="0" applyFill="0" applyBorder="0" applyAlignment="0" applyProtection="0"/>
    <xf numFmtId="0" fontId="6" fillId="20" borderId="81" applyNumberFormat="0" applyProtection="0">
      <alignment horizontal="left" vertical="top" indent="1"/>
    </xf>
    <xf numFmtId="4" fontId="32" fillId="34" borderId="80" applyNumberFormat="0" applyProtection="0">
      <alignment horizontal="right" vertical="center"/>
    </xf>
    <xf numFmtId="0" fontId="17" fillId="36" borderId="87" applyNumberFormat="0" applyFont="0" applyAlignment="0" applyProtection="0"/>
    <xf numFmtId="0" fontId="6" fillId="0" borderId="101" applyNumberFormat="0" applyFont="0" applyFill="0" applyBorder="0" applyAlignment="0" applyProtection="0"/>
    <xf numFmtId="0" fontId="6" fillId="20" borderId="96" applyNumberFormat="0" applyProtection="0">
      <alignment horizontal="left" vertical="center" indent="1"/>
    </xf>
    <xf numFmtId="0" fontId="86" fillId="5" borderId="76" applyNumberFormat="0" applyAlignment="0" applyProtection="0"/>
    <xf numFmtId="0" fontId="6" fillId="20" borderId="89" applyNumberFormat="0" applyProtection="0">
      <alignment horizontal="left" vertical="center" indent="1"/>
    </xf>
    <xf numFmtId="0" fontId="17" fillId="36" borderId="77" applyNumberFormat="0" applyFont="0" applyAlignment="0" applyProtection="0"/>
    <xf numFmtId="0" fontId="6" fillId="0" borderId="72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17" fillId="36" borderId="77" applyNumberFormat="0" applyFont="0" applyAlignment="0" applyProtection="0"/>
    <xf numFmtId="4" fontId="6" fillId="21" borderId="81" applyNumberFormat="0" applyProtection="0">
      <alignment horizontal="right" vertical="center"/>
    </xf>
    <xf numFmtId="0" fontId="6" fillId="0" borderId="91" applyNumberFormat="0" applyFont="0" applyFill="0" applyBorder="0" applyAlignment="0" applyProtection="0"/>
    <xf numFmtId="0" fontId="17" fillId="36" borderId="102" applyNumberFormat="0" applyFont="0" applyAlignment="0" applyProtection="0"/>
    <xf numFmtId="4" fontId="6" fillId="34" borderId="89" applyNumberFormat="0" applyProtection="0">
      <alignment horizontal="right" vertical="center"/>
    </xf>
    <xf numFmtId="0" fontId="6" fillId="0" borderId="72" applyNumberFormat="0" applyFont="0" applyFill="0" applyBorder="0" applyAlignment="0" applyProtection="0"/>
    <xf numFmtId="0" fontId="79" fillId="4" borderId="76" applyNumberFormat="0" applyAlignment="0" applyProtection="0"/>
    <xf numFmtId="0" fontId="6" fillId="0" borderId="8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20" borderId="74" applyNumberFormat="0" applyProtection="0">
      <alignment horizontal="left" vertical="top" indent="1"/>
    </xf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4" fontId="6" fillId="26" borderId="81" applyNumberFormat="0" applyProtection="0">
      <alignment horizontal="right" vertical="center"/>
    </xf>
    <xf numFmtId="0" fontId="6" fillId="20" borderId="74" applyNumberFormat="0" applyProtection="0">
      <alignment horizontal="left" vertical="top" indent="1"/>
    </xf>
    <xf numFmtId="0" fontId="6" fillId="0" borderId="72" applyNumberFormat="0" applyFont="0" applyFill="0" applyBorder="0" applyAlignment="0" applyProtection="0"/>
    <xf numFmtId="0" fontId="17" fillId="36" borderId="77" applyNumberFormat="0" applyFont="0" applyAlignment="0" applyProtection="0"/>
    <xf numFmtId="0" fontId="86" fillId="5" borderId="76" applyNumberFormat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79" fillId="4" borderId="76" applyNumberFormat="0" applyAlignment="0" applyProtection="0"/>
    <xf numFmtId="4" fontId="6" fillId="20" borderId="80" applyNumberFormat="0" applyProtection="0">
      <alignment horizontal="right" vertical="center"/>
    </xf>
    <xf numFmtId="0" fontId="79" fillId="4" borderId="92" applyNumberFormat="0" applyAlignment="0" applyProtection="0"/>
    <xf numFmtId="0" fontId="17" fillId="36" borderId="77" applyNumberFormat="0" applyFont="0" applyAlignment="0" applyProtection="0"/>
    <xf numFmtId="0" fontId="79" fillId="4" borderId="92" applyNumberFormat="0" applyAlignment="0" applyProtection="0"/>
    <xf numFmtId="0" fontId="86" fillId="5" borderId="76" applyNumberFormat="0" applyAlignment="0" applyProtection="0"/>
    <xf numFmtId="0" fontId="6" fillId="0" borderId="72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17" fillId="36" borderId="77" applyNumberFormat="0" applyFont="0" applyAlignment="0" applyProtection="0"/>
    <xf numFmtId="0" fontId="6" fillId="0" borderId="72" applyNumberFormat="0" applyFont="0" applyFill="0" applyBorder="0" applyAlignment="0" applyProtection="0"/>
    <xf numFmtId="0" fontId="17" fillId="36" borderId="77" applyNumberFormat="0" applyFont="0" applyAlignment="0" applyProtection="0"/>
    <xf numFmtId="0" fontId="6" fillId="0" borderId="72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6" fillId="0" borderId="72" applyNumberFormat="0" applyFont="0" applyFill="0" applyBorder="0" applyAlignment="0" applyProtection="0"/>
    <xf numFmtId="0" fontId="79" fillId="4" borderId="103" applyNumberFormat="0" applyAlignment="0" applyProtection="0"/>
    <xf numFmtId="0" fontId="6" fillId="0" borderId="82" applyNumberFormat="0" applyFont="0" applyFill="0" applyBorder="0" applyAlignment="0" applyProtection="0"/>
    <xf numFmtId="0" fontId="79" fillId="4" borderId="92" applyNumberFormat="0" applyAlignment="0" applyProtection="0"/>
    <xf numFmtId="4" fontId="6" fillId="20" borderId="73" applyNumberFormat="0" applyProtection="0">
      <alignment horizontal="right" vertical="center"/>
    </xf>
    <xf numFmtId="0" fontId="17" fillId="36" borderId="87" applyNumberFormat="0" applyFont="0" applyAlignment="0" applyProtection="0"/>
    <xf numFmtId="0" fontId="6" fillId="0" borderId="82" applyNumberFormat="0" applyFont="0" applyFill="0" applyBorder="0" applyAlignment="0" applyProtection="0"/>
    <xf numFmtId="0" fontId="79" fillId="4" borderId="86" applyNumberFormat="0" applyAlignment="0" applyProtection="0"/>
    <xf numFmtId="0" fontId="6" fillId="0" borderId="82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4" fontId="6" fillId="5" borderId="90" applyNumberFormat="0" applyProtection="0">
      <alignment horizontal="right" vertical="center"/>
    </xf>
    <xf numFmtId="0" fontId="79" fillId="4" borderId="103" applyNumberFormat="0" applyAlignment="0" applyProtection="0"/>
    <xf numFmtId="0" fontId="6" fillId="0" borderId="101" applyNumberFormat="0" applyFont="0" applyFill="0" applyBorder="0" applyAlignment="0" applyProtection="0"/>
    <xf numFmtId="4" fontId="6" fillId="20" borderId="89" applyNumberFormat="0" applyProtection="0">
      <alignment horizontal="left" vertical="center" indent="1"/>
    </xf>
    <xf numFmtId="0" fontId="6" fillId="20" borderId="90" applyNumberFormat="0" applyProtection="0">
      <alignment horizontal="left" vertical="top" indent="1"/>
    </xf>
    <xf numFmtId="0" fontId="17" fillId="36" borderId="93" applyNumberFormat="0" applyFont="0" applyAlignment="0" applyProtection="0"/>
    <xf numFmtId="0" fontId="6" fillId="0" borderId="85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4" fontId="6" fillId="19" borderId="90" applyNumberFormat="0" applyProtection="0">
      <alignment horizontal="right" vertical="center"/>
    </xf>
    <xf numFmtId="0" fontId="6" fillId="0" borderId="101" applyNumberFormat="0" applyFont="0" applyFill="0" applyBorder="0" applyAlignment="0" applyProtection="0"/>
    <xf numFmtId="0" fontId="79" fillId="4" borderId="86" applyNumberFormat="0" applyAlignment="0" applyProtection="0"/>
    <xf numFmtId="0" fontId="6" fillId="20" borderId="81" applyNumberFormat="0" applyProtection="0">
      <alignment horizontal="left" vertical="top" indent="1"/>
    </xf>
    <xf numFmtId="0" fontId="86" fillId="5" borderId="86" applyNumberFormat="0" applyAlignment="0" applyProtection="0"/>
    <xf numFmtId="0" fontId="6" fillId="0" borderId="82" applyNumberFormat="0" applyFont="0" applyFill="0" applyBorder="0" applyAlignment="0" applyProtection="0"/>
    <xf numFmtId="0" fontId="86" fillId="5" borderId="92" applyNumberFormat="0" applyAlignment="0" applyProtection="0"/>
    <xf numFmtId="0" fontId="6" fillId="0" borderId="75" applyNumberFormat="0" applyFont="0" applyFill="0" applyBorder="0" applyAlignment="0" applyProtection="0"/>
    <xf numFmtId="0" fontId="86" fillId="5" borderId="76" applyNumberFormat="0" applyAlignment="0" applyProtection="0"/>
    <xf numFmtId="0" fontId="17" fillId="36" borderId="77" applyNumberFormat="0" applyFont="0" applyAlignment="0" applyProtection="0"/>
    <xf numFmtId="0" fontId="86" fillId="5" borderId="76" applyNumberFormat="0" applyAlignment="0" applyProtection="0"/>
    <xf numFmtId="0" fontId="17" fillId="36" borderId="77" applyNumberFormat="0" applyFont="0" applyAlignment="0" applyProtection="0"/>
    <xf numFmtId="0" fontId="79" fillId="4" borderId="76" applyNumberFormat="0" applyAlignment="0" applyProtection="0"/>
    <xf numFmtId="0" fontId="6" fillId="0" borderId="75" applyNumberFormat="0" applyFont="0" applyFill="0" applyBorder="0" applyAlignment="0" applyProtection="0"/>
    <xf numFmtId="0" fontId="86" fillId="5" borderId="76" applyNumberFormat="0" applyAlignment="0" applyProtection="0"/>
    <xf numFmtId="0" fontId="6" fillId="0" borderId="75" applyNumberFormat="0" applyFont="0" applyFill="0" applyBorder="0" applyAlignment="0" applyProtection="0"/>
    <xf numFmtId="0" fontId="86" fillId="5" borderId="76" applyNumberFormat="0" applyAlignment="0" applyProtection="0"/>
    <xf numFmtId="0" fontId="17" fillId="36" borderId="77" applyNumberFormat="0" applyFont="0" applyAlignment="0" applyProtection="0"/>
    <xf numFmtId="0" fontId="6" fillId="0" borderId="75" applyNumberFormat="0" applyFont="0" applyFill="0" applyBorder="0" applyAlignment="0" applyProtection="0"/>
    <xf numFmtId="0" fontId="86" fillId="5" borderId="76" applyNumberFormat="0" applyAlignment="0" applyProtection="0"/>
    <xf numFmtId="0" fontId="6" fillId="0" borderId="75" applyNumberFormat="0" applyFont="0" applyFill="0" applyBorder="0" applyAlignment="0" applyProtection="0"/>
    <xf numFmtId="0" fontId="86" fillId="5" borderId="76" applyNumberFormat="0" applyAlignment="0" applyProtection="0"/>
    <xf numFmtId="0" fontId="17" fillId="36" borderId="77" applyNumberFormat="0" applyFont="0" applyAlignment="0" applyProtection="0"/>
    <xf numFmtId="0" fontId="79" fillId="4" borderId="76" applyNumberFormat="0" applyAlignment="0" applyProtection="0"/>
    <xf numFmtId="0" fontId="86" fillId="5" borderId="76" applyNumberFormat="0" applyAlignment="0" applyProtection="0"/>
    <xf numFmtId="0" fontId="6" fillId="0" borderId="75" applyNumberFormat="0" applyFont="0" applyFill="0" applyBorder="0" applyAlignment="0" applyProtection="0"/>
    <xf numFmtId="0" fontId="17" fillId="36" borderId="77" applyNumberFormat="0" applyFont="0" applyAlignment="0" applyProtection="0"/>
    <xf numFmtId="0" fontId="6" fillId="0" borderId="75" applyNumberFormat="0" applyFont="0" applyFill="0" applyBorder="0" applyAlignment="0" applyProtection="0"/>
    <xf numFmtId="0" fontId="86" fillId="5" borderId="76" applyNumberFormat="0" applyAlignment="0" applyProtection="0"/>
    <xf numFmtId="0" fontId="79" fillId="4" borderId="76" applyNumberFormat="0" applyAlignment="0" applyProtection="0"/>
    <xf numFmtId="0" fontId="6" fillId="0" borderId="75" applyNumberFormat="0" applyFont="0" applyFill="0" applyBorder="0" applyAlignment="0" applyProtection="0"/>
    <xf numFmtId="0" fontId="79" fillId="4" borderId="76" applyNumberFormat="0" applyAlignment="0" applyProtection="0"/>
    <xf numFmtId="0" fontId="6" fillId="0" borderId="75" applyNumberFormat="0" applyFont="0" applyFill="0" applyBorder="0" applyAlignment="0" applyProtection="0"/>
    <xf numFmtId="0" fontId="86" fillId="5" borderId="76" applyNumberFormat="0" applyAlignment="0" applyProtection="0"/>
    <xf numFmtId="0" fontId="6" fillId="0" borderId="75" applyNumberFormat="0" applyFont="0" applyFill="0" applyBorder="0" applyAlignment="0" applyProtection="0"/>
    <xf numFmtId="0" fontId="79" fillId="4" borderId="76" applyNumberFormat="0" applyAlignment="0" applyProtection="0"/>
    <xf numFmtId="0" fontId="79" fillId="4" borderId="76" applyNumberFormat="0" applyAlignment="0" applyProtection="0"/>
    <xf numFmtId="0" fontId="17" fillId="36" borderId="77" applyNumberFormat="0" applyFont="0" applyAlignment="0" applyProtection="0"/>
    <xf numFmtId="0" fontId="17" fillId="36" borderId="77" applyNumberFormat="0" applyFont="0" applyAlignment="0" applyProtection="0"/>
    <xf numFmtId="0" fontId="17" fillId="36" borderId="77" applyNumberFormat="0" applyFont="0" applyAlignment="0" applyProtection="0"/>
    <xf numFmtId="0" fontId="17" fillId="36" borderId="77" applyNumberFormat="0" applyFont="0" applyAlignment="0" applyProtection="0"/>
    <xf numFmtId="0" fontId="17" fillId="36" borderId="77" applyNumberFormat="0" applyFont="0" applyAlignment="0" applyProtection="0"/>
    <xf numFmtId="0" fontId="17" fillId="36" borderId="77" applyNumberFormat="0" applyFont="0" applyAlignment="0" applyProtection="0"/>
    <xf numFmtId="0" fontId="17" fillId="36" borderId="77" applyNumberFormat="0" applyFont="0" applyAlignment="0" applyProtection="0"/>
    <xf numFmtId="0" fontId="17" fillId="36" borderId="77" applyNumberFormat="0" applyFont="0" applyAlignment="0" applyProtection="0"/>
    <xf numFmtId="0" fontId="17" fillId="36" borderId="77" applyNumberFormat="0" applyFont="0" applyAlignment="0" applyProtection="0"/>
    <xf numFmtId="0" fontId="17" fillId="36" borderId="77" applyNumberFormat="0" applyFont="0" applyAlignment="0" applyProtection="0"/>
    <xf numFmtId="0" fontId="79" fillId="4" borderId="76" applyNumberFormat="0" applyAlignment="0" applyProtection="0"/>
    <xf numFmtId="0" fontId="86" fillId="5" borderId="76" applyNumberFormat="0" applyAlignment="0" applyProtection="0"/>
    <xf numFmtId="0" fontId="79" fillId="4" borderId="76" applyNumberFormat="0" applyAlignment="0" applyProtection="0"/>
    <xf numFmtId="0" fontId="6" fillId="0" borderId="75" applyNumberFormat="0" applyFont="0" applyFill="0" applyBorder="0" applyAlignment="0" applyProtection="0"/>
    <xf numFmtId="0" fontId="86" fillId="5" borderId="76" applyNumberFormat="0" applyAlignment="0" applyProtection="0"/>
    <xf numFmtId="0" fontId="6" fillId="0" borderId="75" applyNumberFormat="0" applyFont="0" applyFill="0" applyBorder="0" applyAlignment="0" applyProtection="0"/>
    <xf numFmtId="0" fontId="79" fillId="4" borderId="76" applyNumberFormat="0" applyAlignment="0" applyProtection="0"/>
    <xf numFmtId="0" fontId="79" fillId="4" borderId="76" applyNumberFormat="0" applyAlignment="0" applyProtection="0"/>
    <xf numFmtId="0" fontId="17" fillId="36" borderId="77" applyNumberFormat="0" applyFont="0" applyAlignment="0" applyProtection="0"/>
    <xf numFmtId="0" fontId="86" fillId="5" borderId="76" applyNumberFormat="0" applyAlignment="0" applyProtection="0"/>
    <xf numFmtId="0" fontId="17" fillId="36" borderId="77" applyNumberFormat="0" applyFont="0" applyAlignment="0" applyProtection="0"/>
    <xf numFmtId="0" fontId="86" fillId="5" borderId="76" applyNumberFormat="0" applyAlignment="0" applyProtection="0"/>
    <xf numFmtId="0" fontId="6" fillId="0" borderId="75" applyNumberFormat="0" applyFont="0" applyFill="0" applyBorder="0" applyAlignment="0" applyProtection="0"/>
    <xf numFmtId="0" fontId="79" fillId="4" borderId="76" applyNumberFormat="0" applyAlignment="0" applyProtection="0"/>
    <xf numFmtId="0" fontId="86" fillId="5" borderId="76" applyNumberFormat="0" applyAlignment="0" applyProtection="0"/>
    <xf numFmtId="0" fontId="6" fillId="0" borderId="75" applyNumberFormat="0" applyFont="0" applyFill="0" applyBorder="0" applyAlignment="0" applyProtection="0"/>
    <xf numFmtId="0" fontId="86" fillId="5" borderId="76" applyNumberFormat="0" applyAlignment="0" applyProtection="0"/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17" fillId="36" borderId="77" applyNumberFormat="0" applyFont="0" applyAlignment="0" applyProtection="0"/>
    <xf numFmtId="0" fontId="86" fillId="5" borderId="76" applyNumberFormat="0" applyAlignment="0" applyProtection="0"/>
    <xf numFmtId="0" fontId="6" fillId="0" borderId="75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0" fontId="79" fillId="4" borderId="76" applyNumberFormat="0" applyAlignment="0" applyProtection="0"/>
    <xf numFmtId="0" fontId="6" fillId="0" borderId="75" applyNumberFormat="0" applyFont="0" applyFill="0" applyBorder="0" applyAlignment="0" applyProtection="0"/>
    <xf numFmtId="0" fontId="86" fillId="5" borderId="76" applyNumberFormat="0" applyAlignment="0" applyProtection="0"/>
    <xf numFmtId="0" fontId="6" fillId="0" borderId="75" applyNumberFormat="0" applyFont="0" applyFill="0" applyBorder="0" applyAlignment="0" applyProtection="0"/>
    <xf numFmtId="0" fontId="79" fillId="4" borderId="76" applyNumberFormat="0" applyAlignment="0" applyProtection="0"/>
    <xf numFmtId="0" fontId="17" fillId="36" borderId="77" applyNumberFormat="0" applyFont="0" applyAlignment="0" applyProtection="0"/>
    <xf numFmtId="0" fontId="86" fillId="5" borderId="76" applyNumberFormat="0" applyAlignment="0" applyProtection="0"/>
    <xf numFmtId="0" fontId="79" fillId="4" borderId="76" applyNumberFormat="0" applyAlignment="0" applyProtection="0"/>
    <xf numFmtId="0" fontId="86" fillId="5" borderId="76" applyNumberFormat="0" applyAlignment="0" applyProtection="0"/>
    <xf numFmtId="0" fontId="79" fillId="4" borderId="92" applyNumberFormat="0" applyAlignment="0" applyProtection="0"/>
    <xf numFmtId="0" fontId="17" fillId="36" borderId="102" applyNumberFormat="0" applyFont="0" applyAlignment="0" applyProtection="0"/>
    <xf numFmtId="0" fontId="6" fillId="0" borderId="75" applyNumberFormat="0" applyFont="0" applyFill="0" applyBorder="0" applyAlignment="0" applyProtection="0"/>
    <xf numFmtId="0" fontId="79" fillId="4" borderId="76" applyNumberFormat="0" applyAlignment="0" applyProtection="0"/>
    <xf numFmtId="0" fontId="6" fillId="0" borderId="75" applyNumberFormat="0" applyFont="0" applyFill="0" applyBorder="0" applyAlignment="0" applyProtection="0"/>
    <xf numFmtId="0" fontId="79" fillId="4" borderId="76" applyNumberFormat="0" applyAlignment="0" applyProtection="0"/>
    <xf numFmtId="0" fontId="6" fillId="0" borderId="75" applyNumberFormat="0" applyFont="0" applyFill="0" applyBorder="0" applyAlignment="0" applyProtection="0"/>
    <xf numFmtId="0" fontId="79" fillId="4" borderId="76" applyNumberFormat="0" applyAlignment="0" applyProtection="0"/>
    <xf numFmtId="0" fontId="6" fillId="0" borderId="75" applyNumberFormat="0" applyFont="0" applyFill="0" applyBorder="0" applyAlignment="0" applyProtection="0"/>
    <xf numFmtId="0" fontId="79" fillId="4" borderId="76" applyNumberFormat="0" applyAlignment="0" applyProtection="0"/>
    <xf numFmtId="0" fontId="6" fillId="0" borderId="75" applyNumberFormat="0" applyFont="0" applyFill="0" applyBorder="0" applyAlignment="0" applyProtection="0"/>
    <xf numFmtId="0" fontId="79" fillId="4" borderId="76" applyNumberFormat="0" applyAlignment="0" applyProtection="0"/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75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79" fillId="4" borderId="86" applyNumberFormat="0" applyAlignment="0" applyProtection="0"/>
    <xf numFmtId="0" fontId="6" fillId="0" borderId="82" applyNumberFormat="0" applyFont="0" applyFill="0" applyBorder="0" applyAlignment="0" applyProtection="0"/>
    <xf numFmtId="0" fontId="17" fillId="36" borderId="102" applyNumberFormat="0" applyFont="0" applyAlignment="0" applyProtection="0"/>
    <xf numFmtId="0" fontId="6" fillId="20" borderId="89" applyNumberFormat="0" applyProtection="0">
      <alignment horizontal="left" vertical="top" indent="1"/>
    </xf>
    <xf numFmtId="0" fontId="6" fillId="0" borderId="82" applyNumberFormat="0" applyFont="0" applyFill="0" applyBorder="0" applyAlignment="0" applyProtection="0"/>
    <xf numFmtId="4" fontId="73" fillId="28" borderId="90" applyNumberFormat="0" applyProtection="0">
      <alignment horizontal="right" vertical="center"/>
    </xf>
    <xf numFmtId="0" fontId="6" fillId="0" borderId="85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6" fillId="20" borderId="81" applyNumberFormat="0" applyProtection="0">
      <alignment horizontal="left" vertical="top" indent="1"/>
    </xf>
    <xf numFmtId="0" fontId="6" fillId="0" borderId="82" applyNumberFormat="0" applyFont="0" applyFill="0" applyBorder="0" applyAlignment="0" applyProtection="0"/>
    <xf numFmtId="0" fontId="86" fillId="5" borderId="86" applyNumberFormat="0" applyAlignment="0" applyProtection="0"/>
    <xf numFmtId="0" fontId="6" fillId="0" borderId="85" applyNumberFormat="0" applyFont="0" applyFill="0" applyBorder="0" applyAlignment="0" applyProtection="0"/>
    <xf numFmtId="0" fontId="6" fillId="20" borderId="83" applyNumberFormat="0" applyProtection="0">
      <alignment horizontal="left" vertical="center" indent="1"/>
    </xf>
    <xf numFmtId="0" fontId="6" fillId="0" borderId="85" applyNumberFormat="0" applyFont="0" applyFill="0" applyBorder="0" applyAlignment="0" applyProtection="0"/>
    <xf numFmtId="4" fontId="6" fillId="34" borderId="89" applyNumberFormat="0" applyProtection="0">
      <alignment horizontal="right" vertical="center"/>
    </xf>
    <xf numFmtId="0" fontId="86" fillId="5" borderId="86" applyNumberFormat="0" applyAlignment="0" applyProtection="0"/>
    <xf numFmtId="4" fontId="32" fillId="26" borderId="83" applyNumberFormat="0" applyProtection="0">
      <alignment vertical="center"/>
    </xf>
    <xf numFmtId="0" fontId="6" fillId="20" borderId="81" applyNumberFormat="0" applyProtection="0">
      <alignment horizontal="left" vertical="top" indent="1"/>
    </xf>
    <xf numFmtId="0" fontId="6" fillId="0" borderId="82" applyNumberFormat="0" applyFont="0" applyFill="0" applyBorder="0" applyAlignment="0" applyProtection="0"/>
    <xf numFmtId="0" fontId="79" fillId="4" borderId="86" applyNumberFormat="0" applyAlignment="0" applyProtection="0"/>
    <xf numFmtId="0" fontId="17" fillId="36" borderId="93" applyNumberFormat="0" applyFont="0" applyAlignment="0" applyProtection="0"/>
    <xf numFmtId="0" fontId="6" fillId="0" borderId="91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6" fillId="20" borderId="96" applyNumberFormat="0" applyProtection="0">
      <alignment horizontal="left" vertical="top" indent="1"/>
    </xf>
    <xf numFmtId="4" fontId="6" fillId="26" borderId="84" applyNumberFormat="0" applyProtection="0">
      <alignment horizontal="right" vertical="center"/>
    </xf>
    <xf numFmtId="0" fontId="79" fillId="4" borderId="86" applyNumberFormat="0" applyAlignment="0" applyProtection="0"/>
    <xf numFmtId="0" fontId="6" fillId="20" borderId="84" applyNumberFormat="0" applyProtection="0">
      <alignment horizontal="left" vertical="top" indent="1"/>
    </xf>
    <xf numFmtId="0" fontId="6" fillId="20" borderId="89" applyNumberFormat="0" applyProtection="0">
      <alignment horizontal="left" vertical="center" indent="1"/>
    </xf>
    <xf numFmtId="0" fontId="86" fillId="5" borderId="86" applyNumberFormat="0" applyAlignment="0" applyProtection="0"/>
    <xf numFmtId="4" fontId="6" fillId="0" borderId="84" applyNumberFormat="0" applyProtection="0">
      <alignment horizontal="right" vertical="center"/>
    </xf>
    <xf numFmtId="0" fontId="6" fillId="20" borderId="84" applyNumberFormat="0" applyProtection="0">
      <alignment horizontal="left" vertical="top" indent="1"/>
    </xf>
    <xf numFmtId="0" fontId="6" fillId="0" borderId="82" applyNumberFormat="0" applyFont="0" applyFill="0" applyBorder="0" applyAlignment="0" applyProtection="0"/>
    <xf numFmtId="4" fontId="6" fillId="17" borderId="90" applyNumberFormat="0" applyProtection="0">
      <alignment horizontal="right" vertical="center"/>
    </xf>
    <xf numFmtId="0" fontId="6" fillId="0" borderId="85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4" fontId="6" fillId="5" borderId="84" applyNumberFormat="0" applyProtection="0">
      <alignment horizontal="right" vertical="center"/>
    </xf>
    <xf numFmtId="0" fontId="6" fillId="0" borderId="91" applyNumberFormat="0" applyFont="0" applyFill="0" applyBorder="0" applyAlignment="0" applyProtection="0"/>
    <xf numFmtId="0" fontId="79" fillId="4" borderId="92" applyNumberFormat="0" applyAlignment="0" applyProtection="0"/>
    <xf numFmtId="0" fontId="6" fillId="0" borderId="101" applyNumberFormat="0" applyFont="0" applyFill="0" applyBorder="0" applyAlignment="0" applyProtection="0"/>
    <xf numFmtId="0" fontId="86" fillId="5" borderId="86" applyNumberFormat="0" applyAlignment="0" applyProtection="0"/>
    <xf numFmtId="0" fontId="79" fillId="4" borderId="86" applyNumberFormat="0" applyAlignment="0" applyProtection="0"/>
    <xf numFmtId="0" fontId="86" fillId="5" borderId="103" applyNumberFormat="0" applyAlignment="0" applyProtection="0"/>
    <xf numFmtId="0" fontId="6" fillId="0" borderId="82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4" fontId="6" fillId="20" borderId="83" applyNumberFormat="0" applyProtection="0">
      <alignment horizontal="left" vertical="center" indent="1"/>
    </xf>
    <xf numFmtId="0" fontId="6" fillId="0" borderId="85" applyNumberFormat="0" applyFont="0" applyFill="0" applyBorder="0" applyAlignment="0" applyProtection="0"/>
    <xf numFmtId="0" fontId="6" fillId="20" borderId="81" applyNumberFormat="0" applyProtection="0">
      <alignment horizontal="left" vertical="top" indent="1"/>
    </xf>
    <xf numFmtId="4" fontId="73" fillId="29" borderId="90" applyNumberFormat="0" applyProtection="0">
      <alignment horizontal="right" vertical="center"/>
    </xf>
    <xf numFmtId="0" fontId="32" fillId="27" borderId="84" applyNumberFormat="0" applyProtection="0">
      <alignment horizontal="left" vertical="top" indent="1"/>
    </xf>
    <xf numFmtId="0" fontId="6" fillId="0" borderId="101" applyNumberFormat="0" applyFont="0" applyFill="0" applyBorder="0" applyAlignment="0" applyProtection="0"/>
    <xf numFmtId="0" fontId="17" fillId="36" borderId="93" applyNumberFormat="0" applyFont="0" applyAlignment="0" applyProtection="0"/>
    <xf numFmtId="0" fontId="86" fillId="5" borderId="92" applyNumberFormat="0" applyAlignment="0" applyProtection="0"/>
    <xf numFmtId="0" fontId="6" fillId="0" borderId="82" applyNumberFormat="0" applyFont="0" applyFill="0" applyBorder="0" applyAlignment="0" applyProtection="0"/>
    <xf numFmtId="0" fontId="17" fillId="36" borderId="102" applyNumberFormat="0" applyFont="0" applyAlignment="0" applyProtection="0"/>
    <xf numFmtId="0" fontId="6" fillId="20" borderId="90" applyNumberFormat="0" applyProtection="0">
      <alignment horizontal="left" vertical="top" indent="1"/>
    </xf>
    <xf numFmtId="4" fontId="32" fillId="26" borderId="80" applyNumberFormat="0" applyProtection="0">
      <alignment vertical="center"/>
    </xf>
    <xf numFmtId="0" fontId="79" fillId="4" borderId="86" applyNumberFormat="0" applyAlignment="0" applyProtection="0"/>
    <xf numFmtId="0" fontId="17" fillId="36" borderId="93" applyNumberFormat="0" applyFont="0" applyAlignment="0" applyProtection="0"/>
    <xf numFmtId="4" fontId="6" fillId="19" borderId="90" applyNumberFormat="0" applyProtection="0">
      <alignment horizontal="right" vertical="center"/>
    </xf>
    <xf numFmtId="0" fontId="86" fillId="5" borderId="86" applyNumberFormat="0" applyAlignment="0" applyProtection="0"/>
    <xf numFmtId="0" fontId="6" fillId="0" borderId="82" applyNumberFormat="0" applyFont="0" applyFill="0" applyBorder="0" applyAlignment="0" applyProtection="0"/>
    <xf numFmtId="0" fontId="79" fillId="4" borderId="103" applyNumberFormat="0" applyAlignment="0" applyProtection="0"/>
    <xf numFmtId="0" fontId="6" fillId="0" borderId="85" applyNumberFormat="0" applyFont="0" applyFill="0" applyBorder="0" applyAlignment="0" applyProtection="0"/>
    <xf numFmtId="0" fontId="91" fillId="0" borderId="88" applyNumberFormat="0" applyFill="0" applyAlignment="0" applyProtection="0"/>
    <xf numFmtId="0" fontId="6" fillId="20" borderId="83" applyNumberFormat="0" applyProtection="0">
      <alignment horizontal="left" vertical="center" indent="1"/>
    </xf>
    <xf numFmtId="0" fontId="17" fillId="36" borderId="93" applyNumberFormat="0" applyFont="0" applyAlignment="0" applyProtection="0"/>
    <xf numFmtId="0" fontId="6" fillId="20" borderId="84" applyNumberFormat="0" applyProtection="0">
      <alignment horizontal="left" vertical="top" indent="1"/>
    </xf>
    <xf numFmtId="4" fontId="74" fillId="33" borderId="84" applyNumberFormat="0" applyProtection="0">
      <alignment vertical="center"/>
    </xf>
    <xf numFmtId="0" fontId="17" fillId="36" borderId="87" applyNumberFormat="0" applyFont="0" applyAlignment="0" applyProtection="0"/>
    <xf numFmtId="0" fontId="6" fillId="20" borderId="84" applyNumberFormat="0" applyProtection="0">
      <alignment horizontal="left" vertical="top" indent="1"/>
    </xf>
    <xf numFmtId="0" fontId="79" fillId="4" borderId="92" applyNumberFormat="0" applyAlignment="0" applyProtection="0"/>
    <xf numFmtId="4" fontId="32" fillId="34" borderId="83" applyNumberFormat="0" applyProtection="0">
      <alignment horizontal="right" vertical="center"/>
    </xf>
    <xf numFmtId="0" fontId="17" fillId="36" borderId="93" applyNumberFormat="0" applyFont="0" applyAlignment="0" applyProtection="0"/>
    <xf numFmtId="0" fontId="6" fillId="20" borderId="83" applyNumberFormat="0" applyProtection="0">
      <alignment horizontal="left" vertical="top" indent="1"/>
    </xf>
    <xf numFmtId="0" fontId="6" fillId="0" borderId="85" applyNumberFormat="0" applyFont="0" applyFill="0" applyBorder="0" applyAlignment="0" applyProtection="0"/>
    <xf numFmtId="0" fontId="17" fillId="36" borderId="102" applyNumberFormat="0" applyFont="0" applyAlignment="0" applyProtection="0"/>
    <xf numFmtId="4" fontId="32" fillId="26" borderId="83" applyNumberFormat="0" applyProtection="0">
      <alignment horizontal="left" vertical="center" indent="1"/>
    </xf>
    <xf numFmtId="4" fontId="6" fillId="0" borderId="90" applyNumberFormat="0" applyProtection="0">
      <alignment horizontal="right" vertical="center"/>
    </xf>
    <xf numFmtId="4" fontId="73" fillId="28" borderId="84" applyNumberFormat="0" applyProtection="0">
      <alignment horizontal="right" vertical="center"/>
    </xf>
    <xf numFmtId="4" fontId="6" fillId="5" borderId="84" applyNumberFormat="0" applyProtection="0">
      <alignment horizontal="right" vertical="center"/>
    </xf>
    <xf numFmtId="4" fontId="6" fillId="19" borderId="84" applyNumberFormat="0" applyProtection="0">
      <alignment horizontal="right" vertical="center"/>
    </xf>
    <xf numFmtId="4" fontId="73" fillId="30" borderId="84" applyNumberFormat="0" applyProtection="0">
      <alignment horizontal="right" vertical="center"/>
    </xf>
    <xf numFmtId="0" fontId="79" fillId="4" borderId="103" applyNumberFormat="0" applyAlignment="0" applyProtection="0"/>
    <xf numFmtId="0" fontId="6" fillId="20" borderId="83" applyNumberFormat="0" applyProtection="0">
      <alignment horizontal="left" vertical="center" indent="1"/>
    </xf>
    <xf numFmtId="0" fontId="6" fillId="20" borderId="83" applyNumberFormat="0" applyProtection="0">
      <alignment horizontal="left" vertical="center" indent="1"/>
    </xf>
    <xf numFmtId="0" fontId="6" fillId="20" borderId="83" applyNumberFormat="0" applyProtection="0">
      <alignment horizontal="left" vertical="center" indent="1"/>
    </xf>
    <xf numFmtId="0" fontId="79" fillId="4" borderId="86" applyNumberFormat="0" applyAlignment="0" applyProtection="0"/>
    <xf numFmtId="0" fontId="86" fillId="5" borderId="86" applyNumberFormat="0" applyAlignment="0" applyProtection="0"/>
    <xf numFmtId="0" fontId="6" fillId="0" borderId="85" applyNumberFormat="0" applyFont="0" applyFill="0" applyBorder="0" applyAlignment="0" applyProtection="0"/>
    <xf numFmtId="4" fontId="6" fillId="20" borderId="84" applyNumberFormat="0" applyProtection="0">
      <alignment horizontal="left" vertical="center" indent="1"/>
    </xf>
    <xf numFmtId="0" fontId="6" fillId="0" borderId="82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86" fillId="5" borderId="92" applyNumberFormat="0" applyAlignment="0" applyProtection="0"/>
    <xf numFmtId="0" fontId="6" fillId="0" borderId="82" applyNumberFormat="0" applyFont="0" applyFill="0" applyBorder="0" applyAlignment="0" applyProtection="0"/>
    <xf numFmtId="0" fontId="6" fillId="20" borderId="80" applyNumberFormat="0" applyProtection="0">
      <alignment horizontal="left" vertical="center" indent="1"/>
    </xf>
    <xf numFmtId="0" fontId="6" fillId="0" borderId="91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6" fillId="20" borderId="84" applyNumberFormat="0" applyProtection="0">
      <alignment horizontal="left" vertical="top" indent="1"/>
    </xf>
    <xf numFmtId="0" fontId="79" fillId="4" borderId="86" applyNumberFormat="0" applyAlignment="0" applyProtection="0"/>
    <xf numFmtId="0" fontId="6" fillId="0" borderId="82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79" fillId="4" borderId="92" applyNumberFormat="0" applyAlignment="0" applyProtection="0"/>
    <xf numFmtId="4" fontId="6" fillId="17" borderId="100" applyNumberFormat="0" applyProtection="0">
      <alignment horizontal="right" vertical="center"/>
    </xf>
    <xf numFmtId="0" fontId="86" fillId="5" borderId="92" applyNumberFormat="0" applyAlignment="0" applyProtection="0"/>
    <xf numFmtId="0" fontId="6" fillId="0" borderId="85" applyNumberFormat="0" applyFont="0" applyFill="0" applyBorder="0" applyAlignment="0" applyProtection="0"/>
    <xf numFmtId="0" fontId="17" fillId="36" borderId="102" applyNumberFormat="0" applyFont="0" applyAlignment="0" applyProtection="0"/>
    <xf numFmtId="0" fontId="86" fillId="5" borderId="92" applyNumberFormat="0" applyAlignment="0" applyProtection="0"/>
    <xf numFmtId="0" fontId="86" fillId="5" borderId="103" applyNumberFormat="0" applyAlignment="0" applyProtection="0"/>
    <xf numFmtId="0" fontId="6" fillId="20" borderId="80" applyNumberFormat="0" applyProtection="0">
      <alignment horizontal="left" vertical="center" indent="1"/>
    </xf>
    <xf numFmtId="0" fontId="17" fillId="36" borderId="87" applyNumberFormat="0" applyFont="0" applyAlignment="0" applyProtection="0"/>
    <xf numFmtId="0" fontId="79" fillId="4" borderId="92" applyNumberFormat="0" applyAlignment="0" applyProtection="0"/>
    <xf numFmtId="0" fontId="6" fillId="0" borderId="82" applyNumberFormat="0" applyFont="0" applyFill="0" applyBorder="0" applyAlignment="0" applyProtection="0"/>
    <xf numFmtId="0" fontId="86" fillId="5" borderId="86" applyNumberFormat="0" applyAlignment="0" applyProtection="0"/>
    <xf numFmtId="0" fontId="79" fillId="4" borderId="92" applyNumberFormat="0" applyAlignment="0" applyProtection="0"/>
    <xf numFmtId="4" fontId="32" fillId="26" borderId="83" applyNumberFormat="0" applyProtection="0">
      <alignment vertical="center"/>
    </xf>
    <xf numFmtId="0" fontId="6" fillId="0" borderId="82" applyNumberFormat="0" applyFont="0" applyFill="0" applyBorder="0" applyAlignment="0" applyProtection="0"/>
    <xf numFmtId="4" fontId="32" fillId="26" borderId="83" applyNumberFormat="0" applyProtection="0">
      <alignment horizontal="left" vertical="center" indent="1"/>
    </xf>
    <xf numFmtId="0" fontId="6" fillId="0" borderId="82" applyNumberFormat="0" applyFont="0" applyFill="0" applyBorder="0" applyAlignment="0" applyProtection="0"/>
    <xf numFmtId="0" fontId="6" fillId="20" borderId="80" applyNumberFormat="0" applyProtection="0">
      <alignment horizontal="left" vertical="center" indent="1"/>
    </xf>
    <xf numFmtId="0" fontId="17" fillId="36" borderId="87" applyNumberFormat="0" applyFont="0" applyAlignment="0" applyProtection="0"/>
    <xf numFmtId="0" fontId="6" fillId="0" borderId="82" applyNumberFormat="0" applyFont="0" applyFill="0" applyBorder="0" applyAlignment="0" applyProtection="0"/>
    <xf numFmtId="0" fontId="6" fillId="20" borderId="89" applyNumberFormat="0" applyProtection="0">
      <alignment horizontal="left" vertical="center" indent="1"/>
    </xf>
    <xf numFmtId="4" fontId="6" fillId="5" borderId="97" applyNumberFormat="0" applyProtection="0">
      <alignment horizontal="right" vertical="center"/>
    </xf>
    <xf numFmtId="0" fontId="6" fillId="0" borderId="82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4" fontId="6" fillId="19" borderId="84" applyNumberFormat="0" applyProtection="0">
      <alignment horizontal="right" vertical="center"/>
    </xf>
    <xf numFmtId="0" fontId="6" fillId="0" borderId="91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0" fontId="17" fillId="36" borderId="87" applyNumberFormat="0" applyFont="0" applyAlignment="0" applyProtection="0"/>
    <xf numFmtId="0" fontId="6" fillId="0" borderId="85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4" fontId="6" fillId="21" borderId="84" applyNumberFormat="0" applyProtection="0">
      <alignment horizontal="right" vertical="center"/>
    </xf>
    <xf numFmtId="0" fontId="17" fillId="36" borderId="87" applyNumberFormat="0" applyFont="0" applyAlignment="0" applyProtection="0"/>
    <xf numFmtId="4" fontId="32" fillId="34" borderId="89" applyNumberFormat="0" applyProtection="0">
      <alignment horizontal="right" vertical="center"/>
    </xf>
    <xf numFmtId="0" fontId="6" fillId="0" borderId="82" applyNumberFormat="0" applyFont="0" applyFill="0" applyBorder="0" applyAlignment="0" applyProtection="0"/>
    <xf numFmtId="0" fontId="79" fillId="4" borderId="86" applyNumberFormat="0" applyAlignment="0" applyProtection="0"/>
    <xf numFmtId="0" fontId="79" fillId="4" borderId="86" applyNumberFormat="0" applyAlignment="0" applyProtection="0"/>
    <xf numFmtId="0" fontId="6" fillId="0" borderId="82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79" fillId="4" borderId="92" applyNumberFormat="0" applyAlignment="0" applyProtection="0"/>
    <xf numFmtId="0" fontId="6" fillId="20" borderId="80" applyNumberFormat="0" applyProtection="0">
      <alignment horizontal="left" vertical="center" indent="1"/>
    </xf>
    <xf numFmtId="0" fontId="6" fillId="0" borderId="85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4" fontId="6" fillId="0" borderId="100" applyNumberFormat="0" applyProtection="0">
      <alignment horizontal="right" vertical="center"/>
    </xf>
    <xf numFmtId="0" fontId="6" fillId="0" borderId="82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0" fontId="6" fillId="20" borderId="83" applyNumberFormat="0" applyProtection="0">
      <alignment horizontal="left" vertical="center" indent="1"/>
    </xf>
    <xf numFmtId="4" fontId="6" fillId="20" borderId="90" applyNumberFormat="0" applyProtection="0">
      <alignment horizontal="left" vertical="center" indent="1"/>
    </xf>
    <xf numFmtId="0" fontId="6" fillId="0" borderId="82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17" fillId="36" borderId="87" applyNumberFormat="0" applyFont="0" applyAlignment="0" applyProtection="0"/>
    <xf numFmtId="0" fontId="6" fillId="20" borderId="83" applyNumberFormat="0" applyProtection="0">
      <alignment horizontal="left" vertical="top" indent="1"/>
    </xf>
    <xf numFmtId="0" fontId="6" fillId="0" borderId="82" applyNumberFormat="0" applyFont="0" applyFill="0" applyBorder="0" applyAlignment="0" applyProtection="0"/>
    <xf numFmtId="0" fontId="17" fillId="36" borderId="102" applyNumberFormat="0" applyFont="0" applyAlignment="0" applyProtection="0"/>
    <xf numFmtId="0" fontId="6" fillId="0" borderId="82" applyNumberFormat="0" applyFont="0" applyFill="0" applyBorder="0" applyAlignment="0" applyProtection="0"/>
    <xf numFmtId="0" fontId="79" fillId="4" borderId="92" applyNumberFormat="0" applyAlignment="0" applyProtection="0"/>
    <xf numFmtId="0" fontId="6" fillId="0" borderId="82" applyNumberFormat="0" applyFont="0" applyFill="0" applyBorder="0" applyAlignment="0" applyProtection="0"/>
    <xf numFmtId="4" fontId="38" fillId="33" borderId="90" applyNumberFormat="0" applyProtection="0">
      <alignment vertical="center"/>
    </xf>
    <xf numFmtId="4" fontId="6" fillId="0" borderId="90" applyNumberFormat="0" applyProtection="0">
      <alignment horizontal="right" vertical="center"/>
    </xf>
    <xf numFmtId="0" fontId="6" fillId="0" borderId="91" applyNumberFormat="0" applyFont="0" applyFill="0" applyBorder="0" applyAlignment="0" applyProtection="0"/>
    <xf numFmtId="0" fontId="6" fillId="0" borderId="82" applyNumberFormat="0" applyFont="0" applyFill="0" applyBorder="0" applyAlignment="0" applyProtection="0"/>
    <xf numFmtId="0" fontId="6" fillId="20" borderId="84" applyNumberFormat="0" applyProtection="0">
      <alignment horizontal="left" vertical="top" indent="1"/>
    </xf>
    <xf numFmtId="0" fontId="6" fillId="0" borderId="82" applyNumberFormat="0" applyFont="0" applyFill="0" applyBorder="0" applyAlignment="0" applyProtection="0"/>
    <xf numFmtId="4" fontId="38" fillId="33" borderId="84" applyNumberFormat="0" applyProtection="0">
      <alignment vertical="center"/>
    </xf>
    <xf numFmtId="0" fontId="6" fillId="0" borderId="82" applyNumberFormat="0" applyFont="0" applyFill="0" applyBorder="0" applyAlignment="0" applyProtection="0"/>
    <xf numFmtId="4" fontId="6" fillId="20" borderId="84" applyNumberFormat="0" applyProtection="0">
      <alignment horizontal="left" vertical="center" indent="1"/>
    </xf>
    <xf numFmtId="4" fontId="6" fillId="34" borderId="83" applyNumberFormat="0" applyProtection="0">
      <alignment horizontal="right" vertical="center"/>
    </xf>
    <xf numFmtId="0" fontId="79" fillId="4" borderId="92" applyNumberFormat="0" applyAlignment="0" applyProtection="0"/>
    <xf numFmtId="4" fontId="6" fillId="20" borderId="83" applyNumberFormat="0" applyProtection="0">
      <alignment horizontal="left" vertical="center" indent="1"/>
    </xf>
    <xf numFmtId="0" fontId="86" fillId="5" borderId="103" applyNumberFormat="0" applyAlignment="0" applyProtection="0"/>
    <xf numFmtId="0" fontId="17" fillId="36" borderId="93" applyNumberFormat="0" applyFont="0" applyAlignment="0" applyProtection="0"/>
    <xf numFmtId="4" fontId="32" fillId="26" borderId="96" applyNumberFormat="0" applyProtection="0">
      <alignment horizontal="left" vertical="center" indent="1"/>
    </xf>
    <xf numFmtId="0" fontId="6" fillId="0" borderId="91" applyNumberFormat="0" applyFont="0" applyFill="0" applyBorder="0" applyAlignment="0" applyProtection="0"/>
    <xf numFmtId="0" fontId="32" fillId="27" borderId="84" applyNumberFormat="0" applyProtection="0">
      <alignment horizontal="left" vertical="top" indent="1"/>
    </xf>
    <xf numFmtId="4" fontId="6" fillId="26" borderId="84" applyNumberFormat="0" applyProtection="0">
      <alignment horizontal="right" vertical="center"/>
    </xf>
    <xf numFmtId="4" fontId="73" fillId="29" borderId="84" applyNumberFormat="0" applyProtection="0">
      <alignment horizontal="right" vertical="center"/>
    </xf>
    <xf numFmtId="4" fontId="6" fillId="17" borderId="84" applyNumberFormat="0" applyProtection="0">
      <alignment horizontal="right" vertical="center"/>
    </xf>
    <xf numFmtId="4" fontId="73" fillId="22" borderId="84" applyNumberFormat="0" applyProtection="0">
      <alignment horizontal="right" vertical="center"/>
    </xf>
    <xf numFmtId="4" fontId="6" fillId="21" borderId="84" applyNumberFormat="0" applyProtection="0">
      <alignment horizontal="right" vertical="center"/>
    </xf>
    <xf numFmtId="0" fontId="6" fillId="0" borderId="91" applyNumberFormat="0" applyFont="0" applyFill="0" applyBorder="0" applyAlignment="0" applyProtection="0"/>
    <xf numFmtId="4" fontId="6" fillId="20" borderId="83" applyNumberFormat="0" applyProtection="0">
      <alignment horizontal="right" vertical="center"/>
    </xf>
    <xf numFmtId="0" fontId="6" fillId="20" borderId="84" applyNumberFormat="0" applyProtection="0">
      <alignment horizontal="left" vertical="top" indent="1"/>
    </xf>
    <xf numFmtId="0" fontId="6" fillId="20" borderId="84" applyNumberFormat="0" applyProtection="0">
      <alignment horizontal="left" vertical="top" indent="1"/>
    </xf>
    <xf numFmtId="0" fontId="79" fillId="4" borderId="92" applyNumberFormat="0" applyAlignment="0" applyProtection="0"/>
    <xf numFmtId="0" fontId="6" fillId="0" borderId="85" applyNumberFormat="0" applyFont="0" applyFill="0" applyBorder="0" applyAlignment="0" applyProtection="0"/>
    <xf numFmtId="0" fontId="17" fillId="36" borderId="87" applyNumberFormat="0" applyFont="0" applyAlignment="0" applyProtection="0"/>
    <xf numFmtId="0" fontId="17" fillId="36" borderId="93" applyNumberFormat="0" applyFont="0" applyAlignment="0" applyProtection="0"/>
    <xf numFmtId="0" fontId="6" fillId="0" borderId="85" applyNumberFormat="0" applyFont="0" applyFill="0" applyBorder="0" applyAlignment="0" applyProtection="0"/>
    <xf numFmtId="0" fontId="17" fillId="36" borderId="87" applyNumberFormat="0" applyFont="0" applyAlignment="0" applyProtection="0"/>
    <xf numFmtId="0" fontId="6" fillId="0" borderId="101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86" fillId="5" borderId="86" applyNumberFormat="0" applyAlignment="0" applyProtection="0"/>
    <xf numFmtId="0" fontId="17" fillId="36" borderId="87" applyNumberFormat="0" applyFont="0" applyAlignment="0" applyProtection="0"/>
    <xf numFmtId="4" fontId="32" fillId="34" borderId="89" applyNumberFormat="0" applyProtection="0">
      <alignment horizontal="right" vertical="center"/>
    </xf>
    <xf numFmtId="0" fontId="79" fillId="4" borderId="92" applyNumberFormat="0" applyAlignment="0" applyProtection="0"/>
    <xf numFmtId="0" fontId="6" fillId="0" borderId="85" applyNumberFormat="0" applyFont="0" applyFill="0" applyBorder="0" applyAlignment="0" applyProtection="0"/>
    <xf numFmtId="0" fontId="86" fillId="5" borderId="92" applyNumberFormat="0" applyAlignment="0" applyProtection="0"/>
    <xf numFmtId="0" fontId="79" fillId="4" borderId="92" applyNumberFormat="0" applyAlignment="0" applyProtection="0"/>
    <xf numFmtId="0" fontId="6" fillId="0" borderId="91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4" fontId="73" fillId="30" borderId="97" applyNumberFormat="0" applyProtection="0">
      <alignment horizontal="right" vertical="center"/>
    </xf>
    <xf numFmtId="0" fontId="79" fillId="4" borderId="92" applyNumberFormat="0" applyAlignment="0" applyProtection="0"/>
    <xf numFmtId="4" fontId="31" fillId="26" borderId="100" applyNumberFormat="0" applyProtection="0">
      <alignment vertical="center"/>
    </xf>
    <xf numFmtId="4" fontId="6" fillId="20" borderId="96" applyNumberFormat="0" applyProtection="0">
      <alignment horizontal="right" vertical="center"/>
    </xf>
    <xf numFmtId="0" fontId="6" fillId="0" borderId="91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0" fontId="17" fillId="36" borderId="93" applyNumberFormat="0" applyFont="0" applyAlignment="0" applyProtection="0"/>
    <xf numFmtId="4" fontId="6" fillId="5" borderId="90" applyNumberFormat="0" applyProtection="0">
      <alignment horizontal="right" vertical="center"/>
    </xf>
    <xf numFmtId="0" fontId="6" fillId="0" borderId="85" applyNumberFormat="0" applyFont="0" applyFill="0" applyBorder="0" applyAlignment="0" applyProtection="0"/>
    <xf numFmtId="0" fontId="86" fillId="5" borderId="86" applyNumberFormat="0" applyAlignment="0" applyProtection="0"/>
    <xf numFmtId="0" fontId="17" fillId="36" borderId="87" applyNumberFormat="0" applyFont="0" applyAlignment="0" applyProtection="0"/>
    <xf numFmtId="0" fontId="86" fillId="5" borderId="86" applyNumberFormat="0" applyAlignment="0" applyProtection="0"/>
    <xf numFmtId="0" fontId="17" fillId="36" borderId="87" applyNumberFormat="0" applyFont="0" applyAlignment="0" applyProtection="0"/>
    <xf numFmtId="0" fontId="79" fillId="4" borderId="86" applyNumberFormat="0" applyAlignment="0" applyProtection="0"/>
    <xf numFmtId="0" fontId="6" fillId="0" borderId="85" applyNumberFormat="0" applyFont="0" applyFill="0" applyBorder="0" applyAlignment="0" applyProtection="0"/>
    <xf numFmtId="0" fontId="86" fillId="5" borderId="86" applyNumberFormat="0" applyAlignment="0" applyProtection="0"/>
    <xf numFmtId="0" fontId="6" fillId="0" borderId="85" applyNumberFormat="0" applyFont="0" applyFill="0" applyBorder="0" applyAlignment="0" applyProtection="0"/>
    <xf numFmtId="0" fontId="86" fillId="5" borderId="86" applyNumberFormat="0" applyAlignment="0" applyProtection="0"/>
    <xf numFmtId="0" fontId="17" fillId="36" borderId="87" applyNumberFormat="0" applyFont="0" applyAlignment="0" applyProtection="0"/>
    <xf numFmtId="0" fontId="6" fillId="0" borderId="85" applyNumberFormat="0" applyFont="0" applyFill="0" applyBorder="0" applyAlignment="0" applyProtection="0"/>
    <xf numFmtId="0" fontId="86" fillId="5" borderId="86" applyNumberFormat="0" applyAlignment="0" applyProtection="0"/>
    <xf numFmtId="0" fontId="6" fillId="0" borderId="85" applyNumberFormat="0" applyFont="0" applyFill="0" applyBorder="0" applyAlignment="0" applyProtection="0"/>
    <xf numFmtId="0" fontId="86" fillId="5" borderId="86" applyNumberFormat="0" applyAlignment="0" applyProtection="0"/>
    <xf numFmtId="0" fontId="17" fillId="36" borderId="87" applyNumberFormat="0" applyFont="0" applyAlignment="0" applyProtection="0"/>
    <xf numFmtId="0" fontId="79" fillId="4" borderId="86" applyNumberFormat="0" applyAlignment="0" applyProtection="0"/>
    <xf numFmtId="0" fontId="86" fillId="5" borderId="86" applyNumberFormat="0" applyAlignment="0" applyProtection="0"/>
    <xf numFmtId="0" fontId="6" fillId="0" borderId="85" applyNumberFormat="0" applyFont="0" applyFill="0" applyBorder="0" applyAlignment="0" applyProtection="0"/>
    <xf numFmtId="0" fontId="17" fillId="36" borderId="87" applyNumberFormat="0" applyFont="0" applyAlignment="0" applyProtection="0"/>
    <xf numFmtId="0" fontId="6" fillId="0" borderId="85" applyNumberFormat="0" applyFont="0" applyFill="0" applyBorder="0" applyAlignment="0" applyProtection="0"/>
    <xf numFmtId="0" fontId="86" fillId="5" borderId="86" applyNumberFormat="0" applyAlignment="0" applyProtection="0"/>
    <xf numFmtId="0" fontId="79" fillId="4" borderId="86" applyNumberFormat="0" applyAlignment="0" applyProtection="0"/>
    <xf numFmtId="0" fontId="6" fillId="0" borderId="85" applyNumberFormat="0" applyFont="0" applyFill="0" applyBorder="0" applyAlignment="0" applyProtection="0"/>
    <xf numFmtId="0" fontId="79" fillId="4" borderId="86" applyNumberFormat="0" applyAlignment="0" applyProtection="0"/>
    <xf numFmtId="0" fontId="6" fillId="0" borderId="85" applyNumberFormat="0" applyFont="0" applyFill="0" applyBorder="0" applyAlignment="0" applyProtection="0"/>
    <xf numFmtId="0" fontId="86" fillId="5" borderId="86" applyNumberFormat="0" applyAlignment="0" applyProtection="0"/>
    <xf numFmtId="0" fontId="6" fillId="0" borderId="85" applyNumberFormat="0" applyFont="0" applyFill="0" applyBorder="0" applyAlignment="0" applyProtection="0"/>
    <xf numFmtId="0" fontId="79" fillId="4" borderId="86" applyNumberFormat="0" applyAlignment="0" applyProtection="0"/>
    <xf numFmtId="0" fontId="79" fillId="4" borderId="86" applyNumberFormat="0" applyAlignment="0" applyProtection="0"/>
    <xf numFmtId="0" fontId="17" fillId="36" borderId="87" applyNumberFormat="0" applyFont="0" applyAlignment="0" applyProtection="0"/>
    <xf numFmtId="0" fontId="17" fillId="36" borderId="87" applyNumberFormat="0" applyFont="0" applyAlignment="0" applyProtection="0"/>
    <xf numFmtId="0" fontId="17" fillId="36" borderId="87" applyNumberFormat="0" applyFont="0" applyAlignment="0" applyProtection="0"/>
    <xf numFmtId="0" fontId="17" fillId="36" borderId="87" applyNumberFormat="0" applyFont="0" applyAlignment="0" applyProtection="0"/>
    <xf numFmtId="0" fontId="17" fillId="36" borderId="87" applyNumberFormat="0" applyFont="0" applyAlignment="0" applyProtection="0"/>
    <xf numFmtId="0" fontId="17" fillId="36" borderId="87" applyNumberFormat="0" applyFont="0" applyAlignment="0" applyProtection="0"/>
    <xf numFmtId="0" fontId="17" fillId="36" borderId="87" applyNumberFormat="0" applyFont="0" applyAlignment="0" applyProtection="0"/>
    <xf numFmtId="0" fontId="17" fillId="36" borderId="87" applyNumberFormat="0" applyFont="0" applyAlignment="0" applyProtection="0"/>
    <xf numFmtId="0" fontId="17" fillId="36" borderId="87" applyNumberFormat="0" applyFont="0" applyAlignment="0" applyProtection="0"/>
    <xf numFmtId="0" fontId="17" fillId="36" borderId="87" applyNumberFormat="0" applyFont="0" applyAlignment="0" applyProtection="0"/>
    <xf numFmtId="0" fontId="79" fillId="4" borderId="86" applyNumberFormat="0" applyAlignment="0" applyProtection="0"/>
    <xf numFmtId="0" fontId="86" fillId="5" borderId="86" applyNumberFormat="0" applyAlignment="0" applyProtection="0"/>
    <xf numFmtId="0" fontId="79" fillId="4" borderId="86" applyNumberFormat="0" applyAlignment="0" applyProtection="0"/>
    <xf numFmtId="0" fontId="6" fillId="0" borderId="85" applyNumberFormat="0" applyFont="0" applyFill="0" applyBorder="0" applyAlignment="0" applyProtection="0"/>
    <xf numFmtId="0" fontId="86" fillId="5" borderId="86" applyNumberFormat="0" applyAlignment="0" applyProtection="0"/>
    <xf numFmtId="0" fontId="6" fillId="0" borderId="85" applyNumberFormat="0" applyFont="0" applyFill="0" applyBorder="0" applyAlignment="0" applyProtection="0"/>
    <xf numFmtId="0" fontId="79" fillId="4" borderId="86" applyNumberFormat="0" applyAlignment="0" applyProtection="0"/>
    <xf numFmtId="0" fontId="79" fillId="4" borderId="86" applyNumberFormat="0" applyAlignment="0" applyProtection="0"/>
    <xf numFmtId="0" fontId="17" fillId="36" borderId="87" applyNumberFormat="0" applyFont="0" applyAlignment="0" applyProtection="0"/>
    <xf numFmtId="0" fontId="86" fillId="5" borderId="86" applyNumberFormat="0" applyAlignment="0" applyProtection="0"/>
    <xf numFmtId="0" fontId="17" fillId="36" borderId="87" applyNumberFormat="0" applyFont="0" applyAlignment="0" applyProtection="0"/>
    <xf numFmtId="0" fontId="86" fillId="5" borderId="86" applyNumberFormat="0" applyAlignment="0" applyProtection="0"/>
    <xf numFmtId="0" fontId="6" fillId="0" borderId="85" applyNumberFormat="0" applyFont="0" applyFill="0" applyBorder="0" applyAlignment="0" applyProtection="0"/>
    <xf numFmtId="0" fontId="79" fillId="4" borderId="86" applyNumberFormat="0" applyAlignment="0" applyProtection="0"/>
    <xf numFmtId="0" fontId="86" fillId="5" borderId="86" applyNumberFormat="0" applyAlignment="0" applyProtection="0"/>
    <xf numFmtId="0" fontId="6" fillId="0" borderId="85" applyNumberFormat="0" applyFont="0" applyFill="0" applyBorder="0" applyAlignment="0" applyProtection="0"/>
    <xf numFmtId="0" fontId="86" fillId="5" borderId="86" applyNumberFormat="0" applyAlignment="0" applyProtection="0"/>
    <xf numFmtId="0" fontId="6" fillId="0" borderId="85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17" fillId="36" borderId="87" applyNumberFormat="0" applyFont="0" applyAlignment="0" applyProtection="0"/>
    <xf numFmtId="0" fontId="86" fillId="5" borderId="86" applyNumberFormat="0" applyAlignment="0" applyProtection="0"/>
    <xf numFmtId="0" fontId="6" fillId="0" borderId="85" applyNumberFormat="0" applyFont="0" applyFill="0" applyBorder="0" applyAlignment="0" applyProtection="0"/>
    <xf numFmtId="0" fontId="79" fillId="4" borderId="86" applyNumberFormat="0" applyAlignment="0" applyProtection="0"/>
    <xf numFmtId="0" fontId="6" fillId="0" borderId="85" applyNumberFormat="0" applyFont="0" applyFill="0" applyBorder="0" applyAlignment="0" applyProtection="0"/>
    <xf numFmtId="0" fontId="86" fillId="5" borderId="86" applyNumberFormat="0" applyAlignment="0" applyProtection="0"/>
    <xf numFmtId="0" fontId="6" fillId="0" borderId="85" applyNumberFormat="0" applyFont="0" applyFill="0" applyBorder="0" applyAlignment="0" applyProtection="0"/>
    <xf numFmtId="0" fontId="79" fillId="4" borderId="86" applyNumberFormat="0" applyAlignment="0" applyProtection="0"/>
    <xf numFmtId="0" fontId="17" fillId="36" borderId="87" applyNumberFormat="0" applyFont="0" applyAlignment="0" applyProtection="0"/>
    <xf numFmtId="0" fontId="86" fillId="5" borderId="86" applyNumberFormat="0" applyAlignment="0" applyProtection="0"/>
    <xf numFmtId="0" fontId="79" fillId="4" borderId="86" applyNumberFormat="0" applyAlignment="0" applyProtection="0"/>
    <xf numFmtId="0" fontId="86" fillId="5" borderId="86" applyNumberFormat="0" applyAlignment="0" applyProtection="0"/>
    <xf numFmtId="0" fontId="6" fillId="0" borderId="91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79" fillId="4" borderId="86" applyNumberFormat="0" applyAlignment="0" applyProtection="0"/>
    <xf numFmtId="0" fontId="6" fillId="0" borderId="85" applyNumberFormat="0" applyFont="0" applyFill="0" applyBorder="0" applyAlignment="0" applyProtection="0"/>
    <xf numFmtId="0" fontId="79" fillId="4" borderId="86" applyNumberFormat="0" applyAlignment="0" applyProtection="0"/>
    <xf numFmtId="0" fontId="6" fillId="0" borderId="85" applyNumberFormat="0" applyFont="0" applyFill="0" applyBorder="0" applyAlignment="0" applyProtection="0"/>
    <xf numFmtId="0" fontId="79" fillId="4" borderId="86" applyNumberFormat="0" applyAlignment="0" applyProtection="0"/>
    <xf numFmtId="0" fontId="6" fillId="0" borderId="85" applyNumberFormat="0" applyFont="0" applyFill="0" applyBorder="0" applyAlignment="0" applyProtection="0"/>
    <xf numFmtId="0" fontId="79" fillId="4" borderId="86" applyNumberFormat="0" applyAlignment="0" applyProtection="0"/>
    <xf numFmtId="0" fontId="6" fillId="0" borderId="85" applyNumberFormat="0" applyFont="0" applyFill="0" applyBorder="0" applyAlignment="0" applyProtection="0"/>
    <xf numFmtId="0" fontId="79" fillId="4" borderId="86" applyNumberFormat="0" applyAlignment="0" applyProtection="0"/>
    <xf numFmtId="0" fontId="6" fillId="0" borderId="85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6" fillId="0" borderId="85" applyNumberFormat="0" applyFont="0" applyFill="0" applyBorder="0" applyAlignment="0" applyProtection="0"/>
    <xf numFmtId="0" fontId="79" fillId="4" borderId="92" applyNumberFormat="0" applyAlignment="0" applyProtection="0"/>
    <xf numFmtId="0" fontId="86" fillId="5" borderId="92" applyNumberFormat="0" applyAlignment="0" applyProtection="0"/>
    <xf numFmtId="0" fontId="6" fillId="0" borderId="91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0" fontId="79" fillId="4" borderId="103" applyNumberFormat="0" applyAlignment="0" applyProtection="0"/>
    <xf numFmtId="4" fontId="32" fillId="26" borderId="96" applyNumberFormat="0" applyProtection="0">
      <alignment horizontal="left" vertical="center" indent="1"/>
    </xf>
    <xf numFmtId="4" fontId="32" fillId="26" borderId="89" applyNumberFormat="0" applyProtection="0">
      <alignment horizontal="left" vertical="center" indent="1"/>
    </xf>
    <xf numFmtId="0" fontId="17" fillId="36" borderId="102" applyNumberFormat="0" applyFont="0" applyAlignment="0" applyProtection="0"/>
    <xf numFmtId="0" fontId="17" fillId="36" borderId="93" applyNumberFormat="0" applyFont="0" applyAlignment="0" applyProtection="0"/>
    <xf numFmtId="0" fontId="79" fillId="4" borderId="92" applyNumberFormat="0" applyAlignment="0" applyProtection="0"/>
    <xf numFmtId="4" fontId="32" fillId="26" borderId="96" applyNumberFormat="0" applyProtection="0">
      <alignment vertical="center"/>
    </xf>
    <xf numFmtId="0" fontId="6" fillId="0" borderId="91" applyNumberFormat="0" applyFont="0" applyFill="0" applyBorder="0" applyAlignment="0" applyProtection="0"/>
    <xf numFmtId="0" fontId="79" fillId="4" borderId="92" applyNumberFormat="0" applyAlignment="0" applyProtection="0"/>
    <xf numFmtId="0" fontId="79" fillId="4" borderId="92" applyNumberFormat="0" applyAlignment="0" applyProtection="0"/>
    <xf numFmtId="0" fontId="6" fillId="0" borderId="91" applyNumberFormat="0" applyFont="0" applyFill="0" applyBorder="0" applyAlignment="0" applyProtection="0"/>
    <xf numFmtId="0" fontId="79" fillId="4" borderId="92" applyNumberFormat="0" applyAlignment="0" applyProtection="0"/>
    <xf numFmtId="0" fontId="6" fillId="0" borderId="98" applyNumberFormat="0" applyFont="0" applyFill="0" applyBorder="0" applyAlignment="0" applyProtection="0"/>
    <xf numFmtId="0" fontId="17" fillId="36" borderId="93" applyNumberFormat="0" applyFont="0" applyAlignment="0" applyProtection="0"/>
    <xf numFmtId="0" fontId="6" fillId="0" borderId="91" applyNumberFormat="0" applyFont="0" applyFill="0" applyBorder="0" applyAlignment="0" applyProtection="0"/>
    <xf numFmtId="0" fontId="17" fillId="36" borderId="93" applyNumberFormat="0" applyFont="0" applyAlignment="0" applyProtection="0"/>
    <xf numFmtId="0" fontId="17" fillId="36" borderId="102" applyNumberFormat="0" applyFont="0" applyAlignment="0" applyProtection="0"/>
    <xf numFmtId="0" fontId="79" fillId="4" borderId="92" applyNumberFormat="0" applyAlignment="0" applyProtection="0"/>
    <xf numFmtId="0" fontId="6" fillId="0" borderId="91" applyNumberFormat="0" applyFont="0" applyFill="0" applyBorder="0" applyAlignment="0" applyProtection="0"/>
    <xf numFmtId="0" fontId="17" fillId="36" borderId="93" applyNumberFormat="0" applyFont="0" applyAlignment="0" applyProtection="0"/>
    <xf numFmtId="0" fontId="6" fillId="0" borderId="91" applyNumberFormat="0" applyFont="0" applyFill="0" applyBorder="0" applyAlignment="0" applyProtection="0"/>
    <xf numFmtId="0" fontId="86" fillId="5" borderId="92" applyNumberFormat="0" applyAlignment="0" applyProtection="0"/>
    <xf numFmtId="0" fontId="6" fillId="0" borderId="91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0" fontId="86" fillId="5" borderId="92" applyNumberFormat="0" applyAlignment="0" applyProtection="0"/>
    <xf numFmtId="0" fontId="79" fillId="4" borderId="92" applyNumberFormat="0" applyAlignment="0" applyProtection="0"/>
    <xf numFmtId="0" fontId="79" fillId="4" borderId="92" applyNumberFormat="0" applyAlignment="0" applyProtection="0"/>
    <xf numFmtId="0" fontId="17" fillId="36" borderId="102" applyNumberFormat="0" applyFont="0" applyAlignment="0" applyProtection="0"/>
    <xf numFmtId="0" fontId="6" fillId="0" borderId="91" applyNumberFormat="0" applyFont="0" applyFill="0" applyBorder="0" applyAlignment="0" applyProtection="0"/>
    <xf numFmtId="0" fontId="6" fillId="20" borderId="90" applyNumberFormat="0" applyProtection="0">
      <alignment horizontal="left" vertical="top" indent="1"/>
    </xf>
    <xf numFmtId="0" fontId="6" fillId="0" borderId="91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0" fontId="79" fillId="4" borderId="92" applyNumberFormat="0" applyAlignment="0" applyProtection="0"/>
    <xf numFmtId="0" fontId="17" fillId="36" borderId="93" applyNumberFormat="0" applyFont="0" applyAlignment="0" applyProtection="0"/>
    <xf numFmtId="0" fontId="6" fillId="20" borderId="96" applyNumberFormat="0" applyProtection="0">
      <alignment horizontal="left" vertical="center" indent="1"/>
    </xf>
    <xf numFmtId="0" fontId="17" fillId="36" borderId="93" applyNumberFormat="0" applyFont="0" applyAlignment="0" applyProtection="0"/>
    <xf numFmtId="4" fontId="32" fillId="26" borderId="89" applyNumberFormat="0" applyProtection="0">
      <alignment vertical="center"/>
    </xf>
    <xf numFmtId="0" fontId="86" fillId="5" borderId="92" applyNumberFormat="0" applyAlignment="0" applyProtection="0"/>
    <xf numFmtId="0" fontId="17" fillId="36" borderId="93" applyNumberFormat="0" applyFont="0" applyAlignment="0" applyProtection="0"/>
    <xf numFmtId="0" fontId="86" fillId="5" borderId="92" applyNumberFormat="0" applyAlignment="0" applyProtection="0"/>
    <xf numFmtId="0" fontId="6" fillId="0" borderId="91" applyNumberFormat="0" applyFont="0" applyFill="0" applyBorder="0" applyAlignment="0" applyProtection="0"/>
    <xf numFmtId="4" fontId="31" fillId="26" borderId="90" applyNumberFormat="0" applyProtection="0">
      <alignment vertical="center"/>
    </xf>
    <xf numFmtId="0" fontId="79" fillId="4" borderId="92" applyNumberFormat="0" applyAlignment="0" applyProtection="0"/>
    <xf numFmtId="0" fontId="86" fillId="5" borderId="92" applyNumberFormat="0" applyAlignment="0" applyProtection="0"/>
    <xf numFmtId="0" fontId="6" fillId="0" borderId="91" applyNumberFormat="0" applyFont="0" applyFill="0" applyBorder="0" applyAlignment="0" applyProtection="0"/>
    <xf numFmtId="4" fontId="6" fillId="26" borderId="90" applyNumberFormat="0" applyProtection="0">
      <alignment horizontal="right" vertical="center"/>
    </xf>
    <xf numFmtId="4" fontId="73" fillId="29" borderId="100" applyNumberFormat="0" applyProtection="0">
      <alignment horizontal="right" vertical="center"/>
    </xf>
    <xf numFmtId="4" fontId="73" fillId="22" borderId="100" applyNumberFormat="0" applyProtection="0">
      <alignment horizontal="right" vertical="center"/>
    </xf>
    <xf numFmtId="4" fontId="6" fillId="20" borderId="99" applyNumberFormat="0" applyProtection="0">
      <alignment horizontal="right" vertical="center"/>
    </xf>
    <xf numFmtId="0" fontId="6" fillId="0" borderId="91" applyNumberFormat="0" applyFont="0" applyFill="0" applyBorder="0" applyAlignment="0" applyProtection="0"/>
    <xf numFmtId="0" fontId="86" fillId="5" borderId="92" applyNumberFormat="0" applyAlignment="0" applyProtection="0"/>
    <xf numFmtId="0" fontId="86" fillId="5" borderId="92" applyNumberFormat="0" applyAlignment="0" applyProtection="0"/>
    <xf numFmtId="0" fontId="79" fillId="4" borderId="92" applyNumberFormat="0" applyAlignment="0" applyProtection="0"/>
    <xf numFmtId="0" fontId="17" fillId="36" borderId="93" applyNumberFormat="0" applyFont="0" applyAlignment="0" applyProtection="0"/>
    <xf numFmtId="0" fontId="79" fillId="4" borderId="92" applyNumberFormat="0" applyAlignment="0" applyProtection="0"/>
    <xf numFmtId="0" fontId="6" fillId="0" borderId="91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4" fontId="73" fillId="29" borderId="97" applyNumberFormat="0" applyProtection="0">
      <alignment horizontal="right" vertical="center"/>
    </xf>
    <xf numFmtId="0" fontId="86" fillId="5" borderId="92" applyNumberFormat="0" applyAlignment="0" applyProtection="0"/>
    <xf numFmtId="0" fontId="6" fillId="0" borderId="91" applyNumberFormat="0" applyFont="0" applyFill="0" applyBorder="0" applyAlignment="0" applyProtection="0"/>
    <xf numFmtId="0" fontId="89" fillId="4" borderId="94" applyNumberFormat="0" applyAlignment="0" applyProtection="0"/>
    <xf numFmtId="0" fontId="17" fillId="36" borderId="93" applyNumberFormat="0" applyFont="0" applyAlignment="0" applyProtection="0"/>
    <xf numFmtId="0" fontId="6" fillId="0" borderId="91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4" fontId="6" fillId="17" borderId="90" applyNumberFormat="0" applyProtection="0">
      <alignment horizontal="right" vertical="center"/>
    </xf>
    <xf numFmtId="4" fontId="6" fillId="20" borderId="97" applyNumberFormat="0" applyProtection="0">
      <alignment horizontal="left" vertical="center" indent="1"/>
    </xf>
    <xf numFmtId="0" fontId="86" fillId="5" borderId="92" applyNumberFormat="0" applyAlignment="0" applyProtection="0"/>
    <xf numFmtId="0" fontId="86" fillId="5" borderId="92" applyNumberFormat="0" applyAlignment="0" applyProtection="0"/>
    <xf numFmtId="0" fontId="6" fillId="0" borderId="91" applyNumberFormat="0" applyFont="0" applyFill="0" applyBorder="0" applyAlignment="0" applyProtection="0"/>
    <xf numFmtId="0" fontId="6" fillId="20" borderId="90" applyNumberFormat="0" applyProtection="0">
      <alignment horizontal="left" vertical="top" indent="1"/>
    </xf>
    <xf numFmtId="4" fontId="6" fillId="20" borderId="89" applyNumberFormat="0" applyProtection="0">
      <alignment horizontal="right" vertical="center"/>
    </xf>
    <xf numFmtId="4" fontId="6" fillId="21" borderId="90" applyNumberFormat="0" applyProtection="0">
      <alignment horizontal="right" vertical="center"/>
    </xf>
    <xf numFmtId="4" fontId="32" fillId="26" borderId="89" applyNumberFormat="0" applyProtection="0">
      <alignment vertical="center"/>
    </xf>
    <xf numFmtId="0" fontId="17" fillId="36" borderId="93" applyNumberFormat="0" applyFont="0" applyAlignment="0" applyProtection="0"/>
    <xf numFmtId="0" fontId="6" fillId="0" borderId="91" applyNumberFormat="0" applyFont="0" applyFill="0" applyBorder="0" applyAlignment="0" applyProtection="0"/>
    <xf numFmtId="0" fontId="17" fillId="36" borderId="93" applyNumberFormat="0" applyFont="0" applyAlignment="0" applyProtection="0"/>
    <xf numFmtId="0" fontId="6" fillId="0" borderId="101" applyNumberFormat="0" applyFont="0" applyFill="0" applyBorder="0" applyAlignment="0" applyProtection="0"/>
    <xf numFmtId="0" fontId="86" fillId="5" borderId="92" applyNumberFormat="0" applyAlignment="0" applyProtection="0"/>
    <xf numFmtId="0" fontId="86" fillId="5" borderId="92" applyNumberFormat="0" applyAlignment="0" applyProtection="0"/>
    <xf numFmtId="0" fontId="86" fillId="5" borderId="92" applyNumberFormat="0" applyAlignment="0" applyProtection="0"/>
    <xf numFmtId="4" fontId="6" fillId="26" borderId="100" applyNumberFormat="0" applyProtection="0">
      <alignment horizontal="right" vertical="center"/>
    </xf>
    <xf numFmtId="0" fontId="17" fillId="36" borderId="93" applyNumberFormat="0" applyFont="0" applyAlignment="0" applyProtection="0"/>
    <xf numFmtId="0" fontId="86" fillId="5" borderId="103" applyNumberFormat="0" applyAlignment="0" applyProtection="0"/>
    <xf numFmtId="0" fontId="6" fillId="0" borderId="91" applyNumberFormat="0" applyFont="0" applyFill="0" applyBorder="0" applyAlignment="0" applyProtection="0"/>
    <xf numFmtId="0" fontId="86" fillId="5" borderId="92" applyNumberFormat="0" applyAlignment="0" applyProtection="0"/>
    <xf numFmtId="0" fontId="6" fillId="0" borderId="91" applyNumberFormat="0" applyFont="0" applyFill="0" applyBorder="0" applyAlignment="0" applyProtection="0"/>
    <xf numFmtId="0" fontId="86" fillId="5" borderId="92" applyNumberFormat="0" applyAlignment="0" applyProtection="0"/>
    <xf numFmtId="0" fontId="91" fillId="0" borderId="95" applyNumberFormat="0" applyFill="0" applyAlignment="0" applyProtection="0"/>
    <xf numFmtId="0" fontId="86" fillId="5" borderId="103" applyNumberFormat="0" applyAlignment="0" applyProtection="0"/>
    <xf numFmtId="0" fontId="6" fillId="0" borderId="91" applyNumberFormat="0" applyFont="0" applyFill="0" applyBorder="0" applyAlignment="0" applyProtection="0"/>
    <xf numFmtId="0" fontId="86" fillId="5" borderId="92" applyNumberFormat="0" applyAlignment="0" applyProtection="0"/>
    <xf numFmtId="0" fontId="86" fillId="5" borderId="103" applyNumberFormat="0" applyAlignment="0" applyProtection="0"/>
    <xf numFmtId="0" fontId="6" fillId="20" borderId="89" applyNumberFormat="0" applyProtection="0">
      <alignment horizontal="left" vertical="center" indent="1"/>
    </xf>
    <xf numFmtId="0" fontId="6" fillId="20" borderId="96" applyNumberFormat="0" applyProtection="0">
      <alignment horizontal="left" vertical="center" indent="1"/>
    </xf>
    <xf numFmtId="0" fontId="17" fillId="36" borderId="93" applyNumberFormat="0" applyFont="0" applyAlignment="0" applyProtection="0"/>
    <xf numFmtId="0" fontId="6" fillId="0" borderId="91" applyNumberFormat="0" applyFont="0" applyFill="0" applyBorder="0" applyAlignment="0" applyProtection="0"/>
    <xf numFmtId="4" fontId="6" fillId="20" borderId="89" applyNumberFormat="0" applyProtection="0">
      <alignment horizontal="left" vertical="center" indent="1"/>
    </xf>
    <xf numFmtId="0" fontId="79" fillId="4" borderId="103" applyNumberFormat="0" applyAlignment="0" applyProtection="0"/>
    <xf numFmtId="0" fontId="86" fillId="5" borderId="92" applyNumberFormat="0" applyAlignment="0" applyProtection="0"/>
    <xf numFmtId="0" fontId="79" fillId="4" borderId="92" applyNumberFormat="0" applyAlignment="0" applyProtection="0"/>
    <xf numFmtId="4" fontId="6" fillId="19" borderId="97" applyNumberFormat="0" applyProtection="0">
      <alignment horizontal="right" vertical="center"/>
    </xf>
    <xf numFmtId="0" fontId="6" fillId="0" borderId="101" applyNumberFormat="0" applyFont="0" applyFill="0" applyBorder="0" applyAlignment="0" applyProtection="0"/>
    <xf numFmtId="0" fontId="86" fillId="5" borderId="92" applyNumberFormat="0" applyAlignment="0" applyProtection="0"/>
    <xf numFmtId="0" fontId="17" fillId="36" borderId="93" applyNumberFormat="0" applyFont="0" applyAlignment="0" applyProtection="0"/>
    <xf numFmtId="0" fontId="17" fillId="36" borderId="93" applyNumberFormat="0" applyFont="0" applyAlignment="0" applyProtection="0"/>
    <xf numFmtId="0" fontId="6" fillId="0" borderId="91" applyNumberFormat="0" applyFont="0" applyFill="0" applyBorder="0" applyAlignment="0" applyProtection="0"/>
    <xf numFmtId="0" fontId="32" fillId="27" borderId="100" applyNumberFormat="0" applyProtection="0">
      <alignment horizontal="left" vertical="top" indent="1"/>
    </xf>
    <xf numFmtId="0" fontId="17" fillId="36" borderId="93" applyNumberFormat="0" applyFont="0" applyAlignment="0" applyProtection="0"/>
    <xf numFmtId="4" fontId="6" fillId="34" borderId="99" applyNumberFormat="0" applyProtection="0">
      <alignment horizontal="right" vertical="center"/>
    </xf>
    <xf numFmtId="0" fontId="17" fillId="36" borderId="93" applyNumberFormat="0" applyFont="0" applyAlignment="0" applyProtection="0"/>
    <xf numFmtId="0" fontId="79" fillId="4" borderId="92" applyNumberFormat="0" applyAlignment="0" applyProtection="0"/>
    <xf numFmtId="0" fontId="17" fillId="36" borderId="102" applyNumberFormat="0" applyFont="0" applyAlignment="0" applyProtection="0"/>
    <xf numFmtId="0" fontId="6" fillId="0" borderId="91" applyNumberFormat="0" applyFont="0" applyFill="0" applyBorder="0" applyAlignment="0" applyProtection="0"/>
    <xf numFmtId="4" fontId="6" fillId="17" borderId="97" applyNumberFormat="0" applyProtection="0">
      <alignment horizontal="right" vertical="center"/>
    </xf>
    <xf numFmtId="4" fontId="6" fillId="20" borderId="99" applyNumberFormat="0" applyProtection="0">
      <alignment horizontal="left" vertical="center" indent="1"/>
    </xf>
    <xf numFmtId="0" fontId="86" fillId="5" borderId="92" applyNumberFormat="0" applyAlignment="0" applyProtection="0"/>
    <xf numFmtId="4" fontId="32" fillId="26" borderId="99" applyNumberFormat="0" applyProtection="0">
      <alignment vertical="center"/>
    </xf>
    <xf numFmtId="0" fontId="6" fillId="0" borderId="91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0" fontId="86" fillId="5" borderId="92" applyNumberFormat="0" applyAlignment="0" applyProtection="0"/>
    <xf numFmtId="4" fontId="38" fillId="33" borderId="97" applyNumberFormat="0" applyProtection="0">
      <alignment vertical="center"/>
    </xf>
    <xf numFmtId="0" fontId="6" fillId="0" borderId="91" applyNumberFormat="0" applyFont="0" applyFill="0" applyBorder="0" applyAlignment="0" applyProtection="0"/>
    <xf numFmtId="0" fontId="86" fillId="5" borderId="92" applyNumberFormat="0" applyAlignment="0" applyProtection="0"/>
    <xf numFmtId="0" fontId="6" fillId="0" borderId="91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4" fontId="6" fillId="5" borderId="97" applyNumberFormat="0" applyProtection="0">
      <alignment horizontal="right" vertical="center"/>
    </xf>
    <xf numFmtId="4" fontId="6" fillId="26" borderId="100" applyNumberFormat="0" applyProtection="0">
      <alignment horizontal="right" vertical="center"/>
    </xf>
    <xf numFmtId="0" fontId="6" fillId="0" borderId="91" applyNumberFormat="0" applyFont="0" applyFill="0" applyBorder="0" applyAlignment="0" applyProtection="0"/>
    <xf numFmtId="0" fontId="32" fillId="27" borderId="100" applyNumberFormat="0" applyProtection="0">
      <alignment horizontal="left" vertical="top" indent="1"/>
    </xf>
    <xf numFmtId="0" fontId="6" fillId="0" borderId="101" applyNumberFormat="0" applyFont="0" applyFill="0" applyBorder="0" applyAlignment="0" applyProtection="0"/>
    <xf numFmtId="0" fontId="86" fillId="5" borderId="92" applyNumberFormat="0" applyAlignment="0" applyProtection="0"/>
    <xf numFmtId="0" fontId="17" fillId="36" borderId="93" applyNumberFormat="0" applyFont="0" applyAlignment="0" applyProtection="0"/>
    <xf numFmtId="4" fontId="6" fillId="21" borderId="100" applyNumberFormat="0" applyProtection="0">
      <alignment horizontal="right" vertical="center"/>
    </xf>
    <xf numFmtId="0" fontId="6" fillId="0" borderId="91" applyNumberFormat="0" applyFont="0" applyFill="0" applyBorder="0" applyAlignment="0" applyProtection="0"/>
    <xf numFmtId="0" fontId="6" fillId="0" borderId="91" applyNumberFormat="0" applyFont="0" applyFill="0" applyBorder="0" applyAlignment="0" applyProtection="0"/>
    <xf numFmtId="0" fontId="17" fillId="36" borderId="93" applyNumberFormat="0" applyFont="0" applyAlignment="0" applyProtection="0"/>
    <xf numFmtId="0" fontId="6" fillId="0" borderId="91" applyNumberFormat="0" applyFont="0" applyFill="0" applyBorder="0" applyAlignment="0" applyProtection="0"/>
    <xf numFmtId="0" fontId="17" fillId="36" borderId="93" applyNumberFormat="0" applyFont="0" applyAlignment="0" applyProtection="0"/>
    <xf numFmtId="0" fontId="6" fillId="0" borderId="91" applyNumberFormat="0" applyFont="0" applyFill="0" applyBorder="0" applyAlignment="0" applyProtection="0"/>
    <xf numFmtId="0" fontId="17" fillId="36" borderId="93" applyNumberFormat="0" applyFont="0" applyAlignment="0" applyProtection="0"/>
    <xf numFmtId="0" fontId="6" fillId="20" borderId="90" applyNumberFormat="0" applyProtection="0">
      <alignment horizontal="left" vertical="top" indent="1"/>
    </xf>
    <xf numFmtId="4" fontId="6" fillId="19" borderId="97" applyNumberFormat="0" applyProtection="0">
      <alignment horizontal="right" vertical="center"/>
    </xf>
    <xf numFmtId="0" fontId="32" fillId="27" borderId="97" applyNumberFormat="0" applyProtection="0">
      <alignment horizontal="left" vertical="top" indent="1"/>
    </xf>
    <xf numFmtId="0" fontId="17" fillId="36" borderId="93" applyNumberFormat="0" applyFont="0" applyAlignment="0" applyProtection="0"/>
    <xf numFmtId="0" fontId="79" fillId="4" borderId="92" applyNumberFormat="0" applyAlignment="0" applyProtection="0"/>
    <xf numFmtId="0" fontId="86" fillId="5" borderId="92" applyNumberFormat="0" applyAlignment="0" applyProtection="0"/>
    <xf numFmtId="0" fontId="6" fillId="20" borderId="90" applyNumberFormat="0" applyProtection="0">
      <alignment horizontal="left" vertical="top" indent="1"/>
    </xf>
    <xf numFmtId="0" fontId="86" fillId="5" borderId="92" applyNumberFormat="0" applyAlignment="0" applyProtection="0"/>
    <xf numFmtId="0" fontId="79" fillId="4" borderId="92" applyNumberFormat="0" applyAlignment="0" applyProtection="0"/>
    <xf numFmtId="0" fontId="17" fillId="36" borderId="93" applyNumberFormat="0" applyFont="0" applyAlignment="0" applyProtection="0"/>
    <xf numFmtId="0" fontId="17" fillId="36" borderId="93" applyNumberFormat="0" applyFont="0" applyAlignment="0" applyProtection="0"/>
    <xf numFmtId="0" fontId="6" fillId="0" borderId="0"/>
    <xf numFmtId="0" fontId="6" fillId="20" borderId="100" applyNumberFormat="0" applyProtection="0">
      <alignment horizontal="left" vertical="top" indent="1"/>
    </xf>
    <xf numFmtId="0" fontId="79" fillId="4" borderId="103" applyNumberFormat="0" applyAlignment="0" applyProtection="0"/>
    <xf numFmtId="0" fontId="6" fillId="0" borderId="101" applyNumberFormat="0" applyFont="0" applyFill="0" applyBorder="0" applyAlignment="0" applyProtection="0"/>
    <xf numFmtId="4" fontId="6" fillId="20" borderId="99" applyNumberFormat="0" applyProtection="0">
      <alignment horizontal="left" vertical="center" indent="1"/>
    </xf>
    <xf numFmtId="0" fontId="6" fillId="20" borderId="96" applyNumberFormat="0" applyProtection="0">
      <alignment horizontal="left" vertical="center" indent="1"/>
    </xf>
    <xf numFmtId="0" fontId="6" fillId="20" borderId="100" applyNumberFormat="0" applyProtection="0">
      <alignment horizontal="left" vertical="top" indent="1"/>
    </xf>
    <xf numFmtId="0" fontId="79" fillId="4" borderId="103" applyNumberFormat="0" applyAlignment="0" applyProtection="0"/>
    <xf numFmtId="0" fontId="79" fillId="4" borderId="103" applyNumberFormat="0" applyAlignment="0" applyProtection="0"/>
    <xf numFmtId="0" fontId="86" fillId="5" borderId="103" applyNumberFormat="0" applyAlignment="0" applyProtection="0"/>
    <xf numFmtId="0" fontId="79" fillId="4" borderId="103" applyNumberFormat="0" applyAlignment="0" applyProtection="0"/>
    <xf numFmtId="4" fontId="6" fillId="0" borderId="100" applyNumberFormat="0" applyProtection="0">
      <alignment horizontal="right" vertical="center"/>
    </xf>
    <xf numFmtId="0" fontId="6" fillId="0" borderId="101" applyNumberFormat="0" applyFont="0" applyFill="0" applyBorder="0" applyAlignment="0" applyProtection="0"/>
    <xf numFmtId="0" fontId="17" fillId="36" borderId="102" applyNumberFormat="0" applyFont="0" applyAlignment="0" applyProtection="0"/>
    <xf numFmtId="0" fontId="6" fillId="20" borderId="97" applyNumberFormat="0" applyProtection="0">
      <alignment horizontal="left" vertical="top" indent="1"/>
    </xf>
    <xf numFmtId="0" fontId="17" fillId="36" borderId="102" applyNumberFormat="0" applyFont="0" applyAlignment="0" applyProtection="0"/>
    <xf numFmtId="0" fontId="6" fillId="0" borderId="101" applyNumberFormat="0" applyFont="0" applyFill="0" applyBorder="0" applyAlignment="0" applyProtection="0"/>
    <xf numFmtId="0" fontId="79" fillId="4" borderId="103" applyNumberFormat="0" applyAlignment="0" applyProtection="0"/>
    <xf numFmtId="0" fontId="6" fillId="0" borderId="101" applyNumberFormat="0" applyFont="0" applyFill="0" applyBorder="0" applyAlignment="0" applyProtection="0"/>
    <xf numFmtId="0" fontId="79" fillId="4" borderId="103" applyNumberFormat="0" applyAlignment="0" applyProtection="0"/>
    <xf numFmtId="0" fontId="6" fillId="0" borderId="101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79" fillId="4" borderId="103" applyNumberFormat="0" applyAlignment="0" applyProtection="0"/>
    <xf numFmtId="4" fontId="32" fillId="26" borderId="96" applyNumberFormat="0" applyProtection="0">
      <alignment vertical="center"/>
    </xf>
    <xf numFmtId="0" fontId="6" fillId="0" borderId="101" applyNumberFormat="0" applyFont="0" applyFill="0" applyBorder="0" applyAlignment="0" applyProtection="0"/>
    <xf numFmtId="0" fontId="79" fillId="4" borderId="103" applyNumberFormat="0" applyAlignment="0" applyProtection="0"/>
    <xf numFmtId="0" fontId="6" fillId="0" borderId="101" applyNumberFormat="0" applyFont="0" applyFill="0" applyBorder="0" applyAlignment="0" applyProtection="0"/>
    <xf numFmtId="0" fontId="17" fillId="36" borderId="102" applyNumberFormat="0" applyFont="0" applyAlignment="0" applyProtection="0"/>
    <xf numFmtId="0" fontId="17" fillId="36" borderId="102" applyNumberFormat="0" applyFont="0" applyAlignment="0" applyProtection="0"/>
    <xf numFmtId="0" fontId="6" fillId="20" borderId="99" applyNumberFormat="0" applyProtection="0">
      <alignment horizontal="left" vertical="center" indent="1"/>
    </xf>
    <xf numFmtId="4" fontId="6" fillId="20" borderId="96" applyNumberFormat="0" applyProtection="0">
      <alignment horizontal="left" vertical="center" indent="1"/>
    </xf>
    <xf numFmtId="0" fontId="86" fillId="5" borderId="103" applyNumberFormat="0" applyAlignment="0" applyProtection="0"/>
    <xf numFmtId="0" fontId="6" fillId="0" borderId="101" applyNumberFormat="0" applyFont="0" applyFill="0" applyBorder="0" applyAlignment="0" applyProtection="0"/>
    <xf numFmtId="0" fontId="17" fillId="36" borderId="102" applyNumberFormat="0" applyFont="0" applyAlignment="0" applyProtection="0"/>
    <xf numFmtId="0" fontId="86" fillId="5" borderId="103" applyNumberFormat="0" applyAlignment="0" applyProtection="0"/>
    <xf numFmtId="4" fontId="31" fillId="26" borderId="97" applyNumberFormat="0" applyProtection="0">
      <alignment vertical="center"/>
    </xf>
    <xf numFmtId="0" fontId="6" fillId="0" borderId="101" applyNumberFormat="0" applyFont="0" applyFill="0" applyBorder="0" applyAlignment="0" applyProtection="0"/>
    <xf numFmtId="0" fontId="79" fillId="4" borderId="103" applyNumberFormat="0" applyAlignment="0" applyProtection="0"/>
    <xf numFmtId="4" fontId="6" fillId="26" borderId="97" applyNumberFormat="0" applyProtection="0">
      <alignment horizontal="right" vertical="center"/>
    </xf>
    <xf numFmtId="0" fontId="86" fillId="5" borderId="103" applyNumberFormat="0" applyAlignment="0" applyProtection="0"/>
    <xf numFmtId="0" fontId="86" fillId="5" borderId="103" applyNumberFormat="0" applyAlignment="0" applyProtection="0"/>
    <xf numFmtId="0" fontId="86" fillId="5" borderId="103" applyNumberFormat="0" applyAlignment="0" applyProtection="0"/>
    <xf numFmtId="0" fontId="17" fillId="36" borderId="102" applyNumberFormat="0" applyFont="0" applyAlignment="0" applyProtection="0"/>
    <xf numFmtId="0" fontId="6" fillId="20" borderId="100" applyNumberFormat="0" applyProtection="0">
      <alignment horizontal="left" vertical="top" indent="1"/>
    </xf>
    <xf numFmtId="0" fontId="86" fillId="5" borderId="103" applyNumberFormat="0" applyAlignment="0" applyProtection="0"/>
    <xf numFmtId="0" fontId="6" fillId="20" borderId="99" applyNumberFormat="0" applyProtection="0">
      <alignment horizontal="left" vertical="center" indent="1"/>
    </xf>
    <xf numFmtId="0" fontId="86" fillId="5" borderId="103" applyNumberFormat="0" applyAlignment="0" applyProtection="0"/>
    <xf numFmtId="4" fontId="6" fillId="19" borderId="100" applyNumberFormat="0" applyProtection="0">
      <alignment horizontal="right" vertical="center"/>
    </xf>
    <xf numFmtId="4" fontId="32" fillId="26" borderId="99" applyNumberFormat="0" applyProtection="0">
      <alignment horizontal="left" vertical="center" indent="1"/>
    </xf>
    <xf numFmtId="0" fontId="6" fillId="0" borderId="101" applyNumberFormat="0" applyFont="0" applyFill="0" applyBorder="0" applyAlignment="0" applyProtection="0"/>
    <xf numFmtId="0" fontId="86" fillId="5" borderId="103" applyNumberFormat="0" applyAlignment="0" applyProtection="0"/>
    <xf numFmtId="0" fontId="6" fillId="20" borderId="99" applyNumberFormat="0" applyProtection="0">
      <alignment horizontal="left" vertical="top" indent="1"/>
    </xf>
    <xf numFmtId="0" fontId="79" fillId="4" borderId="103" applyNumberFormat="0" applyAlignment="0" applyProtection="0"/>
    <xf numFmtId="0" fontId="86" fillId="5" borderId="103" applyNumberFormat="0" applyAlignment="0" applyProtection="0"/>
    <xf numFmtId="4" fontId="32" fillId="26" borderId="99" applyNumberFormat="0" applyProtection="0">
      <alignment horizontal="left" vertical="center" indent="1"/>
    </xf>
    <xf numFmtId="4" fontId="73" fillId="28" borderId="100" applyNumberFormat="0" applyProtection="0">
      <alignment horizontal="right" vertical="center"/>
    </xf>
    <xf numFmtId="0" fontId="6" fillId="20" borderId="97" applyNumberFormat="0" applyProtection="0">
      <alignment horizontal="left" vertical="top" indent="1"/>
    </xf>
    <xf numFmtId="0" fontId="17" fillId="36" borderId="102" applyNumberFormat="0" applyFont="0" applyAlignment="0" applyProtection="0"/>
    <xf numFmtId="4" fontId="6" fillId="21" borderId="97" applyNumberFormat="0" applyProtection="0">
      <alignment horizontal="right" vertical="center"/>
    </xf>
    <xf numFmtId="0" fontId="86" fillId="5" borderId="103" applyNumberFormat="0" applyAlignment="0" applyProtection="0"/>
    <xf numFmtId="0" fontId="6" fillId="20" borderId="96" applyNumberFormat="0" applyProtection="0">
      <alignment horizontal="left" vertical="center" indent="1"/>
    </xf>
    <xf numFmtId="0" fontId="6" fillId="20" borderId="99" applyNumberFormat="0" applyProtection="0">
      <alignment horizontal="left" vertical="center" indent="1"/>
    </xf>
    <xf numFmtId="0" fontId="6" fillId="0" borderId="101" applyNumberFormat="0" applyFont="0" applyFill="0" applyBorder="0" applyAlignment="0" applyProtection="0"/>
    <xf numFmtId="0" fontId="79" fillId="4" borderId="103" applyNumberFormat="0" applyAlignment="0" applyProtection="0"/>
    <xf numFmtId="0" fontId="6" fillId="20" borderId="100" applyNumberFormat="0" applyProtection="0">
      <alignment horizontal="left" vertical="top" indent="1"/>
    </xf>
    <xf numFmtId="4" fontId="32" fillId="34" borderId="96" applyNumberFormat="0" applyProtection="0">
      <alignment horizontal="right" vertical="center"/>
    </xf>
    <xf numFmtId="0" fontId="32" fillId="27" borderId="97" applyNumberFormat="0" applyProtection="0">
      <alignment horizontal="left" vertical="top" indent="1"/>
    </xf>
    <xf numFmtId="4" fontId="6" fillId="20" borderId="100" applyNumberFormat="0" applyProtection="0">
      <alignment horizontal="left" vertical="center" indent="1"/>
    </xf>
    <xf numFmtId="0" fontId="6" fillId="0" borderId="101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79" fillId="4" borderId="103" applyNumberFormat="0" applyAlignment="0" applyProtection="0"/>
    <xf numFmtId="0" fontId="86" fillId="5" borderId="103" applyNumberFormat="0" applyAlignment="0" applyProtection="0"/>
    <xf numFmtId="0" fontId="79" fillId="4" borderId="103" applyNumberFormat="0" applyAlignment="0" applyProtection="0"/>
    <xf numFmtId="0" fontId="17" fillId="36" borderId="102" applyNumberFormat="0" applyFont="0" applyAlignment="0" applyProtection="0"/>
    <xf numFmtId="0" fontId="17" fillId="36" borderId="102" applyNumberFormat="0" applyFont="0" applyAlignment="0" applyProtection="0"/>
    <xf numFmtId="0" fontId="86" fillId="5" borderId="103" applyNumberFormat="0" applyAlignment="0" applyProtection="0"/>
    <xf numFmtId="0" fontId="6" fillId="0" borderId="101" applyNumberFormat="0" applyFont="0" applyFill="0" applyBorder="0" applyAlignment="0" applyProtection="0"/>
    <xf numFmtId="4" fontId="6" fillId="34" borderId="99" applyNumberFormat="0" applyProtection="0">
      <alignment horizontal="right" vertical="center"/>
    </xf>
    <xf numFmtId="0" fontId="17" fillId="36" borderId="102" applyNumberFormat="0" applyFont="0" applyAlignment="0" applyProtection="0"/>
    <xf numFmtId="0" fontId="79" fillId="4" borderId="103" applyNumberFormat="0" applyAlignment="0" applyProtection="0"/>
    <xf numFmtId="0" fontId="6" fillId="20" borderId="99" applyNumberFormat="0" applyProtection="0">
      <alignment horizontal="left" vertical="center" indent="1"/>
    </xf>
    <xf numFmtId="4" fontId="6" fillId="19" borderId="100" applyNumberFormat="0" applyProtection="0">
      <alignment horizontal="right" vertical="center"/>
    </xf>
    <xf numFmtId="0" fontId="17" fillId="36" borderId="102" applyNumberFormat="0" applyFont="0" applyAlignment="0" applyProtection="0"/>
    <xf numFmtId="4" fontId="38" fillId="33" borderId="100" applyNumberFormat="0" applyProtection="0">
      <alignment vertical="center"/>
    </xf>
    <xf numFmtId="0" fontId="6" fillId="20" borderId="99" applyNumberFormat="0" applyProtection="0">
      <alignment horizontal="left" vertical="center" indent="1"/>
    </xf>
    <xf numFmtId="0" fontId="6" fillId="20" borderId="100" applyNumberFormat="0" applyProtection="0">
      <alignment horizontal="left" vertical="top" indent="1"/>
    </xf>
    <xf numFmtId="0" fontId="17" fillId="36" borderId="102" applyNumberFormat="0" applyFont="0" applyAlignment="0" applyProtection="0"/>
    <xf numFmtId="0" fontId="17" fillId="36" borderId="102" applyNumberFormat="0" applyFont="0" applyAlignment="0" applyProtection="0"/>
    <xf numFmtId="0" fontId="6" fillId="0" borderId="101" applyNumberFormat="0" applyFont="0" applyFill="0" applyBorder="0" applyAlignment="0" applyProtection="0"/>
    <xf numFmtId="0" fontId="6" fillId="20" borderId="99" applyNumberFormat="0" applyProtection="0">
      <alignment horizontal="left" vertical="center" indent="1"/>
    </xf>
    <xf numFmtId="0" fontId="17" fillId="36" borderId="102" applyNumberFormat="0" applyFont="0" applyAlignment="0" applyProtection="0"/>
    <xf numFmtId="4" fontId="6" fillId="20" borderId="99" applyNumberFormat="0" applyProtection="0">
      <alignment horizontal="right" vertical="center"/>
    </xf>
    <xf numFmtId="0" fontId="17" fillId="36" borderId="102" applyNumberFormat="0" applyFont="0" applyAlignment="0" applyProtection="0"/>
    <xf numFmtId="0" fontId="79" fillId="4" borderId="103" applyNumberFormat="0" applyAlignment="0" applyProtection="0"/>
    <xf numFmtId="0" fontId="86" fillId="5" borderId="103" applyNumberFormat="0" applyAlignment="0" applyProtection="0"/>
    <xf numFmtId="0" fontId="17" fillId="36" borderId="102" applyNumberFormat="0" applyFont="0" applyAlignment="0" applyProtection="0"/>
    <xf numFmtId="0" fontId="6" fillId="0" borderId="101" applyNumberFormat="0" applyFont="0" applyFill="0" applyBorder="0" applyAlignment="0" applyProtection="0"/>
    <xf numFmtId="0" fontId="17" fillId="36" borderId="102" applyNumberFormat="0" applyFont="0" applyAlignment="0" applyProtection="0"/>
    <xf numFmtId="0" fontId="6" fillId="0" borderId="101" applyNumberFormat="0" applyFont="0" applyFill="0" applyBorder="0" applyAlignment="0" applyProtection="0"/>
    <xf numFmtId="0" fontId="17" fillId="36" borderId="102" applyNumberFormat="0" applyFont="0" applyAlignment="0" applyProtection="0"/>
    <xf numFmtId="0" fontId="79" fillId="4" borderId="103" applyNumberFormat="0" applyAlignment="0" applyProtection="0"/>
    <xf numFmtId="0" fontId="6" fillId="0" borderId="101" applyNumberFormat="0" applyFont="0" applyFill="0" applyBorder="0" applyAlignment="0" applyProtection="0"/>
    <xf numFmtId="4" fontId="6" fillId="5" borderId="100" applyNumberFormat="0" applyProtection="0">
      <alignment horizontal="right" vertical="center"/>
    </xf>
    <xf numFmtId="0" fontId="79" fillId="4" borderId="103" applyNumberFormat="0" applyAlignment="0" applyProtection="0"/>
    <xf numFmtId="4" fontId="73" fillId="30" borderId="100" applyNumberFormat="0" applyProtection="0">
      <alignment horizontal="right" vertical="center"/>
    </xf>
    <xf numFmtId="0" fontId="17" fillId="36" borderId="102" applyNumberFormat="0" applyFont="0" applyAlignment="0" applyProtection="0"/>
    <xf numFmtId="4" fontId="6" fillId="20" borderId="100" applyNumberFormat="0" applyProtection="0">
      <alignment horizontal="left" vertical="center" indent="1"/>
    </xf>
    <xf numFmtId="0" fontId="86" fillId="5" borderId="103" applyNumberFormat="0" applyAlignment="0" applyProtection="0"/>
    <xf numFmtId="0" fontId="6" fillId="20" borderId="100" applyNumberFormat="0" applyProtection="0">
      <alignment horizontal="left" vertical="top" indent="1"/>
    </xf>
    <xf numFmtId="0" fontId="17" fillId="36" borderId="102" applyNumberFormat="0" applyFont="0" applyAlignment="0" applyProtection="0"/>
    <xf numFmtId="0" fontId="79" fillId="4" borderId="103" applyNumberFormat="0" applyAlignment="0" applyProtection="0"/>
    <xf numFmtId="0" fontId="6" fillId="20" borderId="100" applyNumberFormat="0" applyProtection="0">
      <alignment horizontal="left" vertical="top" indent="1"/>
    </xf>
    <xf numFmtId="0" fontId="6" fillId="20" borderId="97" applyNumberFormat="0" applyProtection="0">
      <alignment horizontal="left" vertical="top" indent="1"/>
    </xf>
    <xf numFmtId="4" fontId="6" fillId="5" borderId="100" applyNumberFormat="0" applyProtection="0">
      <alignment horizontal="right" vertical="center"/>
    </xf>
    <xf numFmtId="0" fontId="6" fillId="20" borderId="99" applyNumberFormat="0" applyProtection="0">
      <alignment horizontal="left" vertical="top" indent="1"/>
    </xf>
    <xf numFmtId="0" fontId="6" fillId="20" borderId="100" applyNumberFormat="0" applyProtection="0">
      <alignment horizontal="left" vertical="top" indent="1"/>
    </xf>
    <xf numFmtId="0" fontId="6" fillId="20" borderId="96" applyNumberFormat="0" applyProtection="0">
      <alignment horizontal="left" vertical="center" indent="1"/>
    </xf>
    <xf numFmtId="0" fontId="6" fillId="20" borderId="97" applyNumberFormat="0" applyProtection="0">
      <alignment horizontal="left" vertical="top" indent="1"/>
    </xf>
    <xf numFmtId="0" fontId="17" fillId="36" borderId="102" applyNumberFormat="0" applyFont="0" applyAlignment="0" applyProtection="0"/>
    <xf numFmtId="0" fontId="86" fillId="5" borderId="103" applyNumberFormat="0" applyAlignment="0" applyProtection="0"/>
    <xf numFmtId="0" fontId="86" fillId="5" borderId="103" applyNumberFormat="0" applyAlignment="0" applyProtection="0"/>
    <xf numFmtId="0" fontId="6" fillId="0" borderId="101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17" fillId="36" borderId="102" applyNumberFormat="0" applyFont="0" applyAlignment="0" applyProtection="0"/>
    <xf numFmtId="0" fontId="86" fillId="5" borderId="103" applyNumberFormat="0" applyAlignment="0" applyProtection="0"/>
    <xf numFmtId="0" fontId="6" fillId="0" borderId="101" applyNumberFormat="0" applyFont="0" applyFill="0" applyBorder="0" applyAlignment="0" applyProtection="0"/>
    <xf numFmtId="0" fontId="79" fillId="4" borderId="103" applyNumberFormat="0" applyAlignment="0" applyProtection="0"/>
    <xf numFmtId="0" fontId="6" fillId="0" borderId="101" applyNumberFormat="0" applyFont="0" applyFill="0" applyBorder="0" applyAlignment="0" applyProtection="0"/>
    <xf numFmtId="0" fontId="86" fillId="5" borderId="103" applyNumberFormat="0" applyAlignment="0" applyProtection="0"/>
    <xf numFmtId="0" fontId="6" fillId="0" borderId="101" applyNumberFormat="0" applyFont="0" applyFill="0" applyBorder="0" applyAlignment="0" applyProtection="0"/>
    <xf numFmtId="0" fontId="79" fillId="4" borderId="103" applyNumberFormat="0" applyAlignment="0" applyProtection="0"/>
    <xf numFmtId="0" fontId="17" fillId="36" borderId="102" applyNumberFormat="0" applyFont="0" applyAlignment="0" applyProtection="0"/>
    <xf numFmtId="0" fontId="86" fillId="5" borderId="103" applyNumberFormat="0" applyAlignment="0" applyProtection="0"/>
    <xf numFmtId="0" fontId="79" fillId="4" borderId="103" applyNumberFormat="0" applyAlignment="0" applyProtection="0"/>
    <xf numFmtId="0" fontId="86" fillId="5" borderId="103" applyNumberFormat="0" applyAlignment="0" applyProtection="0"/>
    <xf numFmtId="0" fontId="6" fillId="0" borderId="101" applyNumberFormat="0" applyFont="0" applyFill="0" applyBorder="0" applyAlignment="0" applyProtection="0"/>
    <xf numFmtId="0" fontId="79" fillId="4" borderId="103" applyNumberFormat="0" applyAlignment="0" applyProtection="0"/>
    <xf numFmtId="0" fontId="6" fillId="0" borderId="101" applyNumberFormat="0" applyFont="0" applyFill="0" applyBorder="0" applyAlignment="0" applyProtection="0"/>
    <xf numFmtId="0" fontId="79" fillId="4" borderId="103" applyNumberFormat="0" applyAlignment="0" applyProtection="0"/>
    <xf numFmtId="0" fontId="6" fillId="0" borderId="101" applyNumberFormat="0" applyFont="0" applyFill="0" applyBorder="0" applyAlignment="0" applyProtection="0"/>
    <xf numFmtId="0" fontId="79" fillId="4" borderId="103" applyNumberFormat="0" applyAlignment="0" applyProtection="0"/>
    <xf numFmtId="0" fontId="6" fillId="0" borderId="101" applyNumberFormat="0" applyFont="0" applyFill="0" applyBorder="0" applyAlignment="0" applyProtection="0"/>
    <xf numFmtId="0" fontId="79" fillId="4" borderId="103" applyNumberFormat="0" applyAlignment="0" applyProtection="0"/>
    <xf numFmtId="0" fontId="6" fillId="0" borderId="101" applyNumberFormat="0" applyFont="0" applyFill="0" applyBorder="0" applyAlignment="0" applyProtection="0"/>
    <xf numFmtId="0" fontId="79" fillId="4" borderId="103" applyNumberFormat="0" applyAlignment="0" applyProtection="0"/>
    <xf numFmtId="0" fontId="6" fillId="0" borderId="101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6" fillId="0" borderId="101" applyNumberFormat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104" applyNumberFormat="0" applyFill="0" applyAlignment="0" applyProtection="0"/>
    <xf numFmtId="0" fontId="93" fillId="0" borderId="0" applyNumberFormat="0" applyFill="0" applyBorder="0" applyAlignment="0" applyProtection="0"/>
    <xf numFmtId="0" fontId="94" fillId="43" borderId="0" applyNumberFormat="0" applyBorder="0" applyAlignment="0" applyProtection="0"/>
    <xf numFmtId="0" fontId="95" fillId="44" borderId="0" applyNumberFormat="0" applyBorder="0" applyAlignment="0" applyProtection="0"/>
    <xf numFmtId="0" fontId="96" fillId="45" borderId="0" applyNumberFormat="0" applyBorder="0" applyAlignment="0" applyProtection="0"/>
    <xf numFmtId="0" fontId="97" fillId="46" borderId="105" applyNumberFormat="0" applyAlignment="0" applyProtection="0"/>
    <xf numFmtId="0" fontId="98" fillId="47" borderId="106" applyNumberFormat="0" applyAlignment="0" applyProtection="0"/>
    <xf numFmtId="0" fontId="99" fillId="47" borderId="105" applyNumberFormat="0" applyAlignment="0" applyProtection="0"/>
    <xf numFmtId="0" fontId="100" fillId="0" borderId="107" applyNumberFormat="0" applyFill="0" applyAlignment="0" applyProtection="0"/>
    <xf numFmtId="0" fontId="101" fillId="48" borderId="108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04" fillId="52" borderId="0" applyNumberFormat="0" applyBorder="0" applyAlignment="0" applyProtection="0"/>
    <xf numFmtId="0" fontId="104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04" fillId="56" borderId="0" applyNumberFormat="0" applyBorder="0" applyAlignment="0" applyProtection="0"/>
    <xf numFmtId="0" fontId="104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04" fillId="60" borderId="0" applyNumberFormat="0" applyBorder="0" applyAlignment="0" applyProtection="0"/>
    <xf numFmtId="0" fontId="104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04" fillId="64" borderId="0" applyNumberFormat="0" applyBorder="0" applyAlignment="0" applyProtection="0"/>
    <xf numFmtId="0" fontId="104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104" fillId="68" borderId="0" applyNumberFormat="0" applyBorder="0" applyAlignment="0" applyProtection="0"/>
    <xf numFmtId="0" fontId="104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04" fillId="72" borderId="0" applyNumberFormat="0" applyBorder="0" applyAlignment="0" applyProtection="0"/>
    <xf numFmtId="0" fontId="1" fillId="0" borderId="0"/>
    <xf numFmtId="0" fontId="105" fillId="0" borderId="109" applyNumberFormat="0" applyFill="0" applyAlignment="0" applyProtection="0"/>
    <xf numFmtId="0" fontId="106" fillId="0" borderId="110" applyNumberFormat="0" applyFill="0" applyAlignment="0" applyProtection="0"/>
    <xf numFmtId="0" fontId="1" fillId="14" borderId="25" applyNumberFormat="0" applyFont="0" applyAlignment="0" applyProtection="0"/>
    <xf numFmtId="0" fontId="107" fillId="0" borderId="111" applyNumberFormat="0" applyFill="0" applyAlignment="0" applyProtection="0"/>
  </cellStyleXfs>
  <cellXfs count="551">
    <xf numFmtId="37" fontId="0" fillId="0" borderId="0" xfId="0"/>
    <xf numFmtId="164" fontId="11" fillId="0" borderId="0" xfId="27" applyNumberFormat="1" applyFont="1" applyProtection="1">
      <protection locked="0"/>
    </xf>
    <xf numFmtId="185" fontId="11" fillId="0" borderId="0" xfId="27" applyFont="1" applyProtection="1"/>
    <xf numFmtId="185" fontId="8" fillId="0" borderId="0" xfId="27" applyFont="1"/>
    <xf numFmtId="185" fontId="11" fillId="0" borderId="0" xfId="27" applyFont="1"/>
    <xf numFmtId="185" fontId="11" fillId="0" borderId="0" xfId="27" applyFont="1" applyAlignment="1" applyProtection="1">
      <alignment horizontal="left"/>
      <protection locked="0"/>
    </xf>
    <xf numFmtId="185" fontId="11" fillId="0" borderId="0" xfId="27" applyFont="1" applyAlignment="1" applyProtection="1">
      <alignment horizontal="center"/>
      <protection locked="0"/>
    </xf>
    <xf numFmtId="185" fontId="11" fillId="0" borderId="0" xfId="27" applyFont="1" applyAlignment="1" applyProtection="1">
      <alignment horizontal="center"/>
    </xf>
    <xf numFmtId="185" fontId="11" fillId="0" borderId="0" xfId="27" applyFont="1" applyAlignment="1" applyProtection="1">
      <alignment horizontal="left"/>
    </xf>
    <xf numFmtId="185" fontId="11" fillId="0" borderId="0" xfId="27" applyFont="1" applyProtection="1">
      <protection locked="0"/>
    </xf>
    <xf numFmtId="174" fontId="11" fillId="0" borderId="0" xfId="9" applyNumberFormat="1" applyFont="1"/>
    <xf numFmtId="174" fontId="8" fillId="0" borderId="0" xfId="9" applyNumberFormat="1" applyFont="1"/>
    <xf numFmtId="178" fontId="11" fillId="0" borderId="0" xfId="6" applyNumberFormat="1" applyFont="1"/>
    <xf numFmtId="178" fontId="8" fillId="0" borderId="0" xfId="6" applyNumberFormat="1" applyFont="1"/>
    <xf numFmtId="176" fontId="11" fillId="0" borderId="0" xfId="6" applyNumberFormat="1" applyFont="1"/>
    <xf numFmtId="170" fontId="11" fillId="0" borderId="0" xfId="35" applyNumberFormat="1" applyFont="1"/>
    <xf numFmtId="165" fontId="11" fillId="0" borderId="0" xfId="27" applyNumberFormat="1" applyFont="1" applyAlignment="1" applyProtection="1">
      <alignment horizontal="left"/>
    </xf>
    <xf numFmtId="166" fontId="11" fillId="0" borderId="0" xfId="27" applyNumberFormat="1" applyFont="1" applyAlignment="1" applyProtection="1">
      <alignment horizontal="left"/>
    </xf>
    <xf numFmtId="37" fontId="11" fillId="0" borderId="0" xfId="27" applyNumberFormat="1" applyFont="1"/>
    <xf numFmtId="37" fontId="11" fillId="0" borderId="0" xfId="27" applyNumberFormat="1" applyFont="1" applyAlignment="1" applyProtection="1">
      <alignment horizontal="left"/>
      <protection locked="0"/>
    </xf>
    <xf numFmtId="185" fontId="11" fillId="0" borderId="0" xfId="27" applyFont="1" applyAlignment="1">
      <alignment horizontal="center"/>
    </xf>
    <xf numFmtId="37" fontId="11" fillId="0" borderId="0" xfId="0" applyFont="1" applyAlignment="1" applyProtection="1">
      <alignment horizontal="center"/>
    </xf>
    <xf numFmtId="10" fontId="11" fillId="0" borderId="0" xfId="35" applyNumberFormat="1" applyFont="1"/>
    <xf numFmtId="185" fontId="10" fillId="0" borderId="0" xfId="28"/>
    <xf numFmtId="43" fontId="10" fillId="0" borderId="0" xfId="6" applyFont="1"/>
    <xf numFmtId="43" fontId="10" fillId="0" borderId="0" xfId="28" applyNumberFormat="1"/>
    <xf numFmtId="179" fontId="10" fillId="0" borderId="0" xfId="35" applyNumberFormat="1" applyFont="1"/>
    <xf numFmtId="185" fontId="10" fillId="0" borderId="0" xfId="28" applyAlignment="1">
      <alignment horizontal="right"/>
    </xf>
    <xf numFmtId="185" fontId="10" fillId="0" borderId="0" xfId="28" quotePrefix="1" applyAlignment="1">
      <alignment horizontal="left"/>
    </xf>
    <xf numFmtId="185" fontId="10" fillId="0" borderId="0" xfId="28" applyAlignment="1">
      <alignment horizontal="left"/>
    </xf>
    <xf numFmtId="43" fontId="10" fillId="0" borderId="0" xfId="6" applyFont="1" applyFill="1"/>
    <xf numFmtId="185" fontId="10" fillId="0" borderId="0" xfId="28" quotePrefix="1" applyAlignment="1">
      <alignment horizontal="right"/>
    </xf>
    <xf numFmtId="185" fontId="13" fillId="0" borderId="0" xfId="28" applyFont="1"/>
    <xf numFmtId="37" fontId="14" fillId="0" borderId="0" xfId="0" applyFont="1"/>
    <xf numFmtId="37" fontId="14" fillId="0" borderId="0" xfId="0" applyFont="1" applyFill="1"/>
    <xf numFmtId="180" fontId="18" fillId="0" borderId="0" xfId="26" applyNumberFormat="1" applyFont="1" applyFill="1"/>
    <xf numFmtId="185" fontId="18" fillId="0" borderId="0" xfId="26" applyFont="1" applyFill="1"/>
    <xf numFmtId="43" fontId="18" fillId="0" borderId="0" xfId="6" applyFont="1" applyFill="1"/>
    <xf numFmtId="185" fontId="18" fillId="0" borderId="0" xfId="26" applyFont="1" applyFill="1" applyAlignment="1">
      <alignment horizontal="center"/>
    </xf>
    <xf numFmtId="44" fontId="18" fillId="0" borderId="0" xfId="11" applyFont="1" applyFill="1"/>
    <xf numFmtId="37" fontId="14" fillId="0" borderId="0" xfId="0" applyFont="1" applyFill="1" applyAlignment="1">
      <alignment horizontal="center"/>
    </xf>
    <xf numFmtId="43" fontId="10" fillId="0" borderId="0" xfId="28" applyNumberFormat="1" applyFill="1"/>
    <xf numFmtId="185" fontId="10" fillId="0" borderId="0" xfId="28" applyFont="1"/>
    <xf numFmtId="37" fontId="15" fillId="0" borderId="0" xfId="0" applyFont="1"/>
    <xf numFmtId="39" fontId="15" fillId="0" borderId="0" xfId="0" applyNumberFormat="1" applyFont="1" applyAlignment="1">
      <alignment horizontal="right"/>
    </xf>
    <xf numFmtId="39" fontId="14" fillId="0" borderId="0" xfId="0" applyNumberFormat="1" applyFont="1" applyAlignment="1">
      <alignment horizontal="right"/>
    </xf>
    <xf numFmtId="39" fontId="14" fillId="0" borderId="0" xfId="0" applyNumberFormat="1" applyFont="1"/>
    <xf numFmtId="164" fontId="20" fillId="0" borderId="0" xfId="0" applyNumberFormat="1" applyFont="1" applyProtection="1">
      <protection locked="0"/>
    </xf>
    <xf numFmtId="37" fontId="14" fillId="0" borderId="0" xfId="0" applyFont="1" applyAlignment="1" applyProtection="1">
      <alignment horizontal="left"/>
    </xf>
    <xf numFmtId="37" fontId="14" fillId="0" borderId="0" xfId="0" applyFont="1" applyFill="1" applyAlignment="1" applyProtection="1">
      <alignment horizontal="left"/>
    </xf>
    <xf numFmtId="37" fontId="20" fillId="0" borderId="0" xfId="0" applyFont="1" applyFill="1" applyProtection="1">
      <protection locked="0"/>
    </xf>
    <xf numFmtId="37" fontId="20" fillId="0" borderId="0" xfId="0" applyFont="1" applyAlignment="1" applyProtection="1">
      <alignment horizontal="left"/>
      <protection locked="0"/>
    </xf>
    <xf numFmtId="164" fontId="14" fillId="0" borderId="0" xfId="0" applyNumberFormat="1" applyFont="1" applyAlignment="1" applyProtection="1">
      <alignment horizontal="left"/>
    </xf>
    <xf numFmtId="164" fontId="14" fillId="0" borderId="0" xfId="0" applyNumberFormat="1" applyFont="1" applyProtection="1"/>
    <xf numFmtId="164" fontId="20" fillId="0" borderId="0" xfId="0" applyNumberFormat="1" applyFont="1" applyAlignment="1" applyProtection="1">
      <alignment horizontal="left"/>
      <protection locked="0"/>
    </xf>
    <xf numFmtId="37" fontId="20" fillId="0" borderId="0" xfId="0" applyFont="1" applyFill="1" applyAlignment="1" applyProtection="1">
      <alignment horizontal="left"/>
      <protection locked="0"/>
    </xf>
    <xf numFmtId="37" fontId="20" fillId="0" borderId="0" xfId="0" quotePrefix="1" applyFont="1" applyAlignment="1" applyProtection="1">
      <alignment horizontal="left"/>
      <protection locked="0"/>
    </xf>
    <xf numFmtId="37" fontId="14" fillId="0" borderId="0" xfId="0" applyFont="1" applyFill="1" applyProtection="1"/>
    <xf numFmtId="37" fontId="20" fillId="0" borderId="0" xfId="0" applyFont="1" applyProtection="1">
      <protection locked="0"/>
    </xf>
    <xf numFmtId="37" fontId="14" fillId="0" borderId="0" xfId="0" applyFont="1" applyAlignment="1" applyProtection="1">
      <alignment horizontal="center"/>
    </xf>
    <xf numFmtId="37" fontId="14" fillId="0" borderId="0" xfId="0" applyFont="1" applyProtection="1"/>
    <xf numFmtId="165" fontId="14" fillId="0" borderId="0" xfId="0" applyNumberFormat="1" applyFont="1" applyAlignment="1" applyProtection="1">
      <alignment horizontal="left"/>
    </xf>
    <xf numFmtId="166" fontId="14" fillId="0" borderId="0" xfId="0" applyNumberFormat="1" applyFont="1" applyAlignment="1" applyProtection="1">
      <alignment horizontal="left"/>
    </xf>
    <xf numFmtId="37" fontId="20" fillId="0" borderId="0" xfId="0" quotePrefix="1" applyFont="1" applyAlignment="1" applyProtection="1">
      <alignment horizontal="center"/>
      <protection locked="0"/>
    </xf>
    <xf numFmtId="37" fontId="20" fillId="0" borderId="0" xfId="0" applyFont="1" applyAlignment="1" applyProtection="1">
      <alignment horizontal="center"/>
      <protection locked="0"/>
    </xf>
    <xf numFmtId="37" fontId="14" fillId="0" borderId="0" xfId="0" applyFont="1" applyAlignment="1">
      <alignment horizontal="center"/>
    </xf>
    <xf numFmtId="37" fontId="14" fillId="0" borderId="0" xfId="0" applyNumberFormat="1" applyFont="1" applyProtection="1"/>
    <xf numFmtId="37" fontId="14" fillId="0" borderId="0" xfId="0" applyFont="1" applyAlignment="1" applyProtection="1">
      <alignment horizontal="fill"/>
    </xf>
    <xf numFmtId="37" fontId="14" fillId="0" borderId="0" xfId="0" applyFont="1" applyProtection="1">
      <protection locked="0"/>
    </xf>
    <xf numFmtId="37" fontId="20" fillId="0" borderId="0" xfId="0" applyNumberFormat="1" applyFont="1" applyAlignment="1" applyProtection="1">
      <alignment horizontal="center"/>
      <protection locked="0"/>
    </xf>
    <xf numFmtId="37" fontId="14" fillId="0" borderId="0" xfId="0" quotePrefix="1" applyFont="1" applyAlignment="1" applyProtection="1">
      <alignment horizontal="left"/>
    </xf>
    <xf numFmtId="168" fontId="14" fillId="0" borderId="0" xfId="0" applyNumberFormat="1" applyFont="1" applyProtection="1"/>
    <xf numFmtId="165" fontId="14" fillId="0" borderId="0" xfId="0" applyNumberFormat="1" applyFont="1" applyProtection="1"/>
    <xf numFmtId="10" fontId="14" fillId="0" borderId="0" xfId="0" applyNumberFormat="1" applyFont="1" applyProtection="1"/>
    <xf numFmtId="169" fontId="14" fillId="0" borderId="0" xfId="0" applyNumberFormat="1" applyFont="1" applyProtection="1"/>
    <xf numFmtId="37" fontId="21" fillId="0" borderId="0" xfId="0" applyFont="1" applyFill="1"/>
    <xf numFmtId="37" fontId="22" fillId="0" borderId="0" xfId="0" applyFont="1"/>
    <xf numFmtId="39" fontId="21" fillId="0" borderId="2" xfId="0" applyNumberFormat="1" applyFont="1" applyFill="1" applyBorder="1" applyAlignment="1">
      <alignment horizontal="center"/>
    </xf>
    <xf numFmtId="37" fontId="14" fillId="0" borderId="0" xfId="0" applyFont="1" applyFill="1" applyAlignment="1" applyProtection="1">
      <alignment horizontal="left"/>
      <protection locked="0"/>
    </xf>
    <xf numFmtId="37" fontId="23" fillId="0" borderId="0" xfId="0" applyFont="1"/>
    <xf numFmtId="37" fontId="20" fillId="0" borderId="0" xfId="0" applyFont="1" applyFill="1"/>
    <xf numFmtId="37" fontId="20" fillId="0" borderId="0" xfId="0" quotePrefix="1" applyFont="1" applyFill="1" applyAlignment="1">
      <alignment horizontal="left"/>
    </xf>
    <xf numFmtId="37" fontId="23" fillId="0" borderId="0" xfId="0" applyFont="1" applyProtection="1">
      <protection locked="0"/>
    </xf>
    <xf numFmtId="37" fontId="23" fillId="0" borderId="0" xfId="0" applyFont="1" applyFill="1" applyProtection="1">
      <protection locked="0"/>
    </xf>
    <xf numFmtId="37" fontId="20" fillId="0" borderId="0" xfId="0" quotePrefix="1" applyFont="1" applyFill="1" applyAlignment="1" applyProtection="1">
      <alignment horizontal="left"/>
      <protection locked="0"/>
    </xf>
    <xf numFmtId="37" fontId="14" fillId="0" borderId="0" xfId="0" applyFont="1" applyFill="1" applyProtection="1">
      <protection locked="0"/>
    </xf>
    <xf numFmtId="37" fontId="24" fillId="0" borderId="0" xfId="0" applyFont="1" applyProtection="1">
      <protection locked="0"/>
    </xf>
    <xf numFmtId="37" fontId="23" fillId="0" borderId="0" xfId="0" applyFont="1" applyFill="1"/>
    <xf numFmtId="37" fontId="21" fillId="0" borderId="0" xfId="0" applyFont="1" applyFill="1" applyAlignment="1" applyProtection="1">
      <alignment horizontal="center"/>
      <protection locked="0"/>
    </xf>
    <xf numFmtId="37" fontId="21" fillId="0" borderId="0" xfId="0" applyFont="1" applyFill="1" applyAlignment="1">
      <alignment horizontal="center"/>
    </xf>
    <xf numFmtId="37" fontId="25" fillId="0" borderId="0" xfId="0" applyFont="1" applyFill="1" applyProtection="1">
      <protection locked="0"/>
    </xf>
    <xf numFmtId="37" fontId="26" fillId="0" borderId="0" xfId="0" applyFont="1" applyFill="1"/>
    <xf numFmtId="37" fontId="26" fillId="0" borderId="0" xfId="0" applyFont="1" applyFill="1" applyProtection="1">
      <protection locked="0"/>
    </xf>
    <xf numFmtId="43" fontId="26" fillId="0" borderId="0" xfId="6" applyFont="1" applyFill="1" applyProtection="1">
      <protection locked="0"/>
    </xf>
    <xf numFmtId="37" fontId="24" fillId="0" borderId="0" xfId="0" applyFont="1" applyFill="1" applyProtection="1">
      <protection locked="0"/>
    </xf>
    <xf numFmtId="37" fontId="14" fillId="0" borderId="0" xfId="0" applyNumberFormat="1" applyFont="1" applyFill="1" applyProtection="1"/>
    <xf numFmtId="177" fontId="26" fillId="0" borderId="0" xfId="6" applyNumberFormat="1" applyFont="1" applyFill="1" applyProtection="1">
      <protection locked="0"/>
    </xf>
    <xf numFmtId="37" fontId="20" fillId="0" borderId="0" xfId="0" applyFont="1" applyFill="1" applyAlignment="1" applyProtection="1">
      <alignment horizontal="center"/>
      <protection locked="0"/>
    </xf>
    <xf numFmtId="37" fontId="20" fillId="0" borderId="0" xfId="0" applyFont="1" applyFill="1" applyAlignment="1">
      <alignment horizontal="center"/>
    </xf>
    <xf numFmtId="185" fontId="14" fillId="0" borderId="0" xfId="0" quotePrefix="1" applyNumberFormat="1" applyFont="1" applyFill="1" applyAlignment="1" applyProtection="1">
      <alignment horizontal="left"/>
      <protection locked="0"/>
    </xf>
    <xf numFmtId="37" fontId="14" fillId="0" borderId="0" xfId="0" quotePrefix="1" applyFont="1" applyFill="1" applyAlignment="1">
      <alignment horizontal="left"/>
    </xf>
    <xf numFmtId="172" fontId="26" fillId="0" borderId="0" xfId="0" applyNumberFormat="1" applyFont="1" applyFill="1" applyProtection="1">
      <protection locked="0"/>
    </xf>
    <xf numFmtId="43" fontId="14" fillId="0" borderId="0" xfId="6" applyFont="1"/>
    <xf numFmtId="37" fontId="20" fillId="0" borderId="0" xfId="0" applyNumberFormat="1" applyFont="1" applyProtection="1">
      <protection locked="0"/>
    </xf>
    <xf numFmtId="37" fontId="21" fillId="0" borderId="0" xfId="0" applyFont="1" applyFill="1" applyProtection="1">
      <protection locked="0"/>
    </xf>
    <xf numFmtId="37" fontId="21" fillId="0" borderId="0" xfId="0" applyFont="1" applyFill="1" applyBorder="1" applyAlignment="1">
      <alignment horizontal="center"/>
    </xf>
    <xf numFmtId="167" fontId="14" fillId="0" borderId="0" xfId="0" applyNumberFormat="1" applyFont="1" applyFill="1" applyProtection="1"/>
    <xf numFmtId="39" fontId="21" fillId="0" borderId="0" xfId="0" applyNumberFormat="1" applyFont="1" applyFill="1" applyAlignment="1">
      <alignment horizontal="center"/>
    </xf>
    <xf numFmtId="37" fontId="14" fillId="0" borderId="0" xfId="0" applyFont="1" applyAlignment="1" applyProtection="1">
      <alignment horizontal="left"/>
      <protection locked="0"/>
    </xf>
    <xf numFmtId="175" fontId="14" fillId="0" borderId="0" xfId="0" applyNumberFormat="1" applyFont="1"/>
    <xf numFmtId="171" fontId="20" fillId="0" borderId="0" xfId="0" applyNumberFormat="1" applyFont="1" applyProtection="1">
      <protection locked="0"/>
    </xf>
    <xf numFmtId="10" fontId="14" fillId="0" borderId="0" xfId="0" applyNumberFormat="1" applyFont="1" applyProtection="1">
      <protection locked="0"/>
    </xf>
    <xf numFmtId="37" fontId="20" fillId="0" borderId="0" xfId="0" applyFont="1"/>
    <xf numFmtId="37" fontId="14" fillId="0" borderId="0" xfId="0" quotePrefix="1" applyFont="1" applyAlignment="1">
      <alignment horizontal="left"/>
    </xf>
    <xf numFmtId="37" fontId="14" fillId="0" borderId="0" xfId="0" applyFont="1" applyAlignment="1">
      <alignment horizontal="left"/>
    </xf>
    <xf numFmtId="37" fontId="0" fillId="0" borderId="0" xfId="0" applyFill="1"/>
    <xf numFmtId="37" fontId="0" fillId="0" borderId="0" xfId="0" applyFill="1" applyBorder="1"/>
    <xf numFmtId="43" fontId="12" fillId="9" borderId="0" xfId="6" applyFont="1" applyFill="1"/>
    <xf numFmtId="185" fontId="10" fillId="0" borderId="0" xfId="28" applyFill="1"/>
    <xf numFmtId="173" fontId="14" fillId="0" borderId="0" xfId="0" applyNumberFormat="1" applyFont="1" applyFill="1"/>
    <xf numFmtId="37" fontId="16" fillId="0" borderId="0" xfId="0" applyFont="1" applyFill="1" applyAlignment="1">
      <alignment horizontal="center"/>
    </xf>
    <xf numFmtId="37" fontId="16" fillId="0" borderId="0" xfId="0" applyFont="1" applyFill="1"/>
    <xf numFmtId="37" fontId="16" fillId="0" borderId="5" xfId="0" applyFont="1" applyFill="1" applyBorder="1" applyAlignment="1">
      <alignment horizontal="center"/>
    </xf>
    <xf numFmtId="37" fontId="17" fillId="0" borderId="0" xfId="0" applyFont="1" applyFill="1"/>
    <xf numFmtId="37" fontId="17" fillId="0" borderId="0" xfId="0" applyFont="1" applyFill="1" applyAlignment="1">
      <alignment horizontal="right"/>
    </xf>
    <xf numFmtId="37" fontId="17" fillId="0" borderId="0" xfId="0" quotePrefix="1" applyFont="1" applyFill="1" applyAlignment="1">
      <alignment horizontal="center"/>
    </xf>
    <xf numFmtId="38" fontId="17" fillId="0" borderId="6" xfId="0" applyNumberFormat="1" applyFont="1" applyFill="1" applyBorder="1"/>
    <xf numFmtId="38" fontId="17" fillId="0" borderId="0" xfId="0" applyNumberFormat="1" applyFont="1" applyFill="1"/>
    <xf numFmtId="37" fontId="17" fillId="0" borderId="0" xfId="0" applyFont="1" applyFill="1" applyAlignment="1">
      <alignment horizontal="center"/>
    </xf>
    <xf numFmtId="182" fontId="17" fillId="0" borderId="0" xfId="0" applyNumberFormat="1" applyFont="1" applyFill="1"/>
    <xf numFmtId="38" fontId="17" fillId="0" borderId="0" xfId="0" applyNumberFormat="1" applyFont="1" applyFill="1" applyAlignment="1">
      <alignment horizontal="center"/>
    </xf>
    <xf numFmtId="37" fontId="17" fillId="0" borderId="5" xfId="0" applyFont="1" applyFill="1" applyBorder="1" applyAlignment="1">
      <alignment horizontal="center"/>
    </xf>
    <xf numFmtId="38" fontId="17" fillId="0" borderId="5" xfId="0" applyNumberFormat="1" applyFont="1" applyFill="1" applyBorder="1" applyAlignment="1">
      <alignment horizontal="center"/>
    </xf>
    <xf numFmtId="179" fontId="17" fillId="0" borderId="0" xfId="35" applyNumberFormat="1" applyFont="1" applyFill="1"/>
    <xf numFmtId="182" fontId="17" fillId="0" borderId="4" xfId="0" applyNumberFormat="1" applyFont="1" applyFill="1" applyBorder="1"/>
    <xf numFmtId="182" fontId="17" fillId="0" borderId="7" xfId="0" applyNumberFormat="1" applyFont="1" applyFill="1" applyBorder="1"/>
    <xf numFmtId="37" fontId="6" fillId="0" borderId="0" xfId="0" applyFont="1" applyFill="1"/>
    <xf numFmtId="38" fontId="19" fillId="0" borderId="0" xfId="0" applyNumberFormat="1" applyFont="1" applyFill="1" applyBorder="1"/>
    <xf numFmtId="37" fontId="22" fillId="0" borderId="0" xfId="0" applyFont="1" applyFill="1" applyAlignment="1" applyProtection="1">
      <alignment horizontal="center"/>
      <protection locked="0"/>
    </xf>
    <xf numFmtId="37" fontId="14" fillId="10" borderId="0" xfId="0" applyFont="1" applyFill="1"/>
    <xf numFmtId="174" fontId="21" fillId="0" borderId="0" xfId="0" applyNumberFormat="1" applyFont="1" applyFill="1"/>
    <xf numFmtId="37" fontId="21" fillId="0" borderId="0" xfId="0" applyFont="1"/>
    <xf numFmtId="183" fontId="17" fillId="0" borderId="0" xfId="0" applyNumberFormat="1" applyFont="1" applyFill="1"/>
    <xf numFmtId="37" fontId="17" fillId="0" borderId="0" xfId="0" applyFont="1" applyFill="1" applyBorder="1"/>
    <xf numFmtId="37" fontId="6" fillId="0" borderId="0" xfId="0" applyFont="1" applyFill="1" applyBorder="1"/>
    <xf numFmtId="43" fontId="10" fillId="0" borderId="7" xfId="28" applyNumberFormat="1" applyFill="1" applyBorder="1"/>
    <xf numFmtId="38" fontId="17" fillId="0" borderId="0" xfId="0" applyNumberFormat="1" applyFont="1" applyFill="1" applyBorder="1" applyAlignment="1">
      <alignment horizontal="center"/>
    </xf>
    <xf numFmtId="182" fontId="17" fillId="0" borderId="0" xfId="0" applyNumberFormat="1" applyFont="1" applyFill="1" applyBorder="1"/>
    <xf numFmtId="37" fontId="16" fillId="0" borderId="5" xfId="0" quotePrefix="1" applyFont="1" applyFill="1" applyBorder="1" applyAlignment="1">
      <alignment horizontal="center"/>
    </xf>
    <xf numFmtId="3" fontId="32" fillId="0" borderId="0" xfId="24" applyNumberFormat="1" applyFont="1" applyBorder="1" applyAlignment="1"/>
    <xf numFmtId="185" fontId="32" fillId="0" borderId="0" xfId="24" applyFont="1" applyAlignment="1"/>
    <xf numFmtId="37" fontId="21" fillId="0" borderId="0" xfId="0" quotePrefix="1" applyFont="1" applyFill="1" applyAlignment="1">
      <alignment horizontal="left"/>
    </xf>
    <xf numFmtId="44" fontId="0" fillId="0" borderId="0" xfId="11" applyFont="1"/>
    <xf numFmtId="185" fontId="10" fillId="0" borderId="0" xfId="28" quotePrefix="1" applyFont="1" applyAlignment="1">
      <alignment horizontal="left"/>
    </xf>
    <xf numFmtId="37" fontId="20" fillId="0" borderId="0" xfId="0" quotePrefix="1" applyFont="1" applyFill="1" applyAlignment="1" applyProtection="1">
      <alignment horizontal="center"/>
      <protection locked="0"/>
    </xf>
    <xf numFmtId="38" fontId="17" fillId="0" borderId="0" xfId="0" applyNumberFormat="1" applyFont="1" applyFill="1" applyBorder="1"/>
    <xf numFmtId="37" fontId="45" fillId="0" borderId="0" xfId="0" quotePrefix="1" applyFont="1" applyFill="1" applyAlignment="1">
      <alignment horizontal="left"/>
    </xf>
    <xf numFmtId="185" fontId="10" fillId="0" borderId="0" xfId="28" quotePrefix="1" applyFont="1" applyFill="1" applyBorder="1" applyAlignment="1">
      <alignment horizontal="left"/>
    </xf>
    <xf numFmtId="44" fontId="46" fillId="0" borderId="0" xfId="11" quotePrefix="1" applyFont="1" applyAlignment="1">
      <alignment horizontal="center"/>
    </xf>
    <xf numFmtId="44" fontId="32" fillId="0" borderId="7" xfId="11" applyFont="1" applyBorder="1"/>
    <xf numFmtId="185" fontId="6" fillId="0" borderId="0" xfId="29" applyFill="1"/>
    <xf numFmtId="185" fontId="6" fillId="0" borderId="0" xfId="29" applyFill="1" applyAlignment="1">
      <alignment horizontal="center"/>
    </xf>
    <xf numFmtId="37" fontId="6" fillId="0" borderId="0" xfId="29" applyNumberFormat="1" applyFill="1"/>
    <xf numFmtId="39" fontId="6" fillId="0" borderId="0" xfId="29" applyNumberFormat="1" applyFill="1"/>
    <xf numFmtId="185" fontId="6" fillId="0" borderId="0" xfId="29" applyNumberFormat="1" applyFill="1"/>
    <xf numFmtId="7" fontId="10" fillId="0" borderId="0" xfId="6" applyNumberFormat="1" applyFont="1" applyFill="1"/>
    <xf numFmtId="44" fontId="10" fillId="0" borderId="0" xfId="6" applyNumberFormat="1" applyFont="1" applyFill="1"/>
    <xf numFmtId="37" fontId="14" fillId="0" borderId="0" xfId="0" quotePrefix="1" applyFont="1" applyFill="1" applyAlignment="1">
      <alignment horizontal="right"/>
    </xf>
    <xf numFmtId="37" fontId="14" fillId="0" borderId="0" xfId="0" applyFont="1" applyFill="1" applyAlignment="1">
      <alignment horizontal="right"/>
    </xf>
    <xf numFmtId="10" fontId="14" fillId="0" borderId="0" xfId="35" applyNumberFormat="1" applyFont="1"/>
    <xf numFmtId="10" fontId="14" fillId="0" borderId="0" xfId="35" applyNumberFormat="1" applyFont="1" applyFill="1"/>
    <xf numFmtId="178" fontId="14" fillId="0" borderId="0" xfId="6" applyNumberFormat="1" applyFont="1" applyProtection="1"/>
    <xf numFmtId="167" fontId="14" fillId="0" borderId="0" xfId="35" applyNumberFormat="1" applyFont="1" applyFill="1"/>
    <xf numFmtId="170" fontId="20" fillId="0" borderId="0" xfId="35" applyNumberFormat="1" applyFont="1" applyFill="1"/>
    <xf numFmtId="179" fontId="20" fillId="0" borderId="0" xfId="35" applyNumberFormat="1" applyFont="1" applyFill="1"/>
    <xf numFmtId="37" fontId="14" fillId="0" borderId="0" xfId="0" applyFont="1" applyFill="1" applyAlignment="1" applyProtection="1">
      <alignment horizontal="right"/>
      <protection locked="0"/>
    </xf>
    <xf numFmtId="185" fontId="11" fillId="0" borderId="0" xfId="27" quotePrefix="1" applyFont="1" applyAlignment="1" applyProtection="1">
      <alignment horizontal="center"/>
      <protection locked="0"/>
    </xf>
    <xf numFmtId="185" fontId="10" fillId="0" borderId="0" xfId="28" quotePrefix="1" applyFont="1" applyAlignment="1">
      <alignment horizontal="right"/>
    </xf>
    <xf numFmtId="37" fontId="0" fillId="11" borderId="8" xfId="0" applyFill="1" applyBorder="1"/>
    <xf numFmtId="37" fontId="0" fillId="11" borderId="9" xfId="0" applyFill="1" applyBorder="1"/>
    <xf numFmtId="37" fontId="0" fillId="11" borderId="0" xfId="0" applyFill="1" applyBorder="1"/>
    <xf numFmtId="37" fontId="0" fillId="11" borderId="10" xfId="0" applyFill="1" applyBorder="1"/>
    <xf numFmtId="37" fontId="0" fillId="11" borderId="11" xfId="0" applyFill="1" applyBorder="1"/>
    <xf numFmtId="37" fontId="0" fillId="11" borderId="12" xfId="0" applyFill="1" applyBorder="1"/>
    <xf numFmtId="37" fontId="0" fillId="11" borderId="13" xfId="0" applyFill="1" applyBorder="1"/>
    <xf numFmtId="37" fontId="32" fillId="11" borderId="4" xfId="0" applyFont="1" applyFill="1" applyBorder="1" applyAlignment="1">
      <alignment horizontal="center"/>
    </xf>
    <xf numFmtId="37" fontId="32" fillId="11" borderId="14" xfId="0" applyFont="1" applyFill="1" applyBorder="1" applyAlignment="1">
      <alignment horizontal="center"/>
    </xf>
    <xf numFmtId="37" fontId="32" fillId="11" borderId="15" xfId="0" applyFont="1" applyFill="1" applyBorder="1" applyAlignment="1">
      <alignment horizontal="center"/>
    </xf>
    <xf numFmtId="37" fontId="0" fillId="0" borderId="16" xfId="0" applyBorder="1"/>
    <xf numFmtId="37" fontId="0" fillId="0" borderId="0" xfId="0" applyBorder="1" applyAlignment="1">
      <alignment horizontal="center"/>
    </xf>
    <xf numFmtId="37" fontId="0" fillId="0" borderId="17" xfId="0" applyBorder="1" applyAlignment="1">
      <alignment horizontal="center"/>
    </xf>
    <xf numFmtId="37" fontId="0" fillId="0" borderId="12" xfId="0" applyBorder="1" applyAlignment="1">
      <alignment horizontal="center"/>
    </xf>
    <xf numFmtId="37" fontId="0" fillId="0" borderId="18" xfId="0" applyBorder="1"/>
    <xf numFmtId="37" fontId="0" fillId="0" borderId="17" xfId="0" applyBorder="1"/>
    <xf numFmtId="37" fontId="0" fillId="0" borderId="0" xfId="0" applyBorder="1"/>
    <xf numFmtId="37" fontId="0" fillId="0" borderId="12" xfId="0" applyBorder="1"/>
    <xf numFmtId="37" fontId="32" fillId="0" borderId="18" xfId="0" applyFont="1" applyBorder="1" applyAlignment="1">
      <alignment horizontal="right"/>
    </xf>
    <xf numFmtId="44" fontId="32" fillId="0" borderId="0" xfId="11" applyFont="1" applyBorder="1" applyAlignment="1">
      <alignment horizontal="right"/>
    </xf>
    <xf numFmtId="44" fontId="32" fillId="0" borderId="17" xfId="11" applyFont="1" applyBorder="1" applyAlignment="1">
      <alignment horizontal="right"/>
    </xf>
    <xf numFmtId="44" fontId="32" fillId="0" borderId="19" xfId="11" applyFont="1" applyBorder="1" applyAlignment="1">
      <alignment horizontal="right"/>
    </xf>
    <xf numFmtId="37" fontId="47" fillId="0" borderId="18" xfId="0" applyFont="1" applyBorder="1" applyAlignment="1">
      <alignment horizontal="right"/>
    </xf>
    <xf numFmtId="44" fontId="47" fillId="0" borderId="0" xfId="11" applyFont="1" applyBorder="1" applyAlignment="1">
      <alignment horizontal="right"/>
    </xf>
    <xf numFmtId="44" fontId="47" fillId="0" borderId="17" xfId="11" applyFont="1" applyBorder="1" applyAlignment="1">
      <alignment horizontal="right"/>
    </xf>
    <xf numFmtId="44" fontId="47" fillId="0" borderId="19" xfId="11" applyFont="1" applyBorder="1" applyAlignment="1">
      <alignment horizontal="right"/>
    </xf>
    <xf numFmtId="37" fontId="0" fillId="0" borderId="20" xfId="0" applyBorder="1"/>
    <xf numFmtId="37" fontId="0" fillId="0" borderId="5" xfId="0" applyBorder="1"/>
    <xf numFmtId="37" fontId="0" fillId="0" borderId="21" xfId="0" applyBorder="1"/>
    <xf numFmtId="37" fontId="0" fillId="0" borderId="22" xfId="0" applyBorder="1"/>
    <xf numFmtId="44" fontId="32" fillId="0" borderId="12" xfId="11" applyFont="1" applyBorder="1" applyAlignment="1">
      <alignment horizontal="right"/>
    </xf>
    <xf numFmtId="37" fontId="8" fillId="0" borderId="18" xfId="0" applyFont="1" applyBorder="1"/>
    <xf numFmtId="44" fontId="8" fillId="0" borderId="0" xfId="11" applyFont="1" applyBorder="1" applyAlignment="1">
      <alignment horizontal="right"/>
    </xf>
    <xf numFmtId="37" fontId="8" fillId="0" borderId="17" xfId="0" applyFont="1" applyBorder="1"/>
    <xf numFmtId="44" fontId="8" fillId="0" borderId="12" xfId="11" applyFont="1" applyBorder="1" applyAlignment="1">
      <alignment horizontal="right"/>
    </xf>
    <xf numFmtId="44" fontId="8" fillId="0" borderId="4" xfId="11" applyFont="1" applyBorder="1" applyAlignment="1">
      <alignment horizontal="right"/>
    </xf>
    <xf numFmtId="44" fontId="8" fillId="0" borderId="23" xfId="11" applyFont="1" applyBorder="1" applyAlignment="1">
      <alignment horizontal="right"/>
    </xf>
    <xf numFmtId="14" fontId="10" fillId="0" borderId="0" xfId="6" applyNumberFormat="1" applyFont="1" applyAlignment="1">
      <alignment horizontal="center"/>
    </xf>
    <xf numFmtId="164" fontId="14" fillId="0" borderId="0" xfId="0" applyNumberFormat="1" applyFont="1" applyProtection="1">
      <protection locked="0"/>
    </xf>
    <xf numFmtId="37" fontId="14" fillId="0" borderId="0" xfId="0" quotePrefix="1" applyFont="1" applyFill="1" applyAlignment="1" applyProtection="1">
      <alignment horizontal="left"/>
    </xf>
    <xf numFmtId="37" fontId="20" fillId="0" borderId="0" xfId="0" applyFont="1" applyFill="1" applyProtection="1"/>
    <xf numFmtId="37" fontId="14" fillId="0" borderId="0" xfId="0" applyFont="1" applyFill="1" applyAlignment="1" applyProtection="1">
      <alignment horizontal="fill"/>
    </xf>
    <xf numFmtId="167" fontId="20" fillId="0" borderId="0" xfId="0" applyNumberFormat="1" applyFont="1" applyFill="1" applyProtection="1">
      <protection locked="0"/>
    </xf>
    <xf numFmtId="185" fontId="11" fillId="0" borderId="0" xfId="27" quotePrefix="1" applyFont="1" applyAlignment="1" applyProtection="1">
      <alignment horizontal="center"/>
    </xf>
    <xf numFmtId="185" fontId="7" fillId="0" borderId="0" xfId="0" applyNumberFormat="1" applyFont="1"/>
    <xf numFmtId="185" fontId="32" fillId="0" borderId="0" xfId="0" applyNumberFormat="1" applyFont="1" applyFill="1"/>
    <xf numFmtId="185" fontId="17" fillId="0" borderId="0" xfId="0" applyNumberFormat="1" applyFont="1"/>
    <xf numFmtId="185" fontId="17" fillId="0" borderId="0" xfId="0" quotePrefix="1" applyNumberFormat="1" applyFont="1" applyAlignment="1">
      <alignment horizontal="center"/>
    </xf>
    <xf numFmtId="185" fontId="17" fillId="0" borderId="0" xfId="0" applyNumberFormat="1" applyFont="1"/>
    <xf numFmtId="37" fontId="17" fillId="0" borderId="0" xfId="0" applyNumberFormat="1" applyFont="1"/>
    <xf numFmtId="39" fontId="17" fillId="0" borderId="0" xfId="0" applyNumberFormat="1" applyFont="1"/>
    <xf numFmtId="185" fontId="17" fillId="0" borderId="0" xfId="0" applyNumberFormat="1" applyFont="1" applyAlignment="1">
      <alignment horizontal="center"/>
    </xf>
    <xf numFmtId="37" fontId="17" fillId="0" borderId="0" xfId="0" quotePrefix="1" applyNumberFormat="1" applyFont="1" applyAlignment="1">
      <alignment horizontal="center"/>
    </xf>
    <xf numFmtId="39" fontId="17" fillId="0" borderId="0" xfId="0" quotePrefix="1" applyNumberFormat="1" applyFont="1" applyAlignment="1">
      <alignment horizontal="center"/>
    </xf>
    <xf numFmtId="185" fontId="17" fillId="0" borderId="0" xfId="0" applyNumberFormat="1" applyFont="1" applyAlignment="1">
      <alignment horizontal="center"/>
    </xf>
    <xf numFmtId="43" fontId="12" fillId="0" borderId="0" xfId="6" applyFont="1"/>
    <xf numFmtId="10" fontId="10" fillId="0" borderId="0" xfId="35" applyNumberFormat="1" applyFont="1"/>
    <xf numFmtId="10" fontId="10" fillId="0" borderId="0" xfId="35" applyNumberFormat="1" applyFont="1" applyBorder="1"/>
    <xf numFmtId="43" fontId="10" fillId="0" borderId="6" xfId="6" applyFont="1" applyBorder="1"/>
    <xf numFmtId="43" fontId="10" fillId="0" borderId="4" xfId="6" applyFont="1" applyBorder="1"/>
    <xf numFmtId="43" fontId="12" fillId="0" borderId="0" xfId="6" applyFont="1" applyBorder="1"/>
    <xf numFmtId="43" fontId="10" fillId="0" borderId="0" xfId="6" applyFont="1" applyBorder="1"/>
    <xf numFmtId="10" fontId="10" fillId="0" borderId="4" xfId="35" applyNumberFormat="1" applyFont="1" applyBorder="1"/>
    <xf numFmtId="10" fontId="10" fillId="0" borderId="7" xfId="35" applyNumberFormat="1" applyFont="1" applyBorder="1"/>
    <xf numFmtId="43" fontId="10" fillId="0" borderId="7" xfId="6" applyFont="1" applyBorder="1"/>
    <xf numFmtId="185" fontId="46" fillId="0" borderId="0" xfId="0" applyNumberFormat="1" applyFont="1" applyFill="1" applyAlignment="1">
      <alignment horizontal="center"/>
    </xf>
    <xf numFmtId="44" fontId="46" fillId="0" borderId="0" xfId="11" applyFont="1" applyFill="1" applyAlignment="1">
      <alignment horizontal="center"/>
    </xf>
    <xf numFmtId="44" fontId="46" fillId="0" borderId="0" xfId="11" quotePrefix="1" applyFont="1" applyFill="1" applyAlignment="1">
      <alignment horizontal="center"/>
    </xf>
    <xf numFmtId="44" fontId="32" fillId="0" borderId="7" xfId="11" applyFont="1" applyFill="1" applyBorder="1"/>
    <xf numFmtId="185" fontId="32" fillId="0" borderId="0" xfId="0" quotePrefix="1" applyNumberFormat="1" applyFont="1" applyFill="1" applyAlignment="1">
      <alignment horizontal="left"/>
    </xf>
    <xf numFmtId="185" fontId="46" fillId="0" borderId="0" xfId="0" applyNumberFormat="1" applyFont="1" applyFill="1" applyBorder="1" applyAlignment="1">
      <alignment horizontal="center"/>
    </xf>
    <xf numFmtId="44" fontId="46" fillId="0" borderId="0" xfId="11" applyFont="1" applyFill="1" applyBorder="1" applyAlignment="1">
      <alignment horizontal="center"/>
    </xf>
    <xf numFmtId="44" fontId="46" fillId="0" borderId="0" xfId="11" quotePrefix="1" applyFont="1" applyFill="1" applyBorder="1" applyAlignment="1">
      <alignment horizontal="center"/>
    </xf>
    <xf numFmtId="185" fontId="32" fillId="0" borderId="0" xfId="0" applyNumberFormat="1" applyFont="1" applyFill="1" applyAlignment="1">
      <alignment horizontal="right"/>
    </xf>
    <xf numFmtId="185" fontId="7" fillId="0" borderId="0" xfId="25" applyFont="1"/>
    <xf numFmtId="185" fontId="7" fillId="0" borderId="0" xfId="0" applyNumberFormat="1" applyFont="1" applyFill="1" applyAlignment="1">
      <alignment horizontal="center"/>
    </xf>
    <xf numFmtId="185" fontId="7" fillId="0" borderId="0" xfId="0" applyNumberFormat="1" applyFont="1" applyFill="1" applyAlignment="1">
      <alignment horizontal="left"/>
    </xf>
    <xf numFmtId="44" fontId="7" fillId="0" borderId="0" xfId="11" applyFont="1" applyFill="1"/>
    <xf numFmtId="44" fontId="7" fillId="0" borderId="0" xfId="25" applyNumberFormat="1" applyFont="1"/>
    <xf numFmtId="185" fontId="7" fillId="0" borderId="0" xfId="0" quotePrefix="1" applyNumberFormat="1" applyFont="1" applyFill="1" applyAlignment="1">
      <alignment horizontal="left"/>
    </xf>
    <xf numFmtId="185" fontId="7" fillId="0" borderId="0" xfId="25" applyFont="1" applyAlignment="1">
      <alignment horizontal="center"/>
    </xf>
    <xf numFmtId="185" fontId="7" fillId="0" borderId="0" xfId="25" applyFont="1" applyAlignment="1">
      <alignment horizontal="left"/>
    </xf>
    <xf numFmtId="44" fontId="7" fillId="0" borderId="0" xfId="11" applyFont="1"/>
    <xf numFmtId="185" fontId="0" fillId="0" borderId="0" xfId="0" applyNumberFormat="1" applyAlignment="1">
      <alignment horizontal="center"/>
    </xf>
    <xf numFmtId="185" fontId="31" fillId="0" borderId="0" xfId="0" applyNumberFormat="1" applyFont="1" applyAlignment="1">
      <alignment horizontal="center"/>
    </xf>
    <xf numFmtId="44" fontId="31" fillId="0" borderId="0" xfId="11" applyFont="1" applyAlignment="1">
      <alignment horizontal="center"/>
    </xf>
    <xf numFmtId="185" fontId="7" fillId="0" borderId="0" xfId="0" applyNumberFormat="1" applyFont="1" applyAlignment="1">
      <alignment horizontal="center"/>
    </xf>
    <xf numFmtId="186" fontId="49" fillId="0" borderId="0" xfId="12" applyNumberFormat="1" applyFont="1" applyFill="1" applyBorder="1"/>
    <xf numFmtId="44" fontId="7" fillId="0" borderId="0" xfId="11" applyFont="1" applyBorder="1"/>
    <xf numFmtId="185" fontId="32" fillId="0" borderId="0" xfId="0" applyNumberFormat="1" applyFont="1" applyAlignment="1">
      <alignment horizontal="right"/>
    </xf>
    <xf numFmtId="188" fontId="49" fillId="0" borderId="0" xfId="11" applyNumberFormat="1" applyFont="1" applyFill="1" applyBorder="1"/>
    <xf numFmtId="185" fontId="32" fillId="0" borderId="0" xfId="0" quotePrefix="1" applyNumberFormat="1" applyFont="1" applyAlignment="1">
      <alignment horizontal="right"/>
    </xf>
    <xf numFmtId="3" fontId="50" fillId="0" borderId="0" xfId="0" applyNumberFormat="1" applyFont="1"/>
    <xf numFmtId="3" fontId="32" fillId="0" borderId="0" xfId="0" applyNumberFormat="1" applyFont="1"/>
    <xf numFmtId="3" fontId="32" fillId="0" borderId="0" xfId="0" applyNumberFormat="1" applyFont="1" applyBorder="1"/>
    <xf numFmtId="3" fontId="32" fillId="0" borderId="5" xfId="0" applyNumberFormat="1" applyFont="1" applyFill="1" applyBorder="1" applyAlignment="1">
      <alignment horizontal="center"/>
    </xf>
    <xf numFmtId="3" fontId="7" fillId="0" borderId="0" xfId="0" applyNumberFormat="1" applyFont="1"/>
    <xf numFmtId="3" fontId="7" fillId="0" borderId="0" xfId="0" applyNumberFormat="1" applyFont="1" applyFill="1"/>
    <xf numFmtId="3" fontId="7" fillId="0" borderId="7" xfId="0" applyNumberFormat="1" applyFont="1" applyBorder="1"/>
    <xf numFmtId="185" fontId="7" fillId="0" borderId="0" xfId="24" applyFont="1" applyAlignment="1"/>
    <xf numFmtId="3" fontId="7" fillId="0" borderId="0" xfId="0" applyNumberFormat="1" applyFont="1" applyBorder="1"/>
    <xf numFmtId="3" fontId="7" fillId="0" borderId="0" xfId="0" quotePrefix="1" applyNumberFormat="1" applyFont="1" applyFill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7" fillId="0" borderId="0" xfId="0" quotePrefix="1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7" fillId="0" borderId="0" xfId="24" applyNumberFormat="1" applyFont="1" applyAlignment="1"/>
    <xf numFmtId="185" fontId="0" fillId="0" borderId="0" xfId="0" applyNumberFormat="1" applyFill="1" applyBorder="1"/>
    <xf numFmtId="37" fontId="14" fillId="12" borderId="0" xfId="0" applyFont="1" applyFill="1"/>
    <xf numFmtId="37" fontId="17" fillId="0" borderId="0" xfId="22" applyNumberFormat="1" applyFont="1" applyFill="1" applyAlignment="1">
      <alignment horizontal="right"/>
    </xf>
    <xf numFmtId="185" fontId="7" fillId="0" borderId="0" xfId="7" applyNumberFormat="1" applyFont="1" applyFill="1"/>
    <xf numFmtId="37" fontId="17" fillId="0" borderId="0" xfId="22" applyNumberFormat="1" applyFont="1" applyFill="1"/>
    <xf numFmtId="38" fontId="19" fillId="0" borderId="0" xfId="22" applyNumberFormat="1" applyFont="1" applyFill="1"/>
    <xf numFmtId="37" fontId="48" fillId="0" borderId="0" xfId="22" applyNumberFormat="1" applyFont="1" applyFill="1"/>
    <xf numFmtId="38" fontId="19" fillId="0" borderId="4" xfId="22" applyNumberFormat="1" applyFont="1" applyFill="1" applyBorder="1"/>
    <xf numFmtId="37" fontId="53" fillId="0" borderId="0" xfId="0" applyFont="1" applyFill="1" applyProtection="1">
      <protection locked="0"/>
    </xf>
    <xf numFmtId="37" fontId="53" fillId="0" borderId="0" xfId="0" applyFont="1" applyFill="1"/>
    <xf numFmtId="37" fontId="53" fillId="0" borderId="0" xfId="0" applyFont="1"/>
    <xf numFmtId="37" fontId="20" fillId="0" borderId="0" xfId="0" applyFont="1" applyFill="1" applyBorder="1" applyProtection="1">
      <protection locked="0"/>
    </xf>
    <xf numFmtId="37" fontId="21" fillId="0" borderId="0" xfId="0" applyFont="1" applyFill="1" applyBorder="1" applyAlignment="1" applyProtection="1">
      <alignment horizontal="center"/>
      <protection locked="0"/>
    </xf>
    <xf numFmtId="37" fontId="14" fillId="0" borderId="0" xfId="0" applyFont="1" applyFill="1" applyBorder="1"/>
    <xf numFmtId="37" fontId="14" fillId="0" borderId="0" xfId="0" applyFont="1" applyFill="1" applyBorder="1" applyAlignment="1" applyProtection="1">
      <alignment horizontal="center"/>
      <protection locked="0"/>
    </xf>
    <xf numFmtId="39" fontId="15" fillId="0" borderId="4" xfId="0" applyNumberFormat="1" applyFont="1" applyBorder="1" applyAlignment="1">
      <alignment horizontal="right"/>
    </xf>
    <xf numFmtId="37" fontId="15" fillId="0" borderId="4" xfId="0" applyFont="1" applyBorder="1" applyAlignment="1">
      <alignment horizontal="center"/>
    </xf>
    <xf numFmtId="44" fontId="0" fillId="0" borderId="0" xfId="11" applyFont="1" applyFill="1"/>
    <xf numFmtId="37" fontId="20" fillId="12" borderId="0" xfId="0" applyFont="1" applyFill="1" applyProtection="1">
      <protection locked="0"/>
    </xf>
    <xf numFmtId="185" fontId="52" fillId="0" borderId="0" xfId="23" applyFont="1" applyFill="1" applyBorder="1" applyAlignment="1">
      <alignment horizontal="right" vertical="top"/>
    </xf>
    <xf numFmtId="185" fontId="37" fillId="0" borderId="0" xfId="23" applyFont="1" applyFill="1" applyBorder="1" applyAlignment="1">
      <alignment horizontal="center" vertical="top"/>
    </xf>
    <xf numFmtId="185" fontId="7" fillId="0" borderId="0" xfId="20"/>
    <xf numFmtId="185" fontId="17" fillId="0" borderId="0" xfId="20" applyFont="1"/>
    <xf numFmtId="185" fontId="17" fillId="0" borderId="0" xfId="20" applyNumberFormat="1" applyFont="1" applyAlignment="1">
      <alignment horizontal="right"/>
    </xf>
    <xf numFmtId="39" fontId="17" fillId="0" borderId="0" xfId="20" applyNumberFormat="1" applyFont="1"/>
    <xf numFmtId="186" fontId="17" fillId="0" borderId="0" xfId="12" applyNumberFormat="1" applyFont="1"/>
    <xf numFmtId="37" fontId="17" fillId="0" borderId="0" xfId="20" applyNumberFormat="1" applyFont="1"/>
    <xf numFmtId="39" fontId="17" fillId="0" borderId="4" xfId="20" applyNumberFormat="1" applyFont="1" applyBorder="1"/>
    <xf numFmtId="39" fontId="17" fillId="0" borderId="0" xfId="20" applyNumberFormat="1" applyFont="1" applyFill="1"/>
    <xf numFmtId="179" fontId="14" fillId="0" borderId="0" xfId="35" applyNumberFormat="1" applyFont="1" applyFill="1" applyAlignment="1">
      <alignment horizontal="center"/>
    </xf>
    <xf numFmtId="185" fontId="10" fillId="0" borderId="0" xfId="21" applyFont="1" applyAlignment="1"/>
    <xf numFmtId="185" fontId="10" fillId="0" borderId="0" xfId="21" applyFont="1"/>
    <xf numFmtId="185" fontId="10" fillId="0" borderId="0" xfId="21" applyFont="1" applyAlignment="1">
      <alignment horizontal="centerContinuous"/>
    </xf>
    <xf numFmtId="187" fontId="10" fillId="0" borderId="0" xfId="21" quotePrefix="1" applyNumberFormat="1" applyFont="1" applyAlignment="1"/>
    <xf numFmtId="185" fontId="10" fillId="0" borderId="0" xfId="21" quotePrefix="1" applyFont="1" applyAlignment="1">
      <alignment horizontal="left"/>
    </xf>
    <xf numFmtId="43" fontId="10" fillId="0" borderId="0" xfId="21" applyNumberFormat="1" applyFont="1"/>
    <xf numFmtId="185" fontId="10" fillId="0" borderId="0" xfId="21" applyFont="1" applyBorder="1"/>
    <xf numFmtId="185" fontId="10" fillId="0" borderId="0" xfId="21" applyFont="1" applyBorder="1" applyAlignment="1">
      <alignment horizontal="left"/>
    </xf>
    <xf numFmtId="43" fontId="10" fillId="0" borderId="0" xfId="21" applyNumberFormat="1" applyFont="1" applyBorder="1"/>
    <xf numFmtId="43" fontId="10" fillId="0" borderId="4" xfId="21" applyNumberFormat="1" applyFont="1" applyBorder="1"/>
    <xf numFmtId="39" fontId="14" fillId="0" borderId="0" xfId="0" applyNumberFormat="1" applyFont="1" applyFill="1"/>
    <xf numFmtId="37" fontId="20" fillId="13" borderId="0" xfId="0" applyFont="1" applyFill="1" applyProtection="1">
      <protection locked="0"/>
    </xf>
    <xf numFmtId="37" fontId="53" fillId="0" borderId="0" xfId="0" applyFont="1" applyFill="1" applyProtection="1"/>
    <xf numFmtId="37" fontId="53" fillId="0" borderId="0" xfId="0" applyFont="1" applyProtection="1">
      <protection locked="0"/>
    </xf>
    <xf numFmtId="37" fontId="14" fillId="0" borderId="3" xfId="0" applyFont="1" applyFill="1" applyBorder="1" applyAlignment="1" applyProtection="1">
      <alignment horizontal="center"/>
      <protection locked="0"/>
    </xf>
    <xf numFmtId="37" fontId="14" fillId="0" borderId="0" xfId="0" applyFont="1" applyFill="1" applyAlignment="1" applyProtection="1">
      <alignment horizontal="center"/>
      <protection locked="0"/>
    </xf>
    <xf numFmtId="37" fontId="20" fillId="13" borderId="0" xfId="0" applyFont="1" applyFill="1" applyAlignment="1" applyProtection="1">
      <alignment horizontal="center"/>
      <protection locked="0"/>
    </xf>
    <xf numFmtId="37" fontId="14" fillId="0" borderId="3" xfId="0" applyFont="1" applyFill="1" applyBorder="1" applyAlignment="1">
      <alignment horizontal="center"/>
    </xf>
    <xf numFmtId="37" fontId="21" fillId="13" borderId="0" xfId="0" applyFont="1" applyFill="1"/>
    <xf numFmtId="43" fontId="14" fillId="0" borderId="0" xfId="6" applyFont="1" applyFill="1" applyProtection="1">
      <protection locked="0"/>
    </xf>
    <xf numFmtId="37" fontId="54" fillId="0" borderId="0" xfId="0" applyFont="1" applyFill="1" applyAlignment="1" applyProtection="1">
      <alignment horizontal="center"/>
      <protection locked="0"/>
    </xf>
    <xf numFmtId="37" fontId="54" fillId="13" borderId="0" xfId="0" applyFont="1" applyFill="1"/>
    <xf numFmtId="37" fontId="54" fillId="13" borderId="0" xfId="0" applyFont="1" applyFill="1" applyAlignment="1" applyProtection="1">
      <alignment horizontal="center"/>
      <protection locked="0"/>
    </xf>
    <xf numFmtId="37" fontId="20" fillId="13" borderId="0" xfId="0" applyFont="1" applyFill="1" applyAlignment="1">
      <alignment horizontal="center"/>
    </xf>
    <xf numFmtId="37" fontId="54" fillId="13" borderId="0" xfId="0" applyFont="1" applyFill="1" applyProtection="1">
      <protection locked="0"/>
    </xf>
    <xf numFmtId="37" fontId="54" fillId="13" borderId="0" xfId="0" applyFont="1" applyFill="1" applyAlignment="1">
      <alignment horizontal="center"/>
    </xf>
    <xf numFmtId="37" fontId="55" fillId="13" borderId="0" xfId="0" applyFont="1" applyFill="1"/>
    <xf numFmtId="10" fontId="54" fillId="13" borderId="0" xfId="35" applyNumberFormat="1" applyFont="1" applyFill="1" applyProtection="1">
      <protection locked="0"/>
    </xf>
    <xf numFmtId="37" fontId="15" fillId="0" borderId="0" xfId="0" applyFont="1" applyFill="1" applyAlignment="1" applyProtection="1">
      <alignment horizontal="center"/>
      <protection locked="0"/>
    </xf>
    <xf numFmtId="39" fontId="15" fillId="0" borderId="3" xfId="0" applyNumberFormat="1" applyFont="1" applyFill="1" applyBorder="1" applyAlignment="1">
      <alignment horizontal="center"/>
    </xf>
    <xf numFmtId="39" fontId="14" fillId="0" borderId="0" xfId="0" applyNumberFormat="1" applyFont="1" applyFill="1" applyAlignment="1">
      <alignment horizontal="center"/>
    </xf>
    <xf numFmtId="37" fontId="20" fillId="13" borderId="0" xfId="0" applyFont="1" applyFill="1"/>
    <xf numFmtId="185" fontId="17" fillId="0" borderId="0" xfId="20" applyFont="1" applyFill="1"/>
    <xf numFmtId="185" fontId="17" fillId="0" borderId="0" xfId="20" applyNumberFormat="1" applyFont="1" applyFill="1" applyAlignment="1">
      <alignment horizontal="right"/>
    </xf>
    <xf numFmtId="37" fontId="17" fillId="0" borderId="0" xfId="20" applyNumberFormat="1" applyFont="1" applyFill="1"/>
    <xf numFmtId="185" fontId="17" fillId="0" borderId="0" xfId="20" quotePrefix="1" applyFont="1" applyFill="1" applyAlignment="1">
      <alignment horizontal="left"/>
    </xf>
    <xf numFmtId="38" fontId="17" fillId="0" borderId="0" xfId="22" applyNumberFormat="1" applyFont="1" applyFill="1" applyBorder="1"/>
    <xf numFmtId="38" fontId="17" fillId="0" borderId="4" xfId="22" applyNumberFormat="1" applyFont="1" applyFill="1" applyBorder="1"/>
    <xf numFmtId="44" fontId="7" fillId="0" borderId="0" xfId="25" applyNumberFormat="1" applyFont="1" applyFill="1"/>
    <xf numFmtId="185" fontId="7" fillId="0" borderId="0" xfId="25" applyFont="1" applyFill="1"/>
    <xf numFmtId="43" fontId="37" fillId="0" borderId="0" xfId="8" applyFont="1" applyFill="1" applyBorder="1" applyAlignment="1">
      <alignment horizontal="right" vertical="top"/>
    </xf>
    <xf numFmtId="43" fontId="43" fillId="0" borderId="0" xfId="8" applyFont="1" applyFill="1" applyBorder="1" applyAlignment="1">
      <alignment horizontal="right" vertical="top"/>
    </xf>
    <xf numFmtId="43" fontId="15" fillId="0" borderId="4" xfId="6" applyFont="1" applyBorder="1"/>
    <xf numFmtId="43" fontId="37" fillId="0" borderId="0" xfId="6" applyFont="1" applyFill="1" applyBorder="1" applyAlignment="1">
      <alignment horizontal="center" vertical="top"/>
    </xf>
    <xf numFmtId="172" fontId="26" fillId="0" borderId="0" xfId="0" applyNumberFormat="1" applyFont="1" applyFill="1"/>
    <xf numFmtId="172" fontId="14" fillId="0" borderId="0" xfId="0" applyNumberFormat="1" applyFont="1" applyFill="1"/>
    <xf numFmtId="37" fontId="20" fillId="13" borderId="0" xfId="0" applyFont="1" applyFill="1" applyProtection="1"/>
    <xf numFmtId="37" fontId="20" fillId="12" borderId="0" xfId="0" quotePrefix="1" applyFont="1" applyFill="1" applyAlignment="1" applyProtection="1">
      <alignment horizontal="left"/>
      <protection locked="0"/>
    </xf>
    <xf numFmtId="0" fontId="7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right"/>
    </xf>
    <xf numFmtId="0" fontId="3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37" fontId="6" fillId="0" borderId="18" xfId="0" quotePrefix="1" applyFont="1" applyBorder="1" applyAlignment="1">
      <alignment horizontal="left"/>
    </xf>
    <xf numFmtId="185" fontId="6" fillId="0" borderId="17" xfId="0" applyNumberFormat="1" applyFont="1" applyBorder="1"/>
    <xf numFmtId="44" fontId="8" fillId="0" borderId="24" xfId="11" applyFont="1" applyBorder="1" applyAlignment="1">
      <alignment horizontal="right"/>
    </xf>
    <xf numFmtId="4" fontId="7" fillId="0" borderId="0" xfId="0" applyNumberFormat="1" applyFont="1"/>
    <xf numFmtId="4" fontId="7" fillId="0" borderId="0" xfId="0" applyNumberFormat="1" applyFont="1" applyFill="1"/>
    <xf numFmtId="4" fontId="7" fillId="0" borderId="7" xfId="0" applyNumberFormat="1" applyFont="1" applyBorder="1"/>
    <xf numFmtId="185" fontId="0" fillId="0" borderId="0" xfId="0" applyNumberFormat="1" applyBorder="1"/>
    <xf numFmtId="44" fontId="0" fillId="0" borderId="0" xfId="11" applyFont="1" applyBorder="1"/>
    <xf numFmtId="0" fontId="7" fillId="0" borderId="0" xfId="0" applyNumberFormat="1" applyFont="1" applyFill="1"/>
    <xf numFmtId="0" fontId="4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46" fillId="0" borderId="0" xfId="0" applyNumberFormat="1" applyFont="1" applyFill="1" applyBorder="1" applyAlignment="1">
      <alignment horizontal="center"/>
    </xf>
    <xf numFmtId="0" fontId="7" fillId="0" borderId="0" xfId="25" applyNumberFormat="1" applyFont="1"/>
    <xf numFmtId="2" fontId="14" fillId="0" borderId="0" xfId="6" applyNumberFormat="1" applyFont="1" applyFill="1"/>
    <xf numFmtId="185" fontId="6" fillId="0" borderId="0" xfId="0" applyNumberFormat="1" applyFont="1" applyFill="1" applyAlignment="1">
      <alignment horizontal="left"/>
    </xf>
    <xf numFmtId="0" fontId="11" fillId="8" borderId="0" xfId="27" applyNumberFormat="1" applyFont="1" applyFill="1" applyProtection="1">
      <protection locked="0"/>
    </xf>
    <xf numFmtId="0" fontId="11" fillId="0" borderId="0" xfId="27" applyNumberFormat="1" applyFont="1"/>
    <xf numFmtId="0" fontId="11" fillId="0" borderId="0" xfId="27" applyNumberFormat="1" applyFont="1" applyProtection="1"/>
    <xf numFmtId="0" fontId="8" fillId="0" borderId="0" xfId="27" applyNumberFormat="1" applyFont="1"/>
    <xf numFmtId="178" fontId="11" fillId="0" borderId="0" xfId="6" applyNumberFormat="1" applyFont="1" applyProtection="1"/>
    <xf numFmtId="43" fontId="10" fillId="0" borderId="0" xfId="6" quotePrefix="1" applyFont="1" applyAlignment="1">
      <alignment horizontal="left"/>
    </xf>
    <xf numFmtId="43" fontId="38" fillId="0" borderId="0" xfId="6" applyFont="1" applyFill="1" applyBorder="1" applyAlignment="1">
      <alignment horizontal="center" vertical="top"/>
    </xf>
    <xf numFmtId="0" fontId="17" fillId="0" borderId="0" xfId="6" applyNumberFormat="1" applyFont="1"/>
    <xf numFmtId="0" fontId="17" fillId="0" borderId="0" xfId="6" applyNumberFormat="1" applyFont="1" applyFill="1"/>
    <xf numFmtId="186" fontId="6" fillId="0" borderId="0" xfId="12" applyNumberFormat="1" applyFont="1" applyFill="1" applyBorder="1"/>
    <xf numFmtId="44" fontId="6" fillId="0" borderId="0" xfId="11" applyFont="1" applyBorder="1"/>
    <xf numFmtId="44" fontId="32" fillId="0" borderId="0" xfId="11" applyFont="1" applyBorder="1"/>
    <xf numFmtId="44" fontId="31" fillId="0" borderId="0" xfId="11" applyFont="1" applyBorder="1" applyAlignment="1">
      <alignment horizontal="center"/>
    </xf>
    <xf numFmtId="185" fontId="18" fillId="0" borderId="0" xfId="26" applyFont="1" applyFill="1" applyBorder="1"/>
    <xf numFmtId="0" fontId="32" fillId="0" borderId="0" xfId="52" applyFont="1" applyFill="1"/>
    <xf numFmtId="37" fontId="14" fillId="15" borderId="0" xfId="0" applyFont="1" applyFill="1"/>
    <xf numFmtId="37" fontId="14" fillId="15" borderId="0" xfId="0" quotePrefix="1" applyFont="1" applyFill="1" applyAlignment="1">
      <alignment horizontal="left"/>
    </xf>
    <xf numFmtId="10" fontId="10" fillId="0" borderId="0" xfId="35" quotePrefix="1" applyNumberFormat="1" applyFont="1" applyBorder="1" applyAlignment="1">
      <alignment horizontal="left"/>
    </xf>
    <xf numFmtId="185" fontId="17" fillId="0" borderId="0" xfId="22" quotePrefix="1" applyNumberFormat="1" applyFont="1" applyFill="1" applyAlignment="1">
      <alignment horizontal="right"/>
    </xf>
    <xf numFmtId="0" fontId="32" fillId="0" borderId="0" xfId="0" applyNumberFormat="1" applyFont="1" applyFill="1"/>
    <xf numFmtId="0" fontId="6" fillId="0" borderId="0" xfId="0" applyNumberFormat="1" applyFont="1" applyFill="1"/>
    <xf numFmtId="43" fontId="32" fillId="0" borderId="0" xfId="229" applyFont="1" applyFill="1" applyAlignment="1">
      <alignment horizontal="center"/>
    </xf>
    <xf numFmtId="43" fontId="32" fillId="0" borderId="4" xfId="229" applyFont="1" applyFill="1" applyBorder="1" applyAlignment="1">
      <alignment horizontal="center"/>
    </xf>
    <xf numFmtId="43" fontId="32" fillId="0" borderId="0" xfId="229" applyFont="1" applyFill="1" applyBorder="1" applyAlignment="1">
      <alignment horizontal="center"/>
    </xf>
    <xf numFmtId="185" fontId="11" fillId="0" borderId="0" xfId="0" applyNumberFormat="1" applyFont="1" applyFill="1" applyProtection="1">
      <protection locked="0"/>
    </xf>
    <xf numFmtId="43" fontId="6" fillId="0" borderId="0" xfId="229" applyFont="1" applyFill="1"/>
    <xf numFmtId="185" fontId="6" fillId="0" borderId="0" xfId="0" applyNumberFormat="1" applyFont="1" applyFill="1"/>
    <xf numFmtId="39" fontId="6" fillId="0" borderId="0" xfId="54" applyNumberFormat="1" applyFont="1" applyFill="1"/>
    <xf numFmtId="43" fontId="6" fillId="0" borderId="0" xfId="0" applyNumberFormat="1" applyFont="1" applyFill="1"/>
    <xf numFmtId="39" fontId="6" fillId="0" borderId="0" xfId="54" applyNumberFormat="1" applyFont="1" applyFill="1" applyBorder="1"/>
    <xf numFmtId="43" fontId="6" fillId="0" borderId="0" xfId="229" applyFont="1" applyFill="1" applyBorder="1"/>
    <xf numFmtId="0" fontId="6" fillId="0" borderId="0" xfId="0" applyNumberFormat="1" applyFont="1" applyFill="1" applyBorder="1"/>
    <xf numFmtId="43" fontId="6" fillId="0" borderId="0" xfId="0" applyNumberFormat="1" applyFont="1" applyFill="1" applyBorder="1"/>
    <xf numFmtId="43" fontId="6" fillId="0" borderId="26" xfId="229" applyFont="1" applyFill="1" applyBorder="1"/>
    <xf numFmtId="43" fontId="6" fillId="0" borderId="4" xfId="229" applyFont="1" applyFill="1" applyBorder="1"/>
    <xf numFmtId="43" fontId="6" fillId="0" borderId="4" xfId="0" applyNumberFormat="1" applyFont="1" applyFill="1" applyBorder="1"/>
    <xf numFmtId="43" fontId="6" fillId="0" borderId="7" xfId="229" applyFont="1" applyFill="1" applyBorder="1"/>
    <xf numFmtId="0" fontId="11" fillId="0" borderId="0" xfId="52" applyFont="1" applyFill="1" applyProtection="1">
      <protection locked="0"/>
    </xf>
    <xf numFmtId="0" fontId="6" fillId="0" borderId="0" xfId="52" applyFont="1" applyFill="1"/>
    <xf numFmtId="0" fontId="6" fillId="0" borderId="0" xfId="0" applyNumberFormat="1" applyFont="1"/>
    <xf numFmtId="0" fontId="37" fillId="0" borderId="0" xfId="0" applyNumberFormat="1" applyFont="1" applyFill="1" applyBorder="1" applyAlignment="1">
      <alignment horizontal="center" vertical="top"/>
    </xf>
    <xf numFmtId="37" fontId="14" fillId="0" borderId="0" xfId="0" quotePrefix="1" applyFont="1" applyFill="1"/>
    <xf numFmtId="37" fontId="21" fillId="0" borderId="0" xfId="0" applyFont="1" applyFill="1" applyBorder="1"/>
    <xf numFmtId="37" fontId="21" fillId="0" borderId="0" xfId="0" quotePrefix="1" applyFont="1" applyFill="1" applyBorder="1" applyAlignment="1">
      <alignment horizontal="left"/>
    </xf>
    <xf numFmtId="37" fontId="54" fillId="0" borderId="0" xfId="0" applyFont="1" applyFill="1" applyBorder="1"/>
    <xf numFmtId="44" fontId="0" fillId="0" borderId="0" xfId="54" applyFont="1" applyBorder="1" applyAlignment="1">
      <alignment horizontal="right"/>
    </xf>
    <xf numFmtId="44" fontId="0" fillId="0" borderId="4" xfId="54" applyFont="1" applyBorder="1" applyAlignment="1">
      <alignment horizontal="right"/>
    </xf>
    <xf numFmtId="44" fontId="0" fillId="0" borderId="0" xfId="54" applyNumberFormat="1" applyFont="1" applyBorder="1" applyAlignment="1">
      <alignment horizontal="right"/>
    </xf>
    <xf numFmtId="44" fontId="0" fillId="0" borderId="4" xfId="54" applyNumberFormat="1" applyFont="1" applyBorder="1" applyAlignment="1">
      <alignment horizontal="right"/>
    </xf>
    <xf numFmtId="0" fontId="0" fillId="0" borderId="17" xfId="0" applyNumberFormat="1" applyBorder="1"/>
    <xf numFmtId="185" fontId="7" fillId="0" borderId="0" xfId="24" applyFont="1" applyFill="1" applyAlignment="1"/>
    <xf numFmtId="178" fontId="17" fillId="0" borderId="0" xfId="6" applyNumberFormat="1" applyFont="1" applyFill="1"/>
    <xf numFmtId="178" fontId="17" fillId="0" borderId="0" xfId="6" applyNumberFormat="1" applyFont="1" applyFill="1" applyBorder="1"/>
    <xf numFmtId="178" fontId="17" fillId="0" borderId="4" xfId="6" applyNumberFormat="1" applyFont="1" applyFill="1" applyBorder="1"/>
    <xf numFmtId="37" fontId="20" fillId="13" borderId="0" xfId="0" applyNumberFormat="1" applyFont="1" applyFill="1" applyAlignment="1" applyProtection="1">
      <alignment horizontal="center"/>
      <protection locked="0"/>
    </xf>
    <xf numFmtId="0" fontId="56" fillId="0" borderId="0" xfId="0" applyNumberFormat="1" applyFont="1" applyFill="1"/>
    <xf numFmtId="0" fontId="49" fillId="0" borderId="0" xfId="0" applyNumberFormat="1" applyFont="1"/>
    <xf numFmtId="39" fontId="57" fillId="0" borderId="0" xfId="0" applyNumberFormat="1" applyFont="1" applyAlignment="1">
      <alignment horizontal="center" wrapText="1"/>
    </xf>
    <xf numFmtId="0" fontId="56" fillId="0" borderId="4" xfId="0" applyNumberFormat="1" applyFont="1" applyFill="1" applyBorder="1" applyAlignment="1" applyProtection="1">
      <alignment horizontal="center" wrapText="1"/>
    </xf>
    <xf numFmtId="4" fontId="56" fillId="0" borderId="4" xfId="0" applyNumberFormat="1" applyFont="1" applyFill="1" applyBorder="1" applyAlignment="1">
      <alignment horizontal="center"/>
    </xf>
    <xf numFmtId="4" fontId="58" fillId="0" borderId="4" xfId="0" applyNumberFormat="1" applyFont="1" applyFill="1" applyBorder="1" applyAlignment="1">
      <alignment horizontal="center"/>
    </xf>
    <xf numFmtId="0" fontId="56" fillId="0" borderId="4" xfId="0" applyNumberFormat="1" applyFont="1" applyFill="1" applyBorder="1" applyAlignment="1">
      <alignment horizontal="center"/>
    </xf>
    <xf numFmtId="0" fontId="56" fillId="0" borderId="0" xfId="0" applyNumberFormat="1" applyFont="1" applyFill="1" applyBorder="1" applyAlignment="1" applyProtection="1">
      <alignment horizontal="left"/>
    </xf>
    <xf numFmtId="4" fontId="59" fillId="0" borderId="0" xfId="0" applyNumberFormat="1" applyFont="1" applyFill="1" applyBorder="1" applyAlignment="1">
      <alignment horizontal="center"/>
    </xf>
    <xf numFmtId="39" fontId="58" fillId="0" borderId="0" xfId="0" applyNumberFormat="1" applyFont="1" applyAlignment="1">
      <alignment horizontal="center"/>
    </xf>
    <xf numFmtId="190" fontId="56" fillId="0" borderId="26" xfId="0" applyNumberFormat="1" applyFont="1" applyFill="1" applyBorder="1"/>
    <xf numFmtId="0" fontId="108" fillId="0" borderId="0" xfId="0" applyNumberFormat="1" applyFont="1" applyFill="1" applyAlignment="1">
      <alignment horizontal="center" wrapText="1"/>
    </xf>
    <xf numFmtId="43" fontId="108" fillId="0" borderId="0" xfId="8" applyFont="1" applyFill="1" applyAlignment="1">
      <alignment horizontal="right"/>
    </xf>
    <xf numFmtId="190" fontId="56" fillId="0" borderId="0" xfId="0" applyNumberFormat="1" applyFont="1" applyFill="1" applyBorder="1"/>
    <xf numFmtId="0" fontId="49" fillId="0" borderId="0" xfId="0" applyNumberFormat="1" applyFont="1" applyAlignment="1">
      <alignment wrapText="1"/>
    </xf>
    <xf numFmtId="43" fontId="49" fillId="0" borderId="0" xfId="8" applyFont="1" applyAlignment="1">
      <alignment horizontal="right"/>
    </xf>
    <xf numFmtId="39" fontId="60" fillId="0" borderId="0" xfId="0" applyNumberFormat="1" applyFont="1" applyAlignment="1">
      <alignment horizontal="right" wrapText="1"/>
    </xf>
    <xf numFmtId="39" fontId="57" fillId="0" borderId="0" xfId="0" applyNumberFormat="1" applyFont="1" applyAlignment="1">
      <alignment horizontal="right"/>
    </xf>
    <xf numFmtId="4" fontId="59" fillId="0" borderId="4" xfId="0" applyNumberFormat="1" applyFont="1" applyFill="1" applyBorder="1" applyAlignment="1">
      <alignment horizontal="center"/>
    </xf>
    <xf numFmtId="39" fontId="58" fillId="0" borderId="4" xfId="0" applyNumberFormat="1" applyFont="1" applyBorder="1" applyAlignment="1">
      <alignment horizontal="center"/>
    </xf>
    <xf numFmtId="190" fontId="56" fillId="0" borderId="4" xfId="0" applyNumberFormat="1" applyFont="1" applyFill="1" applyBorder="1"/>
    <xf numFmtId="4" fontId="56" fillId="0" borderId="0" xfId="0" applyNumberFormat="1" applyFont="1" applyFill="1" applyAlignment="1">
      <alignment horizontal="center"/>
    </xf>
    <xf numFmtId="4" fontId="58" fillId="0" borderId="0" xfId="0" applyNumberFormat="1" applyFont="1" applyFill="1" applyAlignment="1">
      <alignment horizontal="center"/>
    </xf>
    <xf numFmtId="190" fontId="56" fillId="0" borderId="0" xfId="0" applyNumberFormat="1" applyFont="1" applyFill="1"/>
    <xf numFmtId="4" fontId="57" fillId="0" borderId="0" xfId="0" applyNumberFormat="1" applyFont="1" applyFill="1" applyAlignment="1">
      <alignment horizontal="center"/>
    </xf>
    <xf numFmtId="0" fontId="0" fillId="0" borderId="0" xfId="0" applyNumberFormat="1"/>
    <xf numFmtId="39" fontId="61" fillId="0" borderId="0" xfId="0" applyNumberFormat="1" applyFont="1" applyAlignment="1">
      <alignment horizontal="right" wrapText="1"/>
    </xf>
    <xf numFmtId="0" fontId="56" fillId="16" borderId="3" xfId="0" applyNumberFormat="1" applyFont="1" applyFill="1" applyBorder="1" applyAlignment="1">
      <alignment horizontal="center"/>
    </xf>
    <xf numFmtId="39" fontId="57" fillId="0" borderId="0" xfId="0" applyNumberFormat="1" applyFont="1" applyFill="1" applyAlignment="1">
      <alignment horizontal="right"/>
    </xf>
    <xf numFmtId="0" fontId="56" fillId="0" borderId="0" xfId="0" applyNumberFormat="1" applyFont="1" applyFill="1" applyAlignment="1">
      <alignment horizontal="center" wrapText="1"/>
    </xf>
    <xf numFmtId="4" fontId="58" fillId="0" borderId="0" xfId="0" applyNumberFormat="1" applyFont="1" applyAlignment="1">
      <alignment horizontal="center"/>
    </xf>
    <xf numFmtId="0" fontId="56" fillId="0" borderId="0" xfId="0" applyNumberFormat="1" applyFont="1" applyFill="1" applyAlignment="1">
      <alignment horizontal="left"/>
    </xf>
    <xf numFmtId="0" fontId="56" fillId="0" borderId="5" xfId="0" applyNumberFormat="1" applyFont="1" applyFill="1" applyBorder="1"/>
    <xf numFmtId="0" fontId="56" fillId="0" borderId="27" xfId="0" applyNumberFormat="1" applyFont="1" applyFill="1" applyBorder="1" applyAlignment="1">
      <alignment horizontal="left"/>
    </xf>
    <xf numFmtId="4" fontId="56" fillId="0" borderId="28" xfId="0" applyNumberFormat="1" applyFont="1" applyFill="1" applyBorder="1" applyAlignment="1">
      <alignment horizontal="center"/>
    </xf>
    <xf numFmtId="190" fontId="56" fillId="0" borderId="5" xfId="0" applyNumberFormat="1" applyFont="1" applyFill="1" applyBorder="1"/>
    <xf numFmtId="0" fontId="56" fillId="16" borderId="0" xfId="0" applyNumberFormat="1" applyFont="1" applyFill="1" applyAlignment="1">
      <alignment horizontal="center"/>
    </xf>
    <xf numFmtId="0" fontId="56" fillId="0" borderId="0" xfId="0" applyNumberFormat="1" applyFont="1" applyFill="1" applyAlignment="1">
      <alignment horizontal="right"/>
    </xf>
    <xf numFmtId="0" fontId="56" fillId="0" borderId="0" xfId="0" quotePrefix="1" applyNumberFormat="1" applyFont="1" applyFill="1" applyAlignment="1">
      <alignment horizontal="center" vertical="center" wrapText="1"/>
    </xf>
    <xf numFmtId="0" fontId="17" fillId="0" borderId="0" xfId="6" quotePrefix="1" applyNumberFormat="1" applyFont="1" applyFill="1" applyAlignment="1">
      <alignment horizontal="right"/>
    </xf>
    <xf numFmtId="3" fontId="0" fillId="0" borderId="0" xfId="0" applyNumberFormat="1" applyFill="1" applyAlignment="1"/>
    <xf numFmtId="3" fontId="32" fillId="0" borderId="7" xfId="0" applyNumberFormat="1" applyFont="1" applyFill="1" applyBorder="1" applyAlignment="1"/>
    <xf numFmtId="3" fontId="32" fillId="0" borderId="0" xfId="0" applyNumberFormat="1" applyFont="1" applyFill="1" applyAlignment="1">
      <alignment horizontal="centerContinuous"/>
    </xf>
    <xf numFmtId="3" fontId="0" fillId="0" borderId="0" xfId="0" applyNumberFormat="1" applyFill="1" applyBorder="1" applyAlignment="1"/>
    <xf numFmtId="3" fontId="6" fillId="0" borderId="0" xfId="0" applyNumberFormat="1" applyFont="1" applyFill="1" applyAlignment="1"/>
    <xf numFmtId="0" fontId="43" fillId="0" borderId="0" xfId="276" quotePrefix="1" applyFont="1" applyFill="1" applyBorder="1" applyAlignment="1" applyProtection="1">
      <alignment horizontal="right" vertical="center"/>
    </xf>
    <xf numFmtId="185" fontId="32" fillId="0" borderId="0" xfId="276" applyNumberFormat="1" applyFont="1" applyFill="1" applyBorder="1" applyProtection="1"/>
    <xf numFmtId="0" fontId="6" fillId="0" borderId="0" xfId="276" applyFont="1"/>
    <xf numFmtId="0" fontId="6" fillId="0" borderId="0" xfId="276"/>
    <xf numFmtId="0" fontId="32" fillId="0" borderId="0" xfId="276" applyFont="1"/>
    <xf numFmtId="2" fontId="6" fillId="0" borderId="0" xfId="276" applyNumberFormat="1"/>
    <xf numFmtId="2" fontId="32" fillId="0" borderId="0" xfId="276" applyNumberFormat="1" applyFont="1"/>
    <xf numFmtId="170" fontId="14" fillId="0" borderId="0" xfId="35" applyNumberFormat="1" applyFont="1" applyFill="1"/>
    <xf numFmtId="43" fontId="12" fillId="0" borderId="0" xfId="6" applyFont="1" applyFill="1"/>
    <xf numFmtId="43" fontId="12" fillId="0" borderId="4" xfId="6" applyFont="1" applyFill="1" applyBorder="1"/>
    <xf numFmtId="37" fontId="14" fillId="0" borderId="0" xfId="0" applyNumberFormat="1" applyFont="1"/>
    <xf numFmtId="181" fontId="32" fillId="0" borderId="0" xfId="0" applyNumberFormat="1" applyFont="1" applyFill="1" applyAlignment="1">
      <alignment horizontal="center"/>
    </xf>
    <xf numFmtId="0" fontId="32" fillId="0" borderId="0" xfId="0" applyNumberFormat="1" applyFont="1" applyFill="1" applyAlignment="1" applyProtection="1">
      <alignment horizontal="center"/>
    </xf>
    <xf numFmtId="0" fontId="32" fillId="0" borderId="0" xfId="52" applyFont="1" applyFill="1" applyAlignment="1" applyProtection="1">
      <alignment horizontal="center"/>
    </xf>
    <xf numFmtId="185" fontId="32" fillId="0" borderId="0" xfId="0" applyNumberFormat="1" applyFont="1" applyFill="1" applyAlignment="1" applyProtection="1">
      <alignment horizontal="center"/>
    </xf>
    <xf numFmtId="181" fontId="32" fillId="0" borderId="0" xfId="0" quotePrefix="1" applyNumberFormat="1" applyFont="1" applyFill="1" applyAlignment="1">
      <alignment horizontal="center"/>
    </xf>
    <xf numFmtId="181" fontId="32" fillId="0" borderId="0" xfId="0" applyNumberFormat="1" applyFont="1" applyFill="1" applyAlignment="1">
      <alignment horizontal="center"/>
    </xf>
    <xf numFmtId="185" fontId="16" fillId="0" borderId="0" xfId="0" applyNumberFormat="1" applyFont="1" applyFill="1" applyAlignment="1">
      <alignment horizontal="center"/>
    </xf>
    <xf numFmtId="185" fontId="16" fillId="0" borderId="0" xfId="0" quotePrefix="1" applyNumberFormat="1" applyFont="1" applyFill="1" applyAlignment="1">
      <alignment horizontal="center"/>
    </xf>
    <xf numFmtId="185" fontId="27" fillId="0" borderId="0" xfId="0" quotePrefix="1" applyNumberFormat="1" applyFont="1" applyFill="1" applyAlignment="1">
      <alignment horizontal="center"/>
    </xf>
    <xf numFmtId="185" fontId="30" fillId="0" borderId="0" xfId="0" quotePrefix="1" applyNumberFormat="1" applyFont="1" applyFill="1" applyAlignment="1">
      <alignment horizontal="center"/>
    </xf>
    <xf numFmtId="37" fontId="27" fillId="11" borderId="11" xfId="0" quotePrefix="1" applyFont="1" applyFill="1" applyBorder="1" applyAlignment="1">
      <alignment horizontal="center"/>
    </xf>
    <xf numFmtId="37" fontId="27" fillId="11" borderId="0" xfId="0" quotePrefix="1" applyFont="1" applyFill="1" applyBorder="1" applyAlignment="1">
      <alignment horizontal="center"/>
    </xf>
    <xf numFmtId="37" fontId="27" fillId="11" borderId="12" xfId="0" quotePrefix="1" applyFont="1" applyFill="1" applyBorder="1" applyAlignment="1">
      <alignment horizontal="center"/>
    </xf>
    <xf numFmtId="185" fontId="30" fillId="0" borderId="11" xfId="0" quotePrefix="1" applyNumberFormat="1" applyFont="1" applyBorder="1" applyAlignment="1">
      <alignment horizontal="center"/>
    </xf>
    <xf numFmtId="185" fontId="30" fillId="0" borderId="0" xfId="0" quotePrefix="1" applyNumberFormat="1" applyFont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quotePrefix="1" applyNumberFormat="1" applyFont="1" applyFill="1" applyBorder="1" applyAlignment="1">
      <alignment horizontal="center"/>
    </xf>
    <xf numFmtId="3" fontId="30" fillId="0" borderId="0" xfId="0" applyNumberFormat="1" applyFont="1" applyAlignment="1">
      <alignment horizontal="center"/>
    </xf>
    <xf numFmtId="3" fontId="30" fillId="0" borderId="0" xfId="0" quotePrefix="1" applyNumberFormat="1" applyFont="1" applyAlignment="1">
      <alignment horizontal="center"/>
    </xf>
    <xf numFmtId="3" fontId="31" fillId="0" borderId="0" xfId="0" quotePrefix="1" applyNumberFormat="1" applyFont="1" applyAlignment="1">
      <alignment horizontal="center"/>
    </xf>
    <xf numFmtId="3" fontId="32" fillId="0" borderId="0" xfId="0" applyNumberFormat="1" applyFont="1" applyAlignment="1">
      <alignment horizontal="center"/>
    </xf>
    <xf numFmtId="3" fontId="32" fillId="0" borderId="0" xfId="0" applyNumberFormat="1" applyFont="1" applyFill="1" applyAlignment="1">
      <alignment horizontal="center"/>
    </xf>
    <xf numFmtId="37" fontId="16" fillId="0" borderId="0" xfId="0" applyFont="1" applyFill="1" applyAlignment="1">
      <alignment horizontal="center"/>
    </xf>
    <xf numFmtId="185" fontId="10" fillId="0" borderId="0" xfId="21" applyFont="1" applyAlignment="1">
      <alignment horizontal="center"/>
    </xf>
    <xf numFmtId="187" fontId="10" fillId="0" borderId="0" xfId="21" quotePrefix="1" applyNumberFormat="1" applyFont="1" applyAlignment="1">
      <alignment horizontal="center"/>
    </xf>
    <xf numFmtId="0" fontId="56" fillId="0" borderId="0" xfId="0" applyNumberFormat="1" applyFont="1" applyFill="1" applyAlignment="1">
      <alignment horizontal="center"/>
    </xf>
    <xf numFmtId="37" fontId="51" fillId="0" borderId="0" xfId="0" applyFont="1" applyFill="1"/>
    <xf numFmtId="44" fontId="51" fillId="0" borderId="0" xfId="11" applyFont="1" applyFill="1"/>
    <xf numFmtId="7" fontId="51" fillId="0" borderId="0" xfId="0" applyNumberFormat="1" applyFont="1" applyFill="1"/>
    <xf numFmtId="189" fontId="0" fillId="0" borderId="0" xfId="11" applyNumberFormat="1" applyFont="1" applyFill="1"/>
    <xf numFmtId="170" fontId="0" fillId="0" borderId="0" xfId="35" applyNumberFormat="1" applyFont="1" applyFill="1"/>
    <xf numFmtId="181" fontId="6" fillId="0" borderId="0" xfId="0" applyNumberFormat="1" applyFont="1" applyFill="1" applyAlignment="1">
      <alignment horizontal="center"/>
    </xf>
    <xf numFmtId="0" fontId="6" fillId="0" borderId="0" xfId="0" quotePrefix="1" applyNumberFormat="1" applyFont="1" applyFill="1" applyAlignment="1">
      <alignment horizontal="left"/>
    </xf>
    <xf numFmtId="43" fontId="6" fillId="0" borderId="0" xfId="6" applyFont="1" applyFill="1" applyBorder="1"/>
    <xf numFmtId="39" fontId="6" fillId="0" borderId="0" xfId="11" applyNumberFormat="1" applyFont="1" applyFill="1" applyBorder="1"/>
    <xf numFmtId="43" fontId="6" fillId="0" borderId="0" xfId="6" applyFont="1" applyFill="1"/>
    <xf numFmtId="39" fontId="6" fillId="0" borderId="0" xfId="11" applyNumberFormat="1" applyFont="1" applyFill="1"/>
    <xf numFmtId="185" fontId="32" fillId="0" borderId="0" xfId="0" applyNumberFormat="1" applyFont="1" applyFill="1" applyBorder="1"/>
    <xf numFmtId="185" fontId="6" fillId="0" borderId="0" xfId="0" applyNumberFormat="1" applyFont="1" applyFill="1" applyBorder="1"/>
    <xf numFmtId="44" fontId="6" fillId="0" borderId="0" xfId="54" applyFont="1" applyFill="1"/>
    <xf numFmtId="44" fontId="6" fillId="0" borderId="0" xfId="54" applyFont="1" applyFill="1" applyBorder="1"/>
    <xf numFmtId="44" fontId="6" fillId="0" borderId="0" xfId="11" applyFont="1" applyFill="1"/>
    <xf numFmtId="44" fontId="6" fillId="0" borderId="0" xfId="11" applyFont="1" applyFill="1" applyBorder="1"/>
    <xf numFmtId="43" fontId="6" fillId="0" borderId="0" xfId="229" applyFont="1" applyFill="1" applyAlignment="1">
      <alignment horizontal="center"/>
    </xf>
    <xf numFmtId="43" fontId="32" fillId="0" borderId="0" xfId="6" applyFont="1" applyFill="1" applyAlignment="1">
      <alignment horizontal="center"/>
    </xf>
    <xf numFmtId="43" fontId="32" fillId="0" borderId="4" xfId="6" applyFont="1" applyFill="1" applyBorder="1" applyAlignment="1">
      <alignment horizontal="center"/>
    </xf>
    <xf numFmtId="43" fontId="32" fillId="0" borderId="0" xfId="6" applyFont="1" applyFill="1" applyBorder="1" applyAlignment="1">
      <alignment horizontal="center"/>
    </xf>
    <xf numFmtId="43" fontId="6" fillId="0" borderId="4" xfId="6" applyFont="1" applyFill="1" applyBorder="1"/>
    <xf numFmtId="43" fontId="6" fillId="0" borderId="7" xfId="6" applyFont="1" applyFill="1" applyBorder="1"/>
    <xf numFmtId="181" fontId="32" fillId="0" borderId="0" xfId="52" applyNumberFormat="1" applyFont="1" applyFill="1" applyAlignment="1">
      <alignment horizontal="center"/>
    </xf>
    <xf numFmtId="43" fontId="32" fillId="0" borderId="0" xfId="53" applyFont="1" applyFill="1" applyAlignment="1">
      <alignment horizontal="center"/>
    </xf>
    <xf numFmtId="43" fontId="6" fillId="0" borderId="0" xfId="53" applyFont="1" applyFill="1"/>
    <xf numFmtId="43" fontId="32" fillId="0" borderId="4" xfId="53" applyFont="1" applyFill="1" applyBorder="1" applyAlignment="1">
      <alignment horizontal="center"/>
    </xf>
    <xf numFmtId="43" fontId="32" fillId="0" borderId="0" xfId="53" applyFont="1" applyFill="1" applyBorder="1" applyAlignment="1">
      <alignment horizontal="center"/>
    </xf>
    <xf numFmtId="43" fontId="6" fillId="0" borderId="0" xfId="53" applyFont="1" applyFill="1" applyBorder="1" applyAlignment="1">
      <alignment horizontal="center"/>
    </xf>
    <xf numFmtId="43" fontId="6" fillId="0" borderId="0" xfId="53" applyFont="1" applyFill="1" applyBorder="1"/>
    <xf numFmtId="0" fontId="6" fillId="0" borderId="0" xfId="52" applyFont="1" applyFill="1" applyBorder="1"/>
    <xf numFmtId="43" fontId="6" fillId="0" borderId="4" xfId="53" applyFont="1" applyFill="1" applyBorder="1"/>
    <xf numFmtId="43" fontId="6" fillId="0" borderId="7" xfId="53" applyFont="1" applyFill="1" applyBorder="1"/>
  </cellXfs>
  <cellStyles count="3115">
    <cellStyle name="_Row1" xfId="57"/>
    <cellStyle name="_Row1 2" xfId="163"/>
    <cellStyle name="20% - Accent1" xfId="3087" builtinId="30" customBuiltin="1"/>
    <cellStyle name="20% - Accent1 2" xfId="164"/>
    <cellStyle name="20% - Accent2" xfId="3091" builtinId="34" customBuiltin="1"/>
    <cellStyle name="20% - Accent2 2" xfId="165"/>
    <cellStyle name="20% - Accent3" xfId="3095" builtinId="38" customBuiltin="1"/>
    <cellStyle name="20% - Accent3 2" xfId="166"/>
    <cellStyle name="20% - Accent4" xfId="3099" builtinId="42" customBuiltin="1"/>
    <cellStyle name="20% - Accent4 2" xfId="58"/>
    <cellStyle name="20% - Accent4 2 2" xfId="220"/>
    <cellStyle name="20% - Accent4 2 2 2" xfId="516"/>
    <cellStyle name="20% - Accent4 2 2 2 2" xfId="1942"/>
    <cellStyle name="20% - Accent4 2 2 3" xfId="1785"/>
    <cellStyle name="20% - Accent4 2 3" xfId="221"/>
    <cellStyle name="20% - Accent4 2 3 2" xfId="517"/>
    <cellStyle name="20% - Accent4 2 3 2 2" xfId="1943"/>
    <cellStyle name="20% - Accent4 2 3 3" xfId="1786"/>
    <cellStyle name="20% - Accent4 2 4" xfId="222"/>
    <cellStyle name="20% - Accent4 2 4 2" xfId="518"/>
    <cellStyle name="20% - Accent4 2 4 2 2" xfId="1944"/>
    <cellStyle name="20% - Accent4 2 4 3" xfId="1787"/>
    <cellStyle name="20% - Accent4 2 5" xfId="396"/>
    <cellStyle name="20% - Accent4 2 5 2" xfId="1936"/>
    <cellStyle name="20% - Accent4 2 6" xfId="1642"/>
    <cellStyle name="20% - Accent4 3" xfId="160"/>
    <cellStyle name="20% - Accent4 3 2" xfId="223"/>
    <cellStyle name="20% - Accent4 3 2 2" xfId="519"/>
    <cellStyle name="20% - Accent4 3 2 2 2" xfId="1945"/>
    <cellStyle name="20% - Accent4 3 2 3" xfId="1788"/>
    <cellStyle name="20% - Accent4 3 3" xfId="224"/>
    <cellStyle name="20% - Accent4 3 3 2" xfId="520"/>
    <cellStyle name="20% - Accent4 3 3 2 2" xfId="1946"/>
    <cellStyle name="20% - Accent4 3 3 3" xfId="1789"/>
    <cellStyle name="20% - Accent4 3 4" xfId="225"/>
    <cellStyle name="20% - Accent4 3 4 2" xfId="521"/>
    <cellStyle name="20% - Accent4 3 4 2 2" xfId="1947"/>
    <cellStyle name="20% - Accent4 3 4 3" xfId="1790"/>
    <cellStyle name="20% - Accent4 3 5" xfId="472"/>
    <cellStyle name="20% - Accent4 3 5 2" xfId="1938"/>
    <cellStyle name="20% - Accent4 3 6" xfId="1729"/>
    <cellStyle name="20% - Accent4 4" xfId="162"/>
    <cellStyle name="20% - Accent4 4 2" xfId="226"/>
    <cellStyle name="20% - Accent4 4 2 2" xfId="522"/>
    <cellStyle name="20% - Accent4 4 2 2 2" xfId="1948"/>
    <cellStyle name="20% - Accent4 4 2 3" xfId="1791"/>
    <cellStyle name="20% - Accent4 4 3" xfId="227"/>
    <cellStyle name="20% - Accent4 4 3 2" xfId="523"/>
    <cellStyle name="20% - Accent4 4 3 2 2" xfId="1949"/>
    <cellStyle name="20% - Accent4 4 3 3" xfId="1792"/>
    <cellStyle name="20% - Accent4 4 4" xfId="228"/>
    <cellStyle name="20% - Accent4 4 4 2" xfId="524"/>
    <cellStyle name="20% - Accent4 4 4 2 2" xfId="1950"/>
    <cellStyle name="20% - Accent4 4 4 3" xfId="1793"/>
    <cellStyle name="20% - Accent4 4 5" xfId="473"/>
    <cellStyle name="20% - Accent4 4 5 2" xfId="1939"/>
    <cellStyle name="20% - Accent4 4 6" xfId="1731"/>
    <cellStyle name="20% - Accent4 5" xfId="167"/>
    <cellStyle name="20% - Accent5" xfId="3103" builtinId="46" customBuiltin="1"/>
    <cellStyle name="20% - Accent5 2" xfId="168"/>
    <cellStyle name="20% - Accent6" xfId="3107" builtinId="50" customBuiltin="1"/>
    <cellStyle name="20% - Accent6 2" xfId="169"/>
    <cellStyle name="40% - Accent1" xfId="3088" builtinId="31" customBuiltin="1"/>
    <cellStyle name="40% - Accent1 2" xfId="170"/>
    <cellStyle name="40% - Accent2" xfId="3092" builtinId="35" customBuiltin="1"/>
    <cellStyle name="40% - Accent2 2" xfId="171"/>
    <cellStyle name="40% - Accent3" xfId="3096" builtinId="39" customBuiltin="1"/>
    <cellStyle name="40% - Accent3 2" xfId="172"/>
    <cellStyle name="40% - Accent4" xfId="3100" builtinId="43" customBuiltin="1"/>
    <cellStyle name="40% - Accent4 2" xfId="173"/>
    <cellStyle name="40% - Accent5" xfId="3104" builtinId="47" customBuiltin="1"/>
    <cellStyle name="40% - Accent5 2" xfId="174"/>
    <cellStyle name="40% - Accent6" xfId="3108" builtinId="51" customBuiltin="1"/>
    <cellStyle name="40% - Accent6 2" xfId="175"/>
    <cellStyle name="60% - Accent1" xfId="3089" builtinId="32" customBuiltin="1"/>
    <cellStyle name="60% - Accent1 2" xfId="176"/>
    <cellStyle name="60% - Accent2" xfId="3093" builtinId="36" customBuiltin="1"/>
    <cellStyle name="60% - Accent2 2" xfId="177"/>
    <cellStyle name="60% - Accent3" xfId="3097" builtinId="40" customBuiltin="1"/>
    <cellStyle name="60% - Accent3 2" xfId="178"/>
    <cellStyle name="60% - Accent4" xfId="3101" builtinId="44" customBuiltin="1"/>
    <cellStyle name="60% - Accent4 2" xfId="179"/>
    <cellStyle name="60% - Accent5" xfId="3105" builtinId="48" customBuiltin="1"/>
    <cellStyle name="60% - Accent5 2" xfId="180"/>
    <cellStyle name="60% - Accent6" xfId="3109" builtinId="52" customBuiltin="1"/>
    <cellStyle name="60% - Accent6 2" xfId="181"/>
    <cellStyle name="Accent1" xfId="3086" builtinId="29" customBuiltin="1"/>
    <cellStyle name="Accent1 2" xfId="182"/>
    <cellStyle name="Accent2" xfId="3090" builtinId="33" customBuiltin="1"/>
    <cellStyle name="Accent2 2" xfId="183"/>
    <cellStyle name="Accent3" xfId="3094" builtinId="37" customBuiltin="1"/>
    <cellStyle name="Accent3 2" xfId="184"/>
    <cellStyle name="Accent4" xfId="3098" builtinId="41" customBuiltin="1"/>
    <cellStyle name="Accent4 2" xfId="185"/>
    <cellStyle name="Accent5" xfId="3102" builtinId="45" customBuiltin="1"/>
    <cellStyle name="Accent5 2" xfId="186"/>
    <cellStyle name="Accent6" xfId="3106" builtinId="49" customBuiltin="1"/>
    <cellStyle name="Accent6 2" xfId="187"/>
    <cellStyle name="Bad" xfId="3077" builtinId="27" customBuiltin="1"/>
    <cellStyle name="Bad 2" xfId="188"/>
    <cellStyle name="Calculation" xfId="3081" builtinId="22" customBuiltin="1"/>
    <cellStyle name="Calculation 10" xfId="312"/>
    <cellStyle name="Calculation 10 10" xfId="2859"/>
    <cellStyle name="Calculation 10 2" xfId="868"/>
    <cellStyle name="Calculation 10 2 2" xfId="586"/>
    <cellStyle name="Calculation 10 2 3" xfId="1251"/>
    <cellStyle name="Calculation 10 2 4" xfId="1220"/>
    <cellStyle name="Calculation 10 2 5" xfId="1570"/>
    <cellStyle name="Calculation 10 2 6" xfId="2358"/>
    <cellStyle name="Calculation 10 2 7" xfId="2681"/>
    <cellStyle name="Calculation 10 2 8" xfId="2085"/>
    <cellStyle name="Calculation 10 2 9" xfId="2993"/>
    <cellStyle name="Calculation 10 3" xfId="679"/>
    <cellStyle name="Calculation 10 4" xfId="1127"/>
    <cellStyle name="Calculation 10 5" xfId="422"/>
    <cellStyle name="Calculation 10 6" xfId="1436"/>
    <cellStyle name="Calculation 10 7" xfId="1725"/>
    <cellStyle name="Calculation 10 8" xfId="2215"/>
    <cellStyle name="Calculation 10 9" xfId="2872"/>
    <cellStyle name="Calculation 11" xfId="334"/>
    <cellStyle name="Calculation 11 10" xfId="2922"/>
    <cellStyle name="Calculation 11 2" xfId="890"/>
    <cellStyle name="Calculation 11 2 2" xfId="1068"/>
    <cellStyle name="Calculation 11 2 3" xfId="1273"/>
    <cellStyle name="Calculation 11 2 4" xfId="1015"/>
    <cellStyle name="Calculation 11 2 5" xfId="1592"/>
    <cellStyle name="Calculation 11 2 6" xfId="2380"/>
    <cellStyle name="Calculation 11 2 7" xfId="2703"/>
    <cellStyle name="Calculation 11 2 8" xfId="2125"/>
    <cellStyle name="Calculation 11 2 9" xfId="3014"/>
    <cellStyle name="Calculation 11 3" xfId="802"/>
    <cellStyle name="Calculation 11 4" xfId="1149"/>
    <cellStyle name="Calculation 11 5" xfId="1057"/>
    <cellStyle name="Calculation 11 6" xfId="530"/>
    <cellStyle name="Calculation 11 7" xfId="2165"/>
    <cellStyle name="Calculation 11 8" xfId="2476"/>
    <cellStyle name="Calculation 11 9" xfId="2861"/>
    <cellStyle name="Calculation 12" xfId="316"/>
    <cellStyle name="Calculation 12 10" xfId="1991"/>
    <cellStyle name="Calculation 12 2" xfId="872"/>
    <cellStyle name="Calculation 12 2 2" xfId="687"/>
    <cellStyle name="Calculation 12 2 3" xfId="1255"/>
    <cellStyle name="Calculation 12 2 4" xfId="1366"/>
    <cellStyle name="Calculation 12 2 5" xfId="1574"/>
    <cellStyle name="Calculation 12 2 6" xfId="2362"/>
    <cellStyle name="Calculation 12 2 7" xfId="2685"/>
    <cellStyle name="Calculation 12 2 8" xfId="2557"/>
    <cellStyle name="Calculation 12 2 9" xfId="2966"/>
    <cellStyle name="Calculation 12 3" xfId="538"/>
    <cellStyle name="Calculation 12 4" xfId="1131"/>
    <cellStyle name="Calculation 12 5" xfId="423"/>
    <cellStyle name="Calculation 12 6" xfId="1437"/>
    <cellStyle name="Calculation 12 7" xfId="2280"/>
    <cellStyle name="Calculation 12 8" xfId="2435"/>
    <cellStyle name="Calculation 12 9" xfId="2800"/>
    <cellStyle name="Calculation 13" xfId="330"/>
    <cellStyle name="Calculation 13 10" xfId="2936"/>
    <cellStyle name="Calculation 13 2" xfId="886"/>
    <cellStyle name="Calculation 13 2 2" xfId="729"/>
    <cellStyle name="Calculation 13 2 3" xfId="1269"/>
    <cellStyle name="Calculation 13 2 4" xfId="753"/>
    <cellStyle name="Calculation 13 2 5" xfId="1588"/>
    <cellStyle name="Calculation 13 2 6" xfId="2376"/>
    <cellStyle name="Calculation 13 2 7" xfId="2699"/>
    <cellStyle name="Calculation 13 2 8" xfId="2473"/>
    <cellStyle name="Calculation 13 2 9" xfId="2916"/>
    <cellStyle name="Calculation 13 3" xfId="534"/>
    <cellStyle name="Calculation 13 4" xfId="1145"/>
    <cellStyle name="Calculation 13 5" xfId="572"/>
    <cellStyle name="Calculation 13 6" xfId="1402"/>
    <cellStyle name="Calculation 13 7" xfId="2169"/>
    <cellStyle name="Calculation 13 8" xfId="2493"/>
    <cellStyle name="Calculation 13 9" xfId="2810"/>
    <cellStyle name="Calculation 14" xfId="317"/>
    <cellStyle name="Calculation 14 10" xfId="2320"/>
    <cellStyle name="Calculation 14 2" xfId="873"/>
    <cellStyle name="Calculation 14 2 2" xfId="1056"/>
    <cellStyle name="Calculation 14 2 3" xfId="1256"/>
    <cellStyle name="Calculation 14 2 4" xfId="1377"/>
    <cellStyle name="Calculation 14 2 5" xfId="1575"/>
    <cellStyle name="Calculation 14 2 6" xfId="2363"/>
    <cellStyle name="Calculation 14 2 7" xfId="2686"/>
    <cellStyle name="Calculation 14 2 8" xfId="2784"/>
    <cellStyle name="Calculation 14 2 9" xfId="2310"/>
    <cellStyle name="Calculation 14 3" xfId="651"/>
    <cellStyle name="Calculation 14 4" xfId="1132"/>
    <cellStyle name="Calculation 14 5" xfId="1413"/>
    <cellStyle name="Calculation 14 6" xfId="971"/>
    <cellStyle name="Calculation 14 7" xfId="2153"/>
    <cellStyle name="Calculation 14 8" xfId="2329"/>
    <cellStyle name="Calculation 14 9" xfId="2282"/>
    <cellStyle name="Calculation 15" xfId="328"/>
    <cellStyle name="Calculation 15 10" xfId="2951"/>
    <cellStyle name="Calculation 15 2" xfId="884"/>
    <cellStyle name="Calculation 15 2 2" xfId="587"/>
    <cellStyle name="Calculation 15 2 3" xfId="1267"/>
    <cellStyle name="Calculation 15 2 4" xfId="487"/>
    <cellStyle name="Calculation 15 2 5" xfId="1586"/>
    <cellStyle name="Calculation 15 2 6" xfId="2374"/>
    <cellStyle name="Calculation 15 2 7" xfId="2697"/>
    <cellStyle name="Calculation 15 2 8" xfId="1985"/>
    <cellStyle name="Calculation 15 2 9" xfId="1718"/>
    <cellStyle name="Calculation 15 3" xfId="660"/>
    <cellStyle name="Calculation 15 4" xfId="1143"/>
    <cellStyle name="Calculation 15 5" xfId="554"/>
    <cellStyle name="Calculation 15 6" xfId="798"/>
    <cellStyle name="Calculation 15 7" xfId="2267"/>
    <cellStyle name="Calculation 15 8" xfId="2582"/>
    <cellStyle name="Calculation 15 9" xfId="2812"/>
    <cellStyle name="Calculation 16" xfId="354"/>
    <cellStyle name="Calculation 16 10" xfId="3024"/>
    <cellStyle name="Calculation 16 2" xfId="908"/>
    <cellStyle name="Calculation 16 2 2" xfId="474"/>
    <cellStyle name="Calculation 16 2 3" xfId="1290"/>
    <cellStyle name="Calculation 16 2 4" xfId="1461"/>
    <cellStyle name="Calculation 16 2 5" xfId="1608"/>
    <cellStyle name="Calculation 16 2 6" xfId="2397"/>
    <cellStyle name="Calculation 16 2 7" xfId="2719"/>
    <cellStyle name="Calculation 16 2 8" xfId="2284"/>
    <cellStyle name="Calculation 16 2 9" xfId="3040"/>
    <cellStyle name="Calculation 16 3" xfId="589"/>
    <cellStyle name="Calculation 16 4" xfId="1169"/>
    <cellStyle name="Calculation 16 5" xfId="433"/>
    <cellStyle name="Calculation 16 6" xfId="1508"/>
    <cellStyle name="Calculation 16 7" xfId="2131"/>
    <cellStyle name="Calculation 16 8" xfId="2316"/>
    <cellStyle name="Calculation 16 9" xfId="2790"/>
    <cellStyle name="Calculation 17" xfId="367"/>
    <cellStyle name="Calculation 17 10" xfId="2519"/>
    <cellStyle name="Calculation 17 2" xfId="919"/>
    <cellStyle name="Calculation 17 2 2" xfId="591"/>
    <cellStyle name="Calculation 17 2 3" xfId="1301"/>
    <cellStyle name="Calculation 17 2 4" xfId="1471"/>
    <cellStyle name="Calculation 17 2 5" xfId="1618"/>
    <cellStyle name="Calculation 17 2 6" xfId="2409"/>
    <cellStyle name="Calculation 17 2 7" xfId="2730"/>
    <cellStyle name="Calculation 17 2 8" xfId="2753"/>
    <cellStyle name="Calculation 17 2 9" xfId="3050"/>
    <cellStyle name="Calculation 17 3" xfId="704"/>
    <cellStyle name="Calculation 17 4" xfId="1181"/>
    <cellStyle name="Calculation 17 5" xfId="1384"/>
    <cellStyle name="Calculation 17 6" xfId="1518"/>
    <cellStyle name="Calculation 17 7" xfId="1840"/>
    <cellStyle name="Calculation 17 8" xfId="1717"/>
    <cellStyle name="Calculation 17 9" xfId="2507"/>
    <cellStyle name="Calculation 18" xfId="369"/>
    <cellStyle name="Calculation 18 10" xfId="2115"/>
    <cellStyle name="Calculation 18 2" xfId="921"/>
    <cellStyle name="Calculation 18 2 2" xfId="972"/>
    <cellStyle name="Calculation 18 2 3" xfId="1303"/>
    <cellStyle name="Calculation 18 2 4" xfId="1473"/>
    <cellStyle name="Calculation 18 2 5" xfId="1620"/>
    <cellStyle name="Calculation 18 2 6" xfId="2411"/>
    <cellStyle name="Calculation 18 2 7" xfId="2732"/>
    <cellStyle name="Calculation 18 2 8" xfId="2646"/>
    <cellStyle name="Calculation 18 2 9" xfId="3052"/>
    <cellStyle name="Calculation 18 3" xfId="483"/>
    <cellStyle name="Calculation 18 4" xfId="1183"/>
    <cellStyle name="Calculation 18 5" xfId="1381"/>
    <cellStyle name="Calculation 18 6" xfId="1520"/>
    <cellStyle name="Calculation 18 7" xfId="1843"/>
    <cellStyle name="Calculation 18 8" xfId="1716"/>
    <cellStyle name="Calculation 18 9" xfId="2763"/>
    <cellStyle name="Calculation 19" xfId="371"/>
    <cellStyle name="Calculation 19 10" xfId="1839"/>
    <cellStyle name="Calculation 19 2" xfId="923"/>
    <cellStyle name="Calculation 19 2 2" xfId="723"/>
    <cellStyle name="Calculation 19 2 3" xfId="1305"/>
    <cellStyle name="Calculation 19 2 4" xfId="1475"/>
    <cellStyle name="Calculation 19 2 5" xfId="1622"/>
    <cellStyle name="Calculation 19 2 6" xfId="2413"/>
    <cellStyle name="Calculation 19 2 7" xfId="2734"/>
    <cellStyle name="Calculation 19 2 8" xfId="2643"/>
    <cellStyle name="Calculation 19 2 9" xfId="3054"/>
    <cellStyle name="Calculation 19 3" xfId="1025"/>
    <cellStyle name="Calculation 19 4" xfId="1185"/>
    <cellStyle name="Calculation 19 5" xfId="994"/>
    <cellStyle name="Calculation 19 6" xfId="1522"/>
    <cellStyle name="Calculation 19 7" xfId="1935"/>
    <cellStyle name="Calculation 19 8" xfId="1714"/>
    <cellStyle name="Calculation 19 9" xfId="2545"/>
    <cellStyle name="Calculation 2" xfId="189"/>
    <cellStyle name="Calculation 2 2" xfId="825"/>
    <cellStyle name="Calculation 2 2 2" xfId="1067"/>
    <cellStyle name="Calculation 2 2 3" xfId="1207"/>
    <cellStyle name="Calculation 2 2 4" xfId="1392"/>
    <cellStyle name="Calculation 2 2 5" xfId="1543"/>
    <cellStyle name="Calculation 2 2 6" xfId="1726"/>
    <cellStyle name="Calculation 2 2 7" xfId="1906"/>
    <cellStyle name="Calculation 2 2 8" xfId="2783"/>
    <cellStyle name="Calculation 2 2 9" xfId="2921"/>
    <cellStyle name="Calculation 2 3" xfId="409"/>
    <cellStyle name="Calculation 2 4" xfId="672"/>
    <cellStyle name="Calculation 2 5" xfId="781"/>
    <cellStyle name="Calculation 2 6" xfId="2216"/>
    <cellStyle name="Calculation 2 7" xfId="2540"/>
    <cellStyle name="Calculation 2 8" xfId="2406"/>
    <cellStyle name="Calculation 20" xfId="373"/>
    <cellStyle name="Calculation 20 10" xfId="2931"/>
    <cellStyle name="Calculation 20 2" xfId="925"/>
    <cellStyle name="Calculation 20 2 2" xfId="727"/>
    <cellStyle name="Calculation 20 2 3" xfId="1307"/>
    <cellStyle name="Calculation 20 2 4" xfId="1477"/>
    <cellStyle name="Calculation 20 2 5" xfId="1624"/>
    <cellStyle name="Calculation 20 2 6" xfId="2415"/>
    <cellStyle name="Calculation 20 2 7" xfId="2736"/>
    <cellStyle name="Calculation 20 2 8" xfId="2604"/>
    <cellStyle name="Calculation 20 2 9" xfId="3056"/>
    <cellStyle name="Calculation 20 3" xfId="430"/>
    <cellStyle name="Calculation 20 4" xfId="1187"/>
    <cellStyle name="Calculation 20 5" xfId="1364"/>
    <cellStyle name="Calculation 20 6" xfId="1524"/>
    <cellStyle name="Calculation 20 7" xfId="1651"/>
    <cellStyle name="Calculation 20 8" xfId="1713"/>
    <cellStyle name="Calculation 20 9" xfId="2632"/>
    <cellStyle name="Calculation 21" xfId="375"/>
    <cellStyle name="Calculation 21 10" xfId="2933"/>
    <cellStyle name="Calculation 21 2" xfId="927"/>
    <cellStyle name="Calculation 21 2 2" xfId="708"/>
    <cellStyle name="Calculation 21 2 3" xfId="1309"/>
    <cellStyle name="Calculation 21 2 4" xfId="1479"/>
    <cellStyle name="Calculation 21 2 5" xfId="1626"/>
    <cellStyle name="Calculation 21 2 6" xfId="2417"/>
    <cellStyle name="Calculation 21 2 7" xfId="2738"/>
    <cellStyle name="Calculation 21 2 8" xfId="2091"/>
    <cellStyle name="Calculation 21 2 9" xfId="3058"/>
    <cellStyle name="Calculation 21 3" xfId="750"/>
    <cellStyle name="Calculation 21 4" xfId="1189"/>
    <cellStyle name="Calculation 21 5" xfId="1380"/>
    <cellStyle name="Calculation 21 6" xfId="1526"/>
    <cellStyle name="Calculation 21 7" xfId="1800"/>
    <cellStyle name="Calculation 21 8" xfId="1712"/>
    <cellStyle name="Calculation 21 9" xfId="2616"/>
    <cellStyle name="Calculation 22" xfId="377"/>
    <cellStyle name="Calculation 22 2" xfId="1075"/>
    <cellStyle name="Calculation 22 3" xfId="1191"/>
    <cellStyle name="Calculation 22 4" xfId="1379"/>
    <cellStyle name="Calculation 22 5" xfId="1528"/>
    <cellStyle name="Calculation 22 6" xfId="1652"/>
    <cellStyle name="Calculation 22 7" xfId="1711"/>
    <cellStyle name="Calculation 22 8" xfId="2587"/>
    <cellStyle name="Calculation 22 9" xfId="2986"/>
    <cellStyle name="Calculation 3" xfId="342"/>
    <cellStyle name="Calculation 3 2" xfId="897"/>
    <cellStyle name="Calculation 3 2 2" xfId="590"/>
    <cellStyle name="Calculation 3 2 3" xfId="1280"/>
    <cellStyle name="Calculation 3 2 4" xfId="496"/>
    <cellStyle name="Calculation 3 2 5" xfId="1599"/>
    <cellStyle name="Calculation 3 2 6" xfId="2387"/>
    <cellStyle name="Calculation 3 2 7" xfId="2710"/>
    <cellStyle name="Calculation 3 2 8" xfId="2767"/>
    <cellStyle name="Calculation 3 2 9" xfId="1674"/>
    <cellStyle name="Calculation 3 3" xfId="1013"/>
    <cellStyle name="Calculation 3 4" xfId="1157"/>
    <cellStyle name="Calculation 3 5" xfId="751"/>
    <cellStyle name="Calculation 3 6" xfId="1498"/>
    <cellStyle name="Calculation 3 7" xfId="2159"/>
    <cellStyle name="Calculation 3 8" xfId="2454"/>
    <cellStyle name="Calculation 3 9" xfId="2129"/>
    <cellStyle name="Calculation 4" xfId="309"/>
    <cellStyle name="Calculation 4 10" xfId="2939"/>
    <cellStyle name="Calculation 4 2" xfId="866"/>
    <cellStyle name="Calculation 4 2 2" xfId="955"/>
    <cellStyle name="Calculation 4 2 3" xfId="1249"/>
    <cellStyle name="Calculation 4 2 4" xfId="1064"/>
    <cellStyle name="Calculation 4 2 5" xfId="1568"/>
    <cellStyle name="Calculation 4 2 6" xfId="2356"/>
    <cellStyle name="Calculation 4 2 7" xfId="2679"/>
    <cellStyle name="Calculation 4 2 8" xfId="2650"/>
    <cellStyle name="Calculation 4 2 9" xfId="2924"/>
    <cellStyle name="Calculation 4 3" xfId="1055"/>
    <cellStyle name="Calculation 4 4" xfId="1124"/>
    <cellStyle name="Calculation 4 5" xfId="1417"/>
    <cellStyle name="Calculation 4 6" xfId="1342"/>
    <cellStyle name="Calculation 4 7" xfId="1997"/>
    <cellStyle name="Calculation 4 8" xfId="2583"/>
    <cellStyle name="Calculation 4 9" xfId="2766"/>
    <cellStyle name="Calculation 5" xfId="335"/>
    <cellStyle name="Calculation 5 10" xfId="3007"/>
    <cellStyle name="Calculation 5 2" xfId="891"/>
    <cellStyle name="Calculation 5 2 2" xfId="818"/>
    <cellStyle name="Calculation 5 2 3" xfId="1274"/>
    <cellStyle name="Calculation 5 2 4" xfId="1370"/>
    <cellStyle name="Calculation 5 2 5" xfId="1593"/>
    <cellStyle name="Calculation 5 2 6" xfId="2381"/>
    <cellStyle name="Calculation 5 2 7" xfId="2704"/>
    <cellStyle name="Calculation 5 2 8" xfId="2103"/>
    <cellStyle name="Calculation 5 2 9" xfId="1872"/>
    <cellStyle name="Calculation 5 3" xfId="1061"/>
    <cellStyle name="Calculation 5 4" xfId="1150"/>
    <cellStyle name="Calculation 5 5" xfId="618"/>
    <cellStyle name="Calculation 5 6" xfId="454"/>
    <cellStyle name="Calculation 5 7" xfId="2193"/>
    <cellStyle name="Calculation 5 8" xfId="2523"/>
    <cellStyle name="Calculation 5 9" xfId="2118"/>
    <cellStyle name="Calculation 6" xfId="292"/>
    <cellStyle name="Calculation 6 10" xfId="3017"/>
    <cellStyle name="Calculation 6 2" xfId="849"/>
    <cellStyle name="Calculation 6 2 2" xfId="418"/>
    <cellStyle name="Calculation 6 2 3" xfId="1232"/>
    <cellStyle name="Calculation 6 2 4" xfId="1215"/>
    <cellStyle name="Calculation 6 2 5" xfId="1551"/>
    <cellStyle name="Calculation 6 2 6" xfId="2339"/>
    <cellStyle name="Calculation 6 2 7" xfId="2662"/>
    <cellStyle name="Calculation 6 2 8" xfId="2554"/>
    <cellStyle name="Calculation 6 2 9" xfId="2758"/>
    <cellStyle name="Calculation 6 3" xfId="461"/>
    <cellStyle name="Calculation 6 4" xfId="1107"/>
    <cellStyle name="Calculation 6 5" xfId="1420"/>
    <cellStyle name="Calculation 6 6" xfId="584"/>
    <cellStyle name="Calculation 6 7" xfId="1752"/>
    <cellStyle name="Calculation 6 8" xfId="1886"/>
    <cellStyle name="Calculation 6 9" xfId="2769"/>
    <cellStyle name="Calculation 7" xfId="362"/>
    <cellStyle name="Calculation 7 10" xfId="2984"/>
    <cellStyle name="Calculation 7 2" xfId="915"/>
    <cellStyle name="Calculation 7 2 2" xfId="954"/>
    <cellStyle name="Calculation 7 2 3" xfId="1297"/>
    <cellStyle name="Calculation 7 2 4" xfId="1468"/>
    <cellStyle name="Calculation 7 2 5" xfId="1615"/>
    <cellStyle name="Calculation 7 2 6" xfId="2404"/>
    <cellStyle name="Calculation 7 2 7" xfId="2726"/>
    <cellStyle name="Calculation 7 2 8" xfId="1861"/>
    <cellStyle name="Calculation 7 2 9" xfId="3047"/>
    <cellStyle name="Calculation 7 3" xfId="743"/>
    <cellStyle name="Calculation 7 4" xfId="1176"/>
    <cellStyle name="Calculation 7 5" xfId="1448"/>
    <cellStyle name="Calculation 7 6" xfId="1515"/>
    <cellStyle name="Calculation 7 7" xfId="1648"/>
    <cellStyle name="Calculation 7 8" xfId="1834"/>
    <cellStyle name="Calculation 7 9" xfId="2911"/>
    <cellStyle name="Calculation 8" xfId="303"/>
    <cellStyle name="Calculation 8 10" xfId="2977"/>
    <cellStyle name="Calculation 8 2" xfId="860"/>
    <cellStyle name="Calculation 8 2 2" xfId="701"/>
    <cellStyle name="Calculation 8 2 3" xfId="1243"/>
    <cellStyle name="Calculation 8 2 4" xfId="1027"/>
    <cellStyle name="Calculation 8 2 5" xfId="1562"/>
    <cellStyle name="Calculation 8 2 6" xfId="2350"/>
    <cellStyle name="Calculation 8 2 7" xfId="2673"/>
    <cellStyle name="Calculation 8 2 8" xfId="2001"/>
    <cellStyle name="Calculation 8 2 9" xfId="1803"/>
    <cellStyle name="Calculation 8 3" xfId="485"/>
    <cellStyle name="Calculation 8 4" xfId="1118"/>
    <cellStyle name="Calculation 8 5" xfId="1368"/>
    <cellStyle name="Calculation 8 6" xfId="1051"/>
    <cellStyle name="Calculation 8 7" xfId="2148"/>
    <cellStyle name="Calculation 8 8" xfId="2460"/>
    <cellStyle name="Calculation 8 9" xfId="2775"/>
    <cellStyle name="Calculation 9" xfId="359"/>
    <cellStyle name="Calculation 9 10" xfId="2498"/>
    <cellStyle name="Calculation 9 2" xfId="912"/>
    <cellStyle name="Calculation 9 2 2" xfId="959"/>
    <cellStyle name="Calculation 9 2 3" xfId="1294"/>
    <cellStyle name="Calculation 9 2 4" xfId="1465"/>
    <cellStyle name="Calculation 9 2 5" xfId="1612"/>
    <cellStyle name="Calculation 9 2 6" xfId="2401"/>
    <cellStyle name="Calculation 9 2 7" xfId="2723"/>
    <cellStyle name="Calculation 9 2 8" xfId="2312"/>
    <cellStyle name="Calculation 9 2 9" xfId="3044"/>
    <cellStyle name="Calculation 9 3" xfId="505"/>
    <cellStyle name="Calculation 9 4" xfId="1173"/>
    <cellStyle name="Calculation 9 5" xfId="1452"/>
    <cellStyle name="Calculation 9 6" xfId="1512"/>
    <cellStyle name="Calculation 9 7" xfId="1645"/>
    <cellStyle name="Calculation 9 8" xfId="1721"/>
    <cellStyle name="Calculation 9 9" xfId="2907"/>
    <cellStyle name="Check Cell" xfId="3083" builtinId="23" customBuiltin="1"/>
    <cellStyle name="Check Cell 2" xfId="190"/>
    <cellStyle name="CodeEingabe" xfId="59"/>
    <cellStyle name="ColumnAttributeAbovePrompt" xfId="1"/>
    <cellStyle name="ColumnAttributeAbovePrompt 2" xfId="60"/>
    <cellStyle name="ColumnAttributePrompt" xfId="2"/>
    <cellStyle name="ColumnAttributePrompt 2" xfId="61"/>
    <cellStyle name="ColumnAttributeValue" xfId="3"/>
    <cellStyle name="ColumnAttributeValue 2" xfId="62"/>
    <cellStyle name="ColumnHeadingPrompt" xfId="4"/>
    <cellStyle name="ColumnHeadingPrompt 2" xfId="63"/>
    <cellStyle name="ColumnHeadingValue" xfId="5"/>
    <cellStyle name="ColumnHeadingValue 2" xfId="64"/>
    <cellStyle name="Comma" xfId="6" builtinId="3"/>
    <cellStyle name="Comma 2" xfId="7"/>
    <cellStyle name="Comma 2 2" xfId="229"/>
    <cellStyle name="Comma 2 2 2" xfId="365"/>
    <cellStyle name="Comma 2 2 2 2" xfId="621"/>
    <cellStyle name="Comma 2 2 2 2 2" xfId="2022"/>
    <cellStyle name="Comma 2 2 2 3" xfId="1904"/>
    <cellStyle name="Comma 2 3" xfId="66"/>
    <cellStyle name="Comma 2 3 2" xfId="353"/>
    <cellStyle name="Comma 2 3 2 2" xfId="907"/>
    <cellStyle name="Comma 2 3 2 3" xfId="2014"/>
    <cellStyle name="Comma 2 3 3" xfId="613"/>
    <cellStyle name="Comma 2 3 4" xfId="1894"/>
    <cellStyle name="Comma 3" xfId="53"/>
    <cellStyle name="Comma 3 2" xfId="230"/>
    <cellStyle name="Comma 3 2 2" xfId="525"/>
    <cellStyle name="Comma 3 2 2 2" xfId="1951"/>
    <cellStyle name="Comma 3 2 3" xfId="1795"/>
    <cellStyle name="Comma 3 3" xfId="231"/>
    <cellStyle name="Comma 3 3 2" xfId="526"/>
    <cellStyle name="Comma 3 3 2 2" xfId="1952"/>
    <cellStyle name="Comma 3 3 3" xfId="1796"/>
    <cellStyle name="Comma 3 4" xfId="232"/>
    <cellStyle name="Comma 3 4 2" xfId="527"/>
    <cellStyle name="Comma 3 4 2 2" xfId="1953"/>
    <cellStyle name="Comma 3 4 3" xfId="1797"/>
    <cellStyle name="Comma 3 5" xfId="159"/>
    <cellStyle name="Comma 3 5 2" xfId="394"/>
    <cellStyle name="Comma 3 6" xfId="471"/>
    <cellStyle name="Comma 3 6 2" xfId="1937"/>
    <cellStyle name="Comma 3 7" xfId="1728"/>
    <cellStyle name="Comma 4" xfId="233"/>
    <cellStyle name="Comma 4 2" xfId="234"/>
    <cellStyle name="Comma 4 2 2" xfId="529"/>
    <cellStyle name="Comma 4 2 2 2" xfId="1955"/>
    <cellStyle name="Comma 4 2 3" xfId="1799"/>
    <cellStyle name="Comma 4 3" xfId="528"/>
    <cellStyle name="Comma 4 3 2" xfId="1954"/>
    <cellStyle name="Comma 4 4" xfId="1798"/>
    <cellStyle name="Comma 5" xfId="278"/>
    <cellStyle name="Comma 5 2" xfId="838"/>
    <cellStyle name="Comma 6" xfId="283"/>
    <cellStyle name="Comma 6 2" xfId="842"/>
    <cellStyle name="Comma 7" xfId="8"/>
    <cellStyle name="Comma 7 2" xfId="279"/>
    <cellStyle name="Comma 7 2 2" xfId="641"/>
    <cellStyle name="Comma 7 2 2 2" xfId="2049"/>
    <cellStyle name="Comma 7 2 3" xfId="1932"/>
    <cellStyle name="Comma 7 3" xfId="556"/>
    <cellStyle name="Comma 7 3 2" xfId="1959"/>
    <cellStyle name="Comma 7 4" xfId="946"/>
    <cellStyle name="Comma 7 4 2" xfId="2052"/>
    <cellStyle name="Comma 7 5" xfId="1092"/>
    <cellStyle name="Comma 7 5 2" xfId="2055"/>
    <cellStyle name="Comma 7 6" xfId="1096"/>
    <cellStyle name="Comma 7 6 2" xfId="2059"/>
    <cellStyle name="Comma 7 7" xfId="1841"/>
    <cellStyle name="Comma 8" xfId="285"/>
    <cellStyle name="Comma 8 2" xfId="561"/>
    <cellStyle name="Comma 8 2 2" xfId="1962"/>
    <cellStyle name="Comma 8 3" xfId="1845"/>
    <cellStyle name="Comma 9" xfId="65"/>
    <cellStyle name="Comma 9 2" xfId="821"/>
    <cellStyle name="Comma_KU COS Print File 2003q3" xfId="9"/>
    <cellStyle name="Comma0" xfId="10"/>
    <cellStyle name="Comma0 2" xfId="67"/>
    <cellStyle name="Currency" xfId="11" builtinId="4"/>
    <cellStyle name="Currency [0]" xfId="12" builtinId="7"/>
    <cellStyle name="Currency 2" xfId="54"/>
    <cellStyle name="Currency 2 2" xfId="235"/>
    <cellStyle name="Currency 2 3" xfId="236"/>
    <cellStyle name="Currency 3" xfId="284"/>
    <cellStyle name="Currency 3 2" xfId="560"/>
    <cellStyle name="Currency 3 2 2" xfId="1961"/>
    <cellStyle name="Currency 3 3" xfId="1844"/>
    <cellStyle name="Currency 4" xfId="68"/>
    <cellStyle name="Currency 4 2" xfId="393"/>
    <cellStyle name="Currency 4 2 2" xfId="943"/>
    <cellStyle name="Currency 4 2 3" xfId="2048"/>
    <cellStyle name="Currency 4 3" xfId="640"/>
    <cellStyle name="Currency 4 4" xfId="1931"/>
    <cellStyle name="Currency 5" xfId="945"/>
    <cellStyle name="Currency 5 2" xfId="2051"/>
    <cellStyle name="Currency 6" xfId="1091"/>
    <cellStyle name="Currency 6 2" xfId="2054"/>
    <cellStyle name="Currency 7" xfId="1095"/>
    <cellStyle name="Currency 7 2" xfId="2058"/>
    <cellStyle name="Currency0" xfId="13"/>
    <cellStyle name="Date" xfId="14"/>
    <cellStyle name="Eingabe" xfId="69"/>
    <cellStyle name="Eingabe 2" xfId="191"/>
    <cellStyle name="Euro" xfId="70"/>
    <cellStyle name="Euro 2" xfId="237"/>
    <cellStyle name="Explanatory Text" xfId="3085" builtinId="53" customBuiltin="1"/>
    <cellStyle name="Explanatory Text 2" xfId="192"/>
    <cellStyle name="F2" xfId="71"/>
    <cellStyle name="F3" xfId="72"/>
    <cellStyle name="F4" xfId="73"/>
    <cellStyle name="F5" xfId="74"/>
    <cellStyle name="F6" xfId="75"/>
    <cellStyle name="F6 2" xfId="280"/>
    <cellStyle name="F7" xfId="76"/>
    <cellStyle name="F8" xfId="77"/>
    <cellStyle name="Fixed" xfId="15"/>
    <cellStyle name="Good" xfId="3076" builtinId="26" customBuiltin="1"/>
    <cellStyle name="Good 2" xfId="193"/>
    <cellStyle name="Heading 1" xfId="16" builtinId="16" customBuiltin="1"/>
    <cellStyle name="Heading 1 2" xfId="194"/>
    <cellStyle name="Heading 1 3" xfId="3111"/>
    <cellStyle name="Heading 2" xfId="17" builtinId="17" customBuiltin="1"/>
    <cellStyle name="Heading 2 2" xfId="195"/>
    <cellStyle name="Heading 2 3" xfId="3112"/>
    <cellStyle name="Heading 3" xfId="3074" builtinId="18" customBuiltin="1"/>
    <cellStyle name="Heading 3 2" xfId="196"/>
    <cellStyle name="Heading 4" xfId="3075" builtinId="19" customBuiltin="1"/>
    <cellStyle name="Heading 4 2" xfId="197"/>
    <cellStyle name="Input" xfId="3079" builtinId="20" customBuiltin="1"/>
    <cellStyle name="Input 10" xfId="308"/>
    <cellStyle name="Input 10 10" xfId="2618"/>
    <cellStyle name="Input 10 2" xfId="865"/>
    <cellStyle name="Input 10 2 2" xfId="1007"/>
    <cellStyle name="Input 10 2 3" xfId="1248"/>
    <cellStyle name="Input 10 2 4" xfId="407"/>
    <cellStyle name="Input 10 2 5" xfId="1567"/>
    <cellStyle name="Input 10 2 6" xfId="2355"/>
    <cellStyle name="Input 10 2 7" xfId="2678"/>
    <cellStyle name="Input 10 2 8" xfId="2782"/>
    <cellStyle name="Input 10 2 9" xfId="1814"/>
    <cellStyle name="Input 10 3" xfId="634"/>
    <cellStyle name="Input 10 4" xfId="1123"/>
    <cellStyle name="Input 10 5" xfId="996"/>
    <cellStyle name="Input 10 6" xfId="1396"/>
    <cellStyle name="Input 10 7" xfId="1877"/>
    <cellStyle name="Input 10 8" xfId="2475"/>
    <cellStyle name="Input 10 9" xfId="2841"/>
    <cellStyle name="Input 11" xfId="357"/>
    <cellStyle name="Input 11 10" xfId="2551"/>
    <cellStyle name="Input 11 2" xfId="910"/>
    <cellStyle name="Input 11 2 2" xfId="448"/>
    <cellStyle name="Input 11 2 3" xfId="1292"/>
    <cellStyle name="Input 11 2 4" xfId="1463"/>
    <cellStyle name="Input 11 2 5" xfId="1610"/>
    <cellStyle name="Input 11 2 6" xfId="2399"/>
    <cellStyle name="Input 11 2 7" xfId="2721"/>
    <cellStyle name="Input 11 2 8" xfId="1982"/>
    <cellStyle name="Input 11 2 9" xfId="3042"/>
    <cellStyle name="Input 11 3" xfId="540"/>
    <cellStyle name="Input 11 4" xfId="1171"/>
    <cellStyle name="Input 11 5" xfId="574"/>
    <cellStyle name="Input 11 6" xfId="1510"/>
    <cellStyle name="Input 11 7" xfId="1643"/>
    <cellStyle name="Input 11 8" xfId="1722"/>
    <cellStyle name="Input 11 9" xfId="1658"/>
    <cellStyle name="Input 12" xfId="314"/>
    <cellStyle name="Input 12 10" xfId="2003"/>
    <cellStyle name="Input 12 2" xfId="870"/>
    <cellStyle name="Input 12 2 2" xfId="1074"/>
    <cellStyle name="Input 12 2 3" xfId="1253"/>
    <cellStyle name="Input 12 2 4" xfId="401"/>
    <cellStyle name="Input 12 2 5" xfId="1572"/>
    <cellStyle name="Input 12 2 6" xfId="2360"/>
    <cellStyle name="Input 12 2 7" xfId="2683"/>
    <cellStyle name="Input 12 2 8" xfId="2241"/>
    <cellStyle name="Input 12 2 9" xfId="2853"/>
    <cellStyle name="Input 12 3" xfId="1029"/>
    <cellStyle name="Input 12 4" xfId="1129"/>
    <cellStyle name="Input 12 5" xfId="1343"/>
    <cellStyle name="Input 12 6" xfId="1349"/>
    <cellStyle name="Input 12 7" xfId="1780"/>
    <cellStyle name="Input 12 8" xfId="2232"/>
    <cellStyle name="Input 12 9" xfId="2864"/>
    <cellStyle name="Input 13" xfId="332"/>
    <cellStyle name="Input 13 10" xfId="1900"/>
    <cellStyle name="Input 13 2" xfId="888"/>
    <cellStyle name="Input 13 2 2" xfId="1038"/>
    <cellStyle name="Input 13 2 3" xfId="1271"/>
    <cellStyle name="Input 13 2 4" xfId="1363"/>
    <cellStyle name="Input 13 2 5" xfId="1590"/>
    <cellStyle name="Input 13 2 6" xfId="2378"/>
    <cellStyle name="Input 13 2 7" xfId="2701"/>
    <cellStyle name="Input 13 2 8" xfId="2808"/>
    <cellStyle name="Input 13 2 9" xfId="2955"/>
    <cellStyle name="Input 13 3" xfId="1085"/>
    <cellStyle name="Input 13 4" xfId="1147"/>
    <cellStyle name="Input 13 5" xfId="733"/>
    <cellStyle name="Input 13 6" xfId="681"/>
    <cellStyle name="Input 13 7" xfId="2167"/>
    <cellStyle name="Input 13 8" xfId="2463"/>
    <cellStyle name="Input 13 9" xfId="2819"/>
    <cellStyle name="Input 14" xfId="294"/>
    <cellStyle name="Input 14 10" xfId="2985"/>
    <cellStyle name="Input 14 2" xfId="851"/>
    <cellStyle name="Input 14 2 2" xfId="965"/>
    <cellStyle name="Input 14 2 3" xfId="1234"/>
    <cellStyle name="Input 14 2 4" xfId="1289"/>
    <cellStyle name="Input 14 2 5" xfId="1553"/>
    <cellStyle name="Input 14 2 6" xfId="2341"/>
    <cellStyle name="Input 14 2 7" xfId="2664"/>
    <cellStyle name="Input 14 2 8" xfId="2893"/>
    <cellStyle name="Input 14 2 9" xfId="1671"/>
    <cellStyle name="Input 14 3" xfId="508"/>
    <cellStyle name="Input 14 4" xfId="1109"/>
    <cellStyle name="Input 14 5" xfId="1395"/>
    <cellStyle name="Input 14 6" xfId="783"/>
    <cellStyle name="Input 14 7" xfId="2187"/>
    <cellStyle name="Input 14 8" xfId="1896"/>
    <cellStyle name="Input 14 9" xfId="2801"/>
    <cellStyle name="Input 15" xfId="361"/>
    <cellStyle name="Input 15 10" xfId="2010"/>
    <cellStyle name="Input 15 2" xfId="914"/>
    <cellStyle name="Input 15 2 2" xfId="790"/>
    <cellStyle name="Input 15 2 3" xfId="1296"/>
    <cellStyle name="Input 15 2 4" xfId="1467"/>
    <cellStyle name="Input 15 2 5" xfId="1614"/>
    <cellStyle name="Input 15 2 6" xfId="2403"/>
    <cellStyle name="Input 15 2 7" xfId="2725"/>
    <cellStyle name="Input 15 2 8" xfId="2145"/>
    <cellStyle name="Input 15 2 9" xfId="3046"/>
    <cellStyle name="Input 15 3" xfId="1088"/>
    <cellStyle name="Input 15 4" xfId="1175"/>
    <cellStyle name="Input 15 5" xfId="1385"/>
    <cellStyle name="Input 15 6" xfId="1514"/>
    <cellStyle name="Input 15 7" xfId="1647"/>
    <cellStyle name="Input 15 8" xfId="1720"/>
    <cellStyle name="Input 15 9" xfId="2839"/>
    <cellStyle name="Input 16" xfId="304"/>
    <cellStyle name="Input 16 10" xfId="1704"/>
    <cellStyle name="Input 16 2" xfId="861"/>
    <cellStyle name="Input 16 2 2" xfId="541"/>
    <cellStyle name="Input 16 2 3" xfId="1244"/>
    <cellStyle name="Input 16 2 4" xfId="502"/>
    <cellStyle name="Input 16 2 5" xfId="1563"/>
    <cellStyle name="Input 16 2 6" xfId="2351"/>
    <cellStyle name="Input 16 2 7" xfId="2674"/>
    <cellStyle name="Input 16 2 8" xfId="2882"/>
    <cellStyle name="Input 16 2 9" xfId="1672"/>
    <cellStyle name="Input 16 3" xfId="1030"/>
    <cellStyle name="Input 16 4" xfId="1119"/>
    <cellStyle name="Input 16 5" xfId="1328"/>
    <cellStyle name="Input 16 6" xfId="1410"/>
    <cellStyle name="Input 16 7" xfId="2285"/>
    <cellStyle name="Input 16 8" xfId="2084"/>
    <cellStyle name="Input 16 9" xfId="2852"/>
    <cellStyle name="Input 17" xfId="338"/>
    <cellStyle name="Input 17 10" xfId="2960"/>
    <cellStyle name="Input 17 2" xfId="893"/>
    <cellStyle name="Input 17 2 2" xfId="593"/>
    <cellStyle name="Input 17 2 3" xfId="1276"/>
    <cellStyle name="Input 17 2 4" xfId="1369"/>
    <cellStyle name="Input 17 2 5" xfId="1595"/>
    <cellStyle name="Input 17 2 6" xfId="2383"/>
    <cellStyle name="Input 17 2 7" xfId="2706"/>
    <cellStyle name="Input 17 2 8" xfId="2087"/>
    <cellStyle name="Input 17 2 9" xfId="2850"/>
    <cellStyle name="Input 17 3" xfId="823"/>
    <cellStyle name="Input 17 4" xfId="1153"/>
    <cellStyle name="Input 17 5" xfId="1178"/>
    <cellStyle name="Input 17 6" xfId="1416"/>
    <cellStyle name="Input 17 7" xfId="2163"/>
    <cellStyle name="Input 17 8" xfId="2445"/>
    <cellStyle name="Input 17 9" xfId="2885"/>
    <cellStyle name="Input 18" xfId="290"/>
    <cellStyle name="Input 18 10" xfId="2954"/>
    <cellStyle name="Input 18 2" xfId="847"/>
    <cellStyle name="Input 18 2 2" xfId="628"/>
    <cellStyle name="Input 18 2 3" xfId="1230"/>
    <cellStyle name="Input 18 2 4" xfId="579"/>
    <cellStyle name="Input 18 2 5" xfId="1549"/>
    <cellStyle name="Input 18 2 6" xfId="2337"/>
    <cellStyle name="Input 18 2 7" xfId="2660"/>
    <cellStyle name="Input 18 2 8" xfId="1898"/>
    <cellStyle name="Input 18 2 9" xfId="2967"/>
    <cellStyle name="Input 18 3" xfId="592"/>
    <cellStyle name="Input 18 4" xfId="1105"/>
    <cellStyle name="Input 18 5" xfId="1389"/>
    <cellStyle name="Input 18 6" xfId="709"/>
    <cellStyle name="Input 18 7" xfId="2207"/>
    <cellStyle name="Input 18 8" xfId="2524"/>
    <cellStyle name="Input 18 9" xfId="1924"/>
    <cellStyle name="Input 19" xfId="363"/>
    <cellStyle name="Input 19 10" xfId="2958"/>
    <cellStyle name="Input 19 2" xfId="916"/>
    <cellStyle name="Input 19 2 2" xfId="947"/>
    <cellStyle name="Input 19 2 3" xfId="1298"/>
    <cellStyle name="Input 19 2 4" xfId="1469"/>
    <cellStyle name="Input 19 2 5" xfId="1616"/>
    <cellStyle name="Input 19 2 6" xfId="2405"/>
    <cellStyle name="Input 19 2 7" xfId="2727"/>
    <cellStyle name="Input 19 2 8" xfId="2547"/>
    <cellStyle name="Input 19 2 9" xfId="3048"/>
    <cellStyle name="Input 19 3" xfId="961"/>
    <cellStyle name="Input 19 4" xfId="1177"/>
    <cellStyle name="Input 19 5" xfId="1361"/>
    <cellStyle name="Input 19 6" xfId="1516"/>
    <cellStyle name="Input 19 7" xfId="1649"/>
    <cellStyle name="Input 19 8" xfId="1719"/>
    <cellStyle name="Input 19 9" xfId="2846"/>
    <cellStyle name="Input 2" xfId="198"/>
    <cellStyle name="Input 2 2" xfId="826"/>
    <cellStyle name="Input 2 2 2" xfId="1039"/>
    <cellStyle name="Input 2 2 3" xfId="1208"/>
    <cellStyle name="Input 2 2 4" xfId="982"/>
    <cellStyle name="Input 2 2 5" xfId="1544"/>
    <cellStyle name="Input 2 2 6" xfId="1653"/>
    <cellStyle name="Input 2 2 7" xfId="1710"/>
    <cellStyle name="Input 2 2 8" xfId="2910"/>
    <cellStyle name="Input 2 2 9" xfId="1739"/>
    <cellStyle name="Input 2 3" xfId="419"/>
    <cellStyle name="Input 2 4" xfId="1062"/>
    <cellStyle name="Input 2 5" xfId="571"/>
    <cellStyle name="Input 2 6" xfId="2079"/>
    <cellStyle name="Input 2 7" xfId="2121"/>
    <cellStyle name="Input 2 8" xfId="2829"/>
    <cellStyle name="Input 20" xfId="301"/>
    <cellStyle name="Input 20 10" xfId="2948"/>
    <cellStyle name="Input 20 2" xfId="858"/>
    <cellStyle name="Input 20 2 2" xfId="738"/>
    <cellStyle name="Input 20 2 3" xfId="1241"/>
    <cellStyle name="Input 20 2 4" xfId="503"/>
    <cellStyle name="Input 20 2 5" xfId="1560"/>
    <cellStyle name="Input 20 2 6" xfId="2348"/>
    <cellStyle name="Input 20 2 7" xfId="2671"/>
    <cellStyle name="Input 20 2 8" xfId="2645"/>
    <cellStyle name="Input 20 2 9" xfId="1783"/>
    <cellStyle name="Input 20 3" xfId="950"/>
    <cellStyle name="Input 20 4" xfId="1116"/>
    <cellStyle name="Input 20 5" xfId="1397"/>
    <cellStyle name="Input 20 6" xfId="1018"/>
    <cellStyle name="Input 20 7" xfId="1842"/>
    <cellStyle name="Input 20 8" xfId="1707"/>
    <cellStyle name="Input 20 9" xfId="2797"/>
    <cellStyle name="Input 21" xfId="340"/>
    <cellStyle name="Input 21 10" xfId="2973"/>
    <cellStyle name="Input 21 2" xfId="895"/>
    <cellStyle name="Input 21 2 2" xfId="1060"/>
    <cellStyle name="Input 21 2 3" xfId="1278"/>
    <cellStyle name="Input 21 2 4" xfId="1044"/>
    <cellStyle name="Input 21 2 5" xfId="1597"/>
    <cellStyle name="Input 21 2 6" xfId="2385"/>
    <cellStyle name="Input 21 2 7" xfId="2708"/>
    <cellStyle name="Input 21 2 8" xfId="2754"/>
    <cellStyle name="Input 21 2 9" xfId="2844"/>
    <cellStyle name="Input 21 3" xfId="600"/>
    <cellStyle name="Input 21 4" xfId="1155"/>
    <cellStyle name="Input 21 5" xfId="703"/>
    <cellStyle name="Input 21 6" xfId="1496"/>
    <cellStyle name="Input 21 7" xfId="2161"/>
    <cellStyle name="Input 21 8" xfId="2496"/>
    <cellStyle name="Input 21 9" xfId="2779"/>
    <cellStyle name="Input 22" xfId="311"/>
    <cellStyle name="Input 22 2" xfId="573"/>
    <cellStyle name="Input 22 3" xfId="1126"/>
    <cellStyle name="Input 22 4" xfId="1399"/>
    <cellStyle name="Input 22 5" xfId="1344"/>
    <cellStyle name="Input 22 6" xfId="1969"/>
    <cellStyle name="Input 22 7" xfId="2556"/>
    <cellStyle name="Input 22 8" xfId="2333"/>
    <cellStyle name="Input 22 9" xfId="2989"/>
    <cellStyle name="Input 3" xfId="329"/>
    <cellStyle name="Input 3 2" xfId="885"/>
    <cellStyle name="Input 3 2 2" xfId="839"/>
    <cellStyle name="Input 3 2 3" xfId="1268"/>
    <cellStyle name="Input 3 2 4" xfId="1372"/>
    <cellStyle name="Input 3 2 5" xfId="1587"/>
    <cellStyle name="Input 3 2 6" xfId="2375"/>
    <cellStyle name="Input 3 2 7" xfId="2698"/>
    <cellStyle name="Input 3 2 8" xfId="2189"/>
    <cellStyle name="Input 3 2 9" xfId="3008"/>
    <cellStyle name="Input 3 3" xfId="631"/>
    <cellStyle name="Input 3 4" xfId="1144"/>
    <cellStyle name="Input 3 5" xfId="481"/>
    <cellStyle name="Input 3 6" xfId="1016"/>
    <cellStyle name="Input 3 7" xfId="2138"/>
    <cellStyle name="Input 3 8" xfId="2450"/>
    <cellStyle name="Input 3 9" xfId="1706"/>
    <cellStyle name="Input 4" xfId="296"/>
    <cellStyle name="Input 4 10" xfId="2964"/>
    <cellStyle name="Input 4 2" xfId="853"/>
    <cellStyle name="Input 4 2 2" xfId="834"/>
    <cellStyle name="Input 4 2 3" xfId="1236"/>
    <cellStyle name="Input 4 2 4" xfId="690"/>
    <cellStyle name="Input 4 2 5" xfId="1555"/>
    <cellStyle name="Input 4 2 6" xfId="2343"/>
    <cellStyle name="Input 4 2 7" xfId="2666"/>
    <cellStyle name="Input 4 2 8" xfId="2550"/>
    <cellStyle name="Input 4 2 9" xfId="2044"/>
    <cellStyle name="Input 4 3" xfId="1024"/>
    <cellStyle name="Input 4 4" xfId="1111"/>
    <cellStyle name="Input 4 5" xfId="1412"/>
    <cellStyle name="Input 4 6" xfId="507"/>
    <cellStyle name="Input 4 7" xfId="1753"/>
    <cellStyle name="Input 4 8" xfId="1724"/>
    <cellStyle name="Input 4 9" xfId="2848"/>
    <cellStyle name="Input 5" xfId="345"/>
    <cellStyle name="Input 5 10" xfId="2953"/>
    <cellStyle name="Input 5 2" xfId="900"/>
    <cellStyle name="Input 5 2 2" xfId="702"/>
    <cellStyle name="Input 5 2 3" xfId="1283"/>
    <cellStyle name="Input 5 2 4" xfId="578"/>
    <cellStyle name="Input 5 2 5" xfId="1602"/>
    <cellStyle name="Input 5 2 6" xfId="2390"/>
    <cellStyle name="Input 5 2 7" xfId="2713"/>
    <cellStyle name="Input 5 2 8" xfId="2795"/>
    <cellStyle name="Input 5 2 9" xfId="3034"/>
    <cellStyle name="Input 5 3" xfId="465"/>
    <cellStyle name="Input 5 4" xfId="1160"/>
    <cellStyle name="Input 5 5" xfId="1449"/>
    <cellStyle name="Input 5 6" xfId="1501"/>
    <cellStyle name="Input 5 7" xfId="2254"/>
    <cellStyle name="Input 5 8" xfId="2112"/>
    <cellStyle name="Input 5 9" xfId="2908"/>
    <cellStyle name="Input 6" xfId="288"/>
    <cellStyle name="Input 6 10" xfId="2477"/>
    <cellStyle name="Input 6 2" xfId="845"/>
    <cellStyle name="Input 6 2 2" xfId="539"/>
    <cellStyle name="Input 6 2 3" xfId="1228"/>
    <cellStyle name="Input 6 2 4" xfId="1213"/>
    <cellStyle name="Input 6 2 5" xfId="1547"/>
    <cellStyle name="Input 6 2 6" xfId="2335"/>
    <cellStyle name="Input 6 2 7" xfId="2658"/>
    <cellStyle name="Input 6 2 8" xfId="2828"/>
    <cellStyle name="Input 6 2 9" xfId="1992"/>
    <cellStyle name="Input 6 3" xfId="447"/>
    <cellStyle name="Input 6 4" xfId="1103"/>
    <cellStyle name="Input 6 5" xfId="1423"/>
    <cellStyle name="Input 6 6" xfId="477"/>
    <cellStyle name="Input 6 7" xfId="2080"/>
    <cellStyle name="Input 6 8" xfId="2009"/>
    <cellStyle name="Input 6 9" xfId="2860"/>
    <cellStyle name="Input 7" xfId="350"/>
    <cellStyle name="Input 7 10" xfId="2923"/>
    <cellStyle name="Input 7 2" xfId="904"/>
    <cellStyle name="Input 7 2 2" xfId="985"/>
    <cellStyle name="Input 7 2 3" xfId="1287"/>
    <cellStyle name="Input 7 2 4" xfId="1458"/>
    <cellStyle name="Input 7 2 5" xfId="1606"/>
    <cellStyle name="Input 7 2 6" xfId="2394"/>
    <cellStyle name="Input 7 2 7" xfId="2717"/>
    <cellStyle name="Input 7 2 8" xfId="2877"/>
    <cellStyle name="Input 7 2 9" xfId="3038"/>
    <cellStyle name="Input 7 3" xfId="1001"/>
    <cellStyle name="Input 7 4" xfId="1165"/>
    <cellStyle name="Input 7 5" xfId="1332"/>
    <cellStyle name="Input 7 6" xfId="1506"/>
    <cellStyle name="Input 7 7" xfId="2127"/>
    <cellStyle name="Input 7 8" xfId="1659"/>
    <cellStyle name="Input 7 9" xfId="2529"/>
    <cellStyle name="Input 8" xfId="299"/>
    <cellStyle name="Input 8 10" xfId="3021"/>
    <cellStyle name="Input 8 2" xfId="856"/>
    <cellStyle name="Input 8 2 2" xfId="1021"/>
    <cellStyle name="Input 8 2 3" xfId="1239"/>
    <cellStyle name="Input 8 2 4" xfId="1026"/>
    <cellStyle name="Input 8 2 5" xfId="1558"/>
    <cellStyle name="Input 8 2 6" xfId="2346"/>
    <cellStyle name="Input 8 2 7" xfId="2669"/>
    <cellStyle name="Input 8 2 8" xfId="2840"/>
    <cellStyle name="Input 8 2 9" xfId="1660"/>
    <cellStyle name="Input 8 3" xfId="963"/>
    <cellStyle name="Input 8 4" xfId="1114"/>
    <cellStyle name="Input 8 5" xfId="1418"/>
    <cellStyle name="Input 8 6" xfId="469"/>
    <cellStyle name="Input 8 7" xfId="2203"/>
    <cellStyle name="Input 8 8" xfId="2640"/>
    <cellStyle name="Input 8 9" xfId="2136"/>
    <cellStyle name="Input 9" xfId="343"/>
    <cellStyle name="Input 9 10" xfId="3033"/>
    <cellStyle name="Input 9 2" xfId="898"/>
    <cellStyle name="Input 9 2 2" xfId="792"/>
    <cellStyle name="Input 9 2 3" xfId="1281"/>
    <cellStyle name="Input 9 2 4" xfId="532"/>
    <cellStyle name="Input 9 2 5" xfId="1600"/>
    <cellStyle name="Input 9 2 6" xfId="2388"/>
    <cellStyle name="Input 9 2 7" xfId="2711"/>
    <cellStyle name="Input 9 2 8" xfId="2488"/>
    <cellStyle name="Input 9 2 9" xfId="2945"/>
    <cellStyle name="Input 9 3" xfId="771"/>
    <cellStyle name="Input 9 4" xfId="1158"/>
    <cellStyle name="Input 9 5" xfId="1453"/>
    <cellStyle name="Input 9 6" xfId="1499"/>
    <cellStyle name="Input 9 7" xfId="2277"/>
    <cellStyle name="Input 9 8" xfId="2331"/>
    <cellStyle name="Input 9 9" xfId="2809"/>
    <cellStyle name="LineItemPrompt" xfId="18"/>
    <cellStyle name="LineItemPrompt 2" xfId="78"/>
    <cellStyle name="LineItemValue" xfId="19"/>
    <cellStyle name="LineItemValue 2" xfId="199"/>
    <cellStyle name="LineItemValue 3" xfId="79"/>
    <cellStyle name="Linked Cell" xfId="3082" builtinId="24" customBuiltin="1"/>
    <cellStyle name="Linked Cell 2" xfId="200"/>
    <cellStyle name="Neutral" xfId="3078" builtinId="28" customBuiltin="1"/>
    <cellStyle name="Neutral 2" xfId="201"/>
    <cellStyle name="Normal" xfId="0" builtinId="0"/>
    <cellStyle name="Normal 10" xfId="20"/>
    <cellStyle name="Normal 10 2" xfId="276"/>
    <cellStyle name="Normal 11" xfId="21"/>
    <cellStyle name="Normal 11 2" xfId="277"/>
    <cellStyle name="Normal 12" xfId="281"/>
    <cellStyle name="Normal 12 2" xfId="840"/>
    <cellStyle name="Normal 13" xfId="282"/>
    <cellStyle name="Normal 13 2" xfId="841"/>
    <cellStyle name="Normal 14" xfId="286"/>
    <cellStyle name="Normal 14 2" xfId="562"/>
    <cellStyle name="Normal 14 2 2" xfId="1963"/>
    <cellStyle name="Normal 14 3" xfId="1846"/>
    <cellStyle name="Normal 15" xfId="56"/>
    <cellStyle name="Normal 15 2" xfId="392"/>
    <cellStyle name="Normal 15 2 2" xfId="942"/>
    <cellStyle name="Normal 15 2 3" xfId="2047"/>
    <cellStyle name="Normal 15 3" xfId="639"/>
    <cellStyle name="Normal 15 4" xfId="1930"/>
    <cellStyle name="Normal 16" xfId="820"/>
    <cellStyle name="Normal 17" xfId="944"/>
    <cellStyle name="Normal 17 2" xfId="2050"/>
    <cellStyle name="Normal 18" xfId="1090"/>
    <cellStyle name="Normal 18 2" xfId="2053"/>
    <cellStyle name="Normal 19" xfId="1093"/>
    <cellStyle name="Normal 2" xfId="22"/>
    <cellStyle name="Normal 2 2" xfId="218"/>
    <cellStyle name="Normal 2 2 2" xfId="238"/>
    <cellStyle name="Normal 2 2 3" xfId="239"/>
    <cellStyle name="Normal 2 2 4" xfId="364"/>
    <cellStyle name="Normal 2 2 4 2" xfId="620"/>
    <cellStyle name="Normal 2 2 4 2 2" xfId="2021"/>
    <cellStyle name="Normal 2 2 4 3" xfId="1903"/>
    <cellStyle name="Normal 2 3" xfId="240"/>
    <cellStyle name="Normal 2 4" xfId="241"/>
    <cellStyle name="Normal 2 5" xfId="80"/>
    <cellStyle name="Normal 2 5 2" xfId="352"/>
    <cellStyle name="Normal 2 5 2 2" xfId="906"/>
    <cellStyle name="Normal 2 5 2 3" xfId="2013"/>
    <cellStyle name="Normal 2 5 3" xfId="612"/>
    <cellStyle name="Normal 2 5 4" xfId="1893"/>
    <cellStyle name="Normal 20" xfId="1094"/>
    <cellStyle name="Normal 20 2" xfId="2057"/>
    <cellStyle name="Normal 21" xfId="2914"/>
    <cellStyle name="Normal 22" xfId="3110"/>
    <cellStyle name="Normal 3" xfId="52"/>
    <cellStyle name="Normal 3 2" xfId="242"/>
    <cellStyle name="Normal 4" xfId="81"/>
    <cellStyle name="Normal 5" xfId="23"/>
    <cellStyle name="Normal 5 2" xfId="243"/>
    <cellStyle name="Normal 5 3" xfId="244"/>
    <cellStyle name="Normal 5 4" xfId="82"/>
    <cellStyle name="Normal 6" xfId="161"/>
    <cellStyle name="Normal 6 2" xfId="219"/>
    <cellStyle name="Normal 6 3" xfId="245"/>
    <cellStyle name="Normal 6 4" xfId="246"/>
    <cellStyle name="Normal 7" xfId="217"/>
    <cellStyle name="Normal 8" xfId="247"/>
    <cellStyle name="Normal 8 2" xfId="248"/>
    <cellStyle name="Normal 9" xfId="249"/>
    <cellStyle name="Normal 9 2" xfId="250"/>
    <cellStyle name="Normal 9 2 2" xfId="543"/>
    <cellStyle name="Normal 9 2 2 2" xfId="1957"/>
    <cellStyle name="Normal 9 2 3" xfId="1813"/>
    <cellStyle name="Normal 9 3" xfId="542"/>
    <cellStyle name="Normal 9 3 2" xfId="1956"/>
    <cellStyle name="Normal 9 4" xfId="1812"/>
    <cellStyle name="Normal_ACCMDEPRforAFUDC" xfId="24"/>
    <cellStyle name="Normal_AFUDC Dec 2008 Balance by Acct Rev" xfId="25"/>
    <cellStyle name="Normal_afudc in cwip" xfId="26"/>
    <cellStyle name="Normal_KU COS Print File 2003q3" xfId="27"/>
    <cellStyle name="Normal_RWIP allocation 2005-06" xfId="28"/>
    <cellStyle name="Normal_VA 500 KV Line T201" xfId="29"/>
    <cellStyle name="Note 10" xfId="321"/>
    <cellStyle name="Note 10 10" xfId="2912"/>
    <cellStyle name="Note 10 11" xfId="3004"/>
    <cellStyle name="Note 10 2" xfId="877"/>
    <cellStyle name="Note 10 2 10" xfId="2602"/>
    <cellStyle name="Note 10 2 2" xfId="1002"/>
    <cellStyle name="Note 10 2 3" xfId="1076"/>
    <cellStyle name="Note 10 2 4" xfId="1260"/>
    <cellStyle name="Note 10 2 5" xfId="1375"/>
    <cellStyle name="Note 10 2 6" xfId="1579"/>
    <cellStyle name="Note 10 2 7" xfId="2367"/>
    <cellStyle name="Note 10 2 8" xfId="2690"/>
    <cellStyle name="Note 10 2 9" xfId="2324"/>
    <cellStyle name="Note 10 3" xfId="1008"/>
    <cellStyle name="Note 10 4" xfId="1083"/>
    <cellStyle name="Note 10 5" xfId="1136"/>
    <cellStyle name="Note 10 6" xfId="1427"/>
    <cellStyle name="Note 10 7" xfId="1082"/>
    <cellStyle name="Note 10 8" xfId="2155"/>
    <cellStyle name="Note 10 9" xfId="2553"/>
    <cellStyle name="Note 11" xfId="323"/>
    <cellStyle name="Note 11 10" xfId="2843"/>
    <cellStyle name="Note 11 11" xfId="1883"/>
    <cellStyle name="Note 11 2" xfId="879"/>
    <cellStyle name="Note 11 2 10" xfId="2927"/>
    <cellStyle name="Note 11 2 2" xfId="451"/>
    <cellStyle name="Note 11 2 3" xfId="722"/>
    <cellStyle name="Note 11 2 4" xfId="1262"/>
    <cellStyle name="Note 11 2 5" xfId="495"/>
    <cellStyle name="Note 11 2 6" xfId="1581"/>
    <cellStyle name="Note 11 2 7" xfId="2369"/>
    <cellStyle name="Note 11 2 8" xfId="2692"/>
    <cellStyle name="Note 11 2 9" xfId="2913"/>
    <cellStyle name="Note 11 3" xfId="1005"/>
    <cellStyle name="Note 11 4" xfId="1079"/>
    <cellStyle name="Note 11 5" xfId="1138"/>
    <cellStyle name="Note 11 6" xfId="1401"/>
    <cellStyle name="Note 11 7" xfId="1017"/>
    <cellStyle name="Note 11 8" xfId="2094"/>
    <cellStyle name="Note 11 9" xfId="2035"/>
    <cellStyle name="Note 12" xfId="322"/>
    <cellStyle name="Note 12 10" xfId="2777"/>
    <cellStyle name="Note 12 11" xfId="1994"/>
    <cellStyle name="Note 12 2" xfId="878"/>
    <cellStyle name="Note 12 2 10" xfId="3009"/>
    <cellStyle name="Note 12 2 2" xfId="973"/>
    <cellStyle name="Note 12 2 3" xfId="1047"/>
    <cellStyle name="Note 12 2 4" xfId="1261"/>
    <cellStyle name="Note 12 2 5" xfId="580"/>
    <cellStyle name="Note 12 2 6" xfId="1580"/>
    <cellStyle name="Note 12 2 7" xfId="2368"/>
    <cellStyle name="Note 12 2 8" xfId="2691"/>
    <cellStyle name="Note 12 2 9" xfId="2771"/>
    <cellStyle name="Note 12 3" xfId="428"/>
    <cellStyle name="Note 12 4" xfId="565"/>
    <cellStyle name="Note 12 5" xfId="1137"/>
    <cellStyle name="Note 12 6" xfId="1341"/>
    <cellStyle name="Note 12 7" xfId="1334"/>
    <cellStyle name="Note 12 8" xfId="2220"/>
    <cellStyle name="Note 12 9" xfId="1863"/>
    <cellStyle name="Note 13" xfId="297"/>
    <cellStyle name="Note 13 10" xfId="2762"/>
    <cellStyle name="Note 13 11" xfId="3006"/>
    <cellStyle name="Note 13 2" xfId="854"/>
    <cellStyle name="Note 13 2 10" xfId="2056"/>
    <cellStyle name="Note 13 2 2" xfId="952"/>
    <cellStyle name="Note 13 2 3" xfId="725"/>
    <cellStyle name="Note 13 2 4" xfId="1237"/>
    <cellStyle name="Note 13 2 5" xfId="504"/>
    <cellStyle name="Note 13 2 6" xfId="1556"/>
    <cellStyle name="Note 13 2 7" xfId="2344"/>
    <cellStyle name="Note 13 2 8" xfId="2667"/>
    <cellStyle name="Note 13 2 9" xfId="2793"/>
    <cellStyle name="Note 13 3" xfId="435"/>
    <cellStyle name="Note 13 4" xfId="463"/>
    <cellStyle name="Note 13 5" xfId="1112"/>
    <cellStyle name="Note 13 6" xfId="1049"/>
    <cellStyle name="Note 13 7" xfId="608"/>
    <cellStyle name="Note 13 8" xfId="2204"/>
    <cellStyle name="Note 13 9" xfId="2637"/>
    <cellStyle name="Note 14" xfId="360"/>
    <cellStyle name="Note 14 10" xfId="2194"/>
    <cellStyle name="Note 14 11" xfId="3019"/>
    <cellStyle name="Note 14 2" xfId="913"/>
    <cellStyle name="Note 14 2 10" xfId="3045"/>
    <cellStyle name="Note 14 2 2" xfId="746"/>
    <cellStyle name="Note 14 2 3" xfId="552"/>
    <cellStyle name="Note 14 2 4" xfId="1295"/>
    <cellStyle name="Note 14 2 5" xfId="1466"/>
    <cellStyle name="Note 14 2 6" xfId="1613"/>
    <cellStyle name="Note 14 2 7" xfId="2402"/>
    <cellStyle name="Note 14 2 8" xfId="2724"/>
    <cellStyle name="Note 14 2 9" xfId="2655"/>
    <cellStyle name="Note 14 3" xfId="837"/>
    <cellStyle name="Note 14 4" xfId="427"/>
    <cellStyle name="Note 14 5" xfId="1174"/>
    <cellStyle name="Note 14 6" xfId="1450"/>
    <cellStyle name="Note 14 7" xfId="1513"/>
    <cellStyle name="Note 14 8" xfId="1646"/>
    <cellStyle name="Note 14 9" xfId="1835"/>
    <cellStyle name="Note 15" xfId="306"/>
    <cellStyle name="Note 15 10" xfId="1887"/>
    <cellStyle name="Note 15 11" xfId="2947"/>
    <cellStyle name="Note 15 2" xfId="863"/>
    <cellStyle name="Note 15 2 10" xfId="2264"/>
    <cellStyle name="Note 15 2 2" xfId="835"/>
    <cellStyle name="Note 15 2 3" xfId="705"/>
    <cellStyle name="Note 15 2 4" xfId="1246"/>
    <cellStyle name="Note 15 2 5" xfId="1009"/>
    <cellStyle name="Note 15 2 6" xfId="1565"/>
    <cellStyle name="Note 15 2 7" xfId="2353"/>
    <cellStyle name="Note 15 2 8" xfId="2676"/>
    <cellStyle name="Note 15 2 9" xfId="2871"/>
    <cellStyle name="Note 15 3" xfId="756"/>
    <cellStyle name="Note 15 4" xfId="616"/>
    <cellStyle name="Note 15 5" xfId="1121"/>
    <cellStyle name="Note 15 6" xfId="1345"/>
    <cellStyle name="Note 15 7" xfId="1409"/>
    <cellStyle name="Note 15 8" xfId="1866"/>
    <cellStyle name="Note 15 9" xfId="2575"/>
    <cellStyle name="Note 16" xfId="337"/>
    <cellStyle name="Note 16 10" xfId="2865"/>
    <cellStyle name="Note 16 11" xfId="2971"/>
    <cellStyle name="Note 16 2" xfId="892"/>
    <cellStyle name="Note 16 2 10" xfId="3023"/>
    <cellStyle name="Note 16 2 2" xfId="833"/>
    <cellStyle name="Note 16 2 3" xfId="548"/>
    <cellStyle name="Note 16 2 4" xfId="1275"/>
    <cellStyle name="Note 16 2 5" xfId="779"/>
    <cellStyle name="Note 16 2 6" xfId="1594"/>
    <cellStyle name="Note 16 2 7" xfId="2382"/>
    <cellStyle name="Note 16 2 8" xfId="2705"/>
    <cellStyle name="Note 16 2 9" xfId="2866"/>
    <cellStyle name="Note 16 3" xfId="724"/>
    <cellStyle name="Note 16 4" xfId="417"/>
    <cellStyle name="Note 16 5" xfId="1152"/>
    <cellStyle name="Note 16 6" xfId="492"/>
    <cellStyle name="Note 16 7" xfId="1054"/>
    <cellStyle name="Note 16 8" xfId="2291"/>
    <cellStyle name="Note 16 9" xfId="2314"/>
    <cellStyle name="Note 17" xfId="291"/>
    <cellStyle name="Note 17 10" xfId="2856"/>
    <cellStyle name="Note 17 11" xfId="2437"/>
    <cellStyle name="Note 17 2" xfId="848"/>
    <cellStyle name="Note 17 2 10" xfId="1873"/>
    <cellStyle name="Note 17 2 2" xfId="432"/>
    <cellStyle name="Note 17 2 3" xfId="458"/>
    <cellStyle name="Note 17 2 4" xfId="1231"/>
    <cellStyle name="Note 17 2 5" xfId="1403"/>
    <cellStyle name="Note 17 2 6" xfId="1550"/>
    <cellStyle name="Note 17 2 7" xfId="2338"/>
    <cellStyle name="Note 17 2 8" xfId="2661"/>
    <cellStyle name="Note 17 2 9" xfId="2906"/>
    <cellStyle name="Note 17 3" xfId="957"/>
    <cellStyle name="Note 17 4" xfId="1033"/>
    <cellStyle name="Note 17 5" xfId="1106"/>
    <cellStyle name="Note 17 6" xfId="720"/>
    <cellStyle name="Note 17 7" xfId="1058"/>
    <cellStyle name="Note 17 8" xfId="1751"/>
    <cellStyle name="Note 17 9" xfId="2251"/>
    <cellStyle name="Note 18" xfId="348"/>
    <cellStyle name="Note 18 10" xfId="2837"/>
    <cellStyle name="Note 18 11" xfId="2873"/>
    <cellStyle name="Note 18 2" xfId="903"/>
    <cellStyle name="Note 18 2 10" xfId="3037"/>
    <cellStyle name="Note 18 2 2" xfId="647"/>
    <cellStyle name="Note 18 2 3" xfId="766"/>
    <cellStyle name="Note 18 2 4" xfId="1286"/>
    <cellStyle name="Note 18 2 5" xfId="1457"/>
    <cellStyle name="Note 18 2 6" xfId="1605"/>
    <cellStyle name="Note 18 2 7" xfId="2393"/>
    <cellStyle name="Note 18 2 8" xfId="2716"/>
    <cellStyle name="Note 18 2 9" xfId="1819"/>
    <cellStyle name="Note 18 3" xfId="804"/>
    <cellStyle name="Note 18 4" xfId="769"/>
    <cellStyle name="Note 18 5" xfId="1163"/>
    <cellStyle name="Note 18 6" xfId="1386"/>
    <cellStyle name="Note 18 7" xfId="1504"/>
    <cellStyle name="Note 18 8" xfId="2117"/>
    <cellStyle name="Note 18 9" xfId="2641"/>
    <cellStyle name="Note 19" xfId="302"/>
    <cellStyle name="Note 19 10" xfId="2835"/>
    <cellStyle name="Note 19 11" xfId="2929"/>
    <cellStyle name="Note 19 2" xfId="859"/>
    <cellStyle name="Note 19 2 10" xfId="2512"/>
    <cellStyle name="Note 19 2 2" xfId="674"/>
    <cellStyle name="Note 19 2 3" xfId="482"/>
    <cellStyle name="Note 19 2 4" xfId="1242"/>
    <cellStyle name="Note 19 2 5" xfId="951"/>
    <cellStyle name="Note 19 2 6" xfId="1561"/>
    <cellStyle name="Note 19 2 7" xfId="2349"/>
    <cellStyle name="Note 19 2 8" xfId="2672"/>
    <cellStyle name="Note 19 2 9" xfId="2894"/>
    <cellStyle name="Note 19 3" xfId="811"/>
    <cellStyle name="Note 19 4" xfId="828"/>
    <cellStyle name="Note 19 5" xfId="1117"/>
    <cellStyle name="Note 19 6" xfId="609"/>
    <cellStyle name="Note 19 7" xfId="1408"/>
    <cellStyle name="Note 19 8" xfId="2276"/>
    <cellStyle name="Note 19 9" xfId="2081"/>
    <cellStyle name="Note 2" xfId="55"/>
    <cellStyle name="Note 2 10" xfId="2502"/>
    <cellStyle name="Note 2 11" xfId="3001"/>
    <cellStyle name="Note 2 2" xfId="202"/>
    <cellStyle name="Note 2 2 10" xfId="2942"/>
    <cellStyle name="Note 2 2 2" xfId="666"/>
    <cellStyle name="Note 2 2 3" xfId="637"/>
    <cellStyle name="Note 2 2 4" xfId="1209"/>
    <cellStyle name="Note 2 2 5" xfId="1415"/>
    <cellStyle name="Note 2 2 6" xfId="1545"/>
    <cellStyle name="Note 2 2 7" xfId="1802"/>
    <cellStyle name="Note 2 2 8" xfId="1774"/>
    <cellStyle name="Note 2 2 9" xfId="2900"/>
    <cellStyle name="Note 2 3" xfId="680"/>
    <cellStyle name="Note 2 4" xfId="420"/>
    <cellStyle name="Note 2 5" xfId="415"/>
    <cellStyle name="Note 2 6" xfId="1048"/>
    <cellStyle name="Note 2 7" xfId="658"/>
    <cellStyle name="Note 2 8" xfId="1880"/>
    <cellStyle name="Note 2 9" xfId="2579"/>
    <cellStyle name="Note 20" xfId="339"/>
    <cellStyle name="Note 20 10" xfId="2487"/>
    <cellStyle name="Note 20 11" xfId="1693"/>
    <cellStyle name="Note 20 2" xfId="894"/>
    <cellStyle name="Note 20 2 10" xfId="2490"/>
    <cellStyle name="Note 20 2 2" xfId="978"/>
    <cellStyle name="Note 20 2 3" xfId="1052"/>
    <cellStyle name="Note 20 2 4" xfId="1277"/>
    <cellStyle name="Note 20 2 5" xfId="1100"/>
    <cellStyle name="Note 20 2 6" xfId="1596"/>
    <cellStyle name="Note 20 2 7" xfId="2384"/>
    <cellStyle name="Note 20 2 8" xfId="2707"/>
    <cellStyle name="Note 20 2 9" xfId="2494"/>
    <cellStyle name="Note 20 3" xfId="544"/>
    <cellStyle name="Note 20 4" xfId="536"/>
    <cellStyle name="Note 20 5" xfId="1154"/>
    <cellStyle name="Note 20 6" xfId="1329"/>
    <cellStyle name="Note 20 7" xfId="691"/>
    <cellStyle name="Note 20 8" xfId="2289"/>
    <cellStyle name="Note 20 9" xfId="1970"/>
    <cellStyle name="Note 21" xfId="289"/>
    <cellStyle name="Note 21 10" xfId="2455"/>
    <cellStyle name="Note 21 11" xfId="3011"/>
    <cellStyle name="Note 21 2" xfId="846"/>
    <cellStyle name="Note 21 2 10" xfId="2988"/>
    <cellStyle name="Note 21 2 2" xfId="439"/>
    <cellStyle name="Note 21 2 3" xfId="604"/>
    <cellStyle name="Note 21 2 4" xfId="1229"/>
    <cellStyle name="Note 21 2 5" xfId="1414"/>
    <cellStyle name="Note 21 2 6" xfId="1548"/>
    <cellStyle name="Note 21 2 7" xfId="2336"/>
    <cellStyle name="Note 21 2 8" xfId="2659"/>
    <cellStyle name="Note 21 2 9" xfId="2796"/>
    <cellStyle name="Note 21 3" xfId="799"/>
    <cellStyle name="Note 21 4" xfId="585"/>
    <cellStyle name="Note 21 5" xfId="1104"/>
    <cellStyle name="Note 21 6" xfId="1337"/>
    <cellStyle name="Note 21 7" xfId="1035"/>
    <cellStyle name="Note 21 8" xfId="2206"/>
    <cellStyle name="Note 21 9" xfId="2634"/>
    <cellStyle name="Note 22" xfId="349"/>
    <cellStyle name="Note 22 10" xfId="2234"/>
    <cellStyle name="Note 22 2" xfId="696"/>
    <cellStyle name="Note 22 3" xfId="979"/>
    <cellStyle name="Note 22 4" xfId="1164"/>
    <cellStyle name="Note 22 5" xfId="653"/>
    <cellStyle name="Note 22 6" xfId="1505"/>
    <cellStyle name="Note 22 7" xfId="2256"/>
    <cellStyle name="Note 22 8" xfId="2505"/>
    <cellStyle name="Note 22 9" xfId="2791"/>
    <cellStyle name="Note 23" xfId="3113"/>
    <cellStyle name="Note 3" xfId="327"/>
    <cellStyle name="Note 3 10" xfId="2822"/>
    <cellStyle name="Note 3 11" xfId="2774"/>
    <cellStyle name="Note 3 2" xfId="883"/>
    <cellStyle name="Note 3 2 10" xfId="1971"/>
    <cellStyle name="Note 3 2 2" xfId="739"/>
    <cellStyle name="Note 3 2 3" xfId="623"/>
    <cellStyle name="Note 3 2 4" xfId="1266"/>
    <cellStyle name="Note 3 2 5" xfId="1373"/>
    <cellStyle name="Note 3 2 6" xfId="1585"/>
    <cellStyle name="Note 3 2 7" xfId="2373"/>
    <cellStyle name="Note 3 2 8" xfId="2696"/>
    <cellStyle name="Note 3 2 9" xfId="2107"/>
    <cellStyle name="Note 3 3" xfId="510"/>
    <cellStyle name="Note 3 4" xfId="657"/>
    <cellStyle name="Note 3 5" xfId="1142"/>
    <cellStyle name="Note 3 6" xfId="594"/>
    <cellStyle name="Note 3 7" xfId="1398"/>
    <cellStyle name="Note 3 8" xfId="2110"/>
    <cellStyle name="Note 3 9" xfId="1746"/>
    <cellStyle name="Note 4" xfId="318"/>
    <cellStyle name="Note 4 10" xfId="2773"/>
    <cellStyle name="Note 4 11" xfId="2987"/>
    <cellStyle name="Note 4 2" xfId="874"/>
    <cellStyle name="Note 4 2 10" xfId="3032"/>
    <cellStyle name="Note 4 2 2" xfId="446"/>
    <cellStyle name="Note 4 2 3" xfId="699"/>
    <cellStyle name="Note 4 2 4" xfId="1257"/>
    <cellStyle name="Note 4 2 5" xfId="557"/>
    <cellStyle name="Note 4 2 6" xfId="1576"/>
    <cellStyle name="Note 4 2 7" xfId="2364"/>
    <cellStyle name="Note 4 2 8" xfId="2687"/>
    <cellStyle name="Note 4 2 9" xfId="2619"/>
    <cellStyle name="Note 4 3" xfId="689"/>
    <cellStyle name="Note 4 4" xfId="688"/>
    <cellStyle name="Note 4 5" xfId="1133"/>
    <cellStyle name="Note 4 6" xfId="1210"/>
    <cellStyle name="Note 4 7" xfId="1391"/>
    <cellStyle name="Note 4 8" xfId="2231"/>
    <cellStyle name="Note 4 9" xfId="2033"/>
    <cellStyle name="Note 5" xfId="326"/>
    <cellStyle name="Note 5 10" xfId="2898"/>
    <cellStyle name="Note 5 11" xfId="2996"/>
    <cellStyle name="Note 5 2" xfId="882"/>
    <cellStyle name="Note 5 2 10" xfId="2761"/>
    <cellStyle name="Note 5 2 2" xfId="684"/>
    <cellStyle name="Note 5 2 3" xfId="710"/>
    <cellStyle name="Note 5 2 4" xfId="1265"/>
    <cellStyle name="Note 5 2 5" xfId="564"/>
    <cellStyle name="Note 5 2 6" xfId="1584"/>
    <cellStyle name="Note 5 2 7" xfId="2372"/>
    <cellStyle name="Note 5 2 8" xfId="2695"/>
    <cellStyle name="Note 5 2 9" xfId="1709"/>
    <cellStyle name="Note 5 3" xfId="1014"/>
    <cellStyle name="Note 5 4" xfId="1089"/>
    <cellStyle name="Note 5 5" xfId="1141"/>
    <cellStyle name="Note 5 6" xfId="760"/>
    <cellStyle name="Note 5 7" xfId="1422"/>
    <cellStyle name="Note 5 8" xfId="2237"/>
    <cellStyle name="Note 5 9" xfId="2563"/>
    <cellStyle name="Note 6" xfId="319"/>
    <cellStyle name="Note 6 10" xfId="2067"/>
    <cellStyle name="Note 6 11" xfId="2941"/>
    <cellStyle name="Note 6 2" xfId="875"/>
    <cellStyle name="Note 6 2 10" xfId="3013"/>
    <cellStyle name="Note 6 2 2" xfId="774"/>
    <cellStyle name="Note 6 2 3" xfId="984"/>
    <cellStyle name="Note 6 2 4" xfId="1258"/>
    <cellStyle name="Note 6 2 5" xfId="1376"/>
    <cellStyle name="Note 6 2 6" xfId="1577"/>
    <cellStyle name="Note 6 2 7" xfId="2365"/>
    <cellStyle name="Note 6 2 8" xfId="2688"/>
    <cellStyle name="Note 6 2 9" xfId="2635"/>
    <cellStyle name="Note 6 3" xfId="966"/>
    <cellStyle name="Note 6 4" xfId="1040"/>
    <cellStyle name="Note 6 5" xfId="1134"/>
    <cellStyle name="Note 6 6" xfId="1405"/>
    <cellStyle name="Note 6 7" xfId="1431"/>
    <cellStyle name="Note 6 8" xfId="2104"/>
    <cellStyle name="Note 6 9" xfId="1967"/>
    <cellStyle name="Note 7" xfId="325"/>
    <cellStyle name="Note 7 10" xfId="2509"/>
    <cellStyle name="Note 7 11" xfId="2785"/>
    <cellStyle name="Note 7 2" xfId="881"/>
    <cellStyle name="Note 7 2 10" xfId="2992"/>
    <cellStyle name="Note 7 2 2" xfId="970"/>
    <cellStyle name="Note 7 2 3" xfId="1045"/>
    <cellStyle name="Note 7 2 4" xfId="1264"/>
    <cellStyle name="Note 7 2 5" xfId="1374"/>
    <cellStyle name="Note 7 2 6" xfId="1583"/>
    <cellStyle name="Note 7 2 7" xfId="2371"/>
    <cellStyle name="Note 7 2 8" xfId="2694"/>
    <cellStyle name="Note 7 2 9" xfId="1871"/>
    <cellStyle name="Note 7 3" xfId="807"/>
    <cellStyle name="Note 7 4" xfId="421"/>
    <cellStyle name="Note 7 5" xfId="1140"/>
    <cellStyle name="Note 7 6" xfId="1330"/>
    <cellStyle name="Note 7 7" xfId="744"/>
    <cellStyle name="Note 7 8" xfId="2132"/>
    <cellStyle name="Note 7 9" xfId="1657"/>
    <cellStyle name="Note 8" xfId="320"/>
    <cellStyle name="Note 8 10" xfId="2869"/>
    <cellStyle name="Note 8 11" xfId="2407"/>
    <cellStyle name="Note 8 2" xfId="876"/>
    <cellStyle name="Note 8 2 10" xfId="3000"/>
    <cellStyle name="Note 8 2 2" xfId="747"/>
    <cellStyle name="Note 8 2 3" xfId="550"/>
    <cellStyle name="Note 8 2 4" xfId="1259"/>
    <cellStyle name="Note 8 2 5" xfId="402"/>
    <cellStyle name="Note 8 2 6" xfId="1578"/>
    <cellStyle name="Note 8 2 7" xfId="2366"/>
    <cellStyle name="Note 8 2 8" xfId="2689"/>
    <cellStyle name="Note 8 2 9" xfId="2811"/>
    <cellStyle name="Note 8 3" xfId="822"/>
    <cellStyle name="Note 8 4" xfId="486"/>
    <cellStyle name="Note 8 5" xfId="1135"/>
    <cellStyle name="Note 8 6" xfId="1214"/>
    <cellStyle name="Note 8 7" xfId="1350"/>
    <cellStyle name="Note 8 8" xfId="2283"/>
    <cellStyle name="Note 8 9" xfId="2212"/>
    <cellStyle name="Note 9" xfId="324"/>
    <cellStyle name="Note 9 10" xfId="2902"/>
    <cellStyle name="Note 9 11" xfId="2956"/>
    <cellStyle name="Note 9 2" xfId="880"/>
    <cellStyle name="Note 9 2 10" xfId="2549"/>
    <cellStyle name="Note 9 2 2" xfId="622"/>
    <cellStyle name="Note 9 2 3" xfId="456"/>
    <cellStyle name="Note 9 2 4" xfId="1263"/>
    <cellStyle name="Note 9 2 5" xfId="1365"/>
    <cellStyle name="Note 9 2 6" xfId="1582"/>
    <cellStyle name="Note 9 2 7" xfId="2370"/>
    <cellStyle name="Note 9 2 8" xfId="2693"/>
    <cellStyle name="Note 9 2 9" xfId="2083"/>
    <cellStyle name="Note 9 3" xfId="668"/>
    <cellStyle name="Note 9 4" xfId="1020"/>
    <cellStyle name="Note 9 5" xfId="1139"/>
    <cellStyle name="Note 9 6" xfId="960"/>
    <cellStyle name="Note 9 7" xfId="1419"/>
    <cellStyle name="Note 9 8" xfId="2261"/>
    <cellStyle name="Note 9 9" xfId="2599"/>
    <cellStyle name="Output" xfId="3080" builtinId="21" customBuiltin="1"/>
    <cellStyle name="Output 2" xfId="203"/>
    <cellStyle name="Output 2 2" xfId="1031"/>
    <cellStyle name="Output 2 3" xfId="425"/>
    <cellStyle name="Output 2 4" xfId="980"/>
    <cellStyle name="Output 2 5" xfId="1211"/>
    <cellStyle name="Output 2 6" xfId="2007"/>
    <cellStyle name="Output 2 7" xfId="2821"/>
    <cellStyle name="OUTPUT AMOUNTS" xfId="30"/>
    <cellStyle name="Output Amounts 2" xfId="84"/>
    <cellStyle name="Output Amounts 3" xfId="83"/>
    <cellStyle name="Output Amounts_d1" xfId="85"/>
    <cellStyle name="OUTPUT COLUMN HEADINGS" xfId="31"/>
    <cellStyle name="Output Column Headings 2" xfId="87"/>
    <cellStyle name="Output Column Headings 3" xfId="86"/>
    <cellStyle name="Output Column Headings_d1" xfId="88"/>
    <cellStyle name="OUTPUT LINE ITEMS" xfId="32"/>
    <cellStyle name="Output Line Items 2" xfId="90"/>
    <cellStyle name="Output Line Items 2 2" xfId="355"/>
    <cellStyle name="Output Line Items 3" xfId="89"/>
    <cellStyle name="Output Line Items_d1" xfId="91"/>
    <cellStyle name="OUTPUT REPORT HEADING" xfId="33"/>
    <cellStyle name="Output Report Heading 2" xfId="93"/>
    <cellStyle name="Output Report Heading 3" xfId="92"/>
    <cellStyle name="Output Report Heading_d1" xfId="94"/>
    <cellStyle name="OUTPUT REPORT TITLE" xfId="34"/>
    <cellStyle name="Output Report Title 2" xfId="96"/>
    <cellStyle name="Output Report Title 3" xfId="95"/>
    <cellStyle name="Output Report Title_d1" xfId="97"/>
    <cellStyle name="Percent" xfId="35" builtinId="5"/>
    <cellStyle name="Percent 2" xfId="99"/>
    <cellStyle name="Percent 2 2" xfId="251"/>
    <cellStyle name="Percent 2 3" xfId="252"/>
    <cellStyle name="Percent 3" xfId="100"/>
    <cellStyle name="Percent 4" xfId="98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ReportTitlePrompt" xfId="36"/>
    <cellStyle name="ReportTitlePrompt 2" xfId="204"/>
    <cellStyle name="ReportTitlePrompt 3" xfId="107"/>
    <cellStyle name="ReportTitleValue" xfId="37"/>
    <cellStyle name="RowAcctAbovePrompt" xfId="38"/>
    <cellStyle name="RowAcctAbovePrompt 2" xfId="108"/>
    <cellStyle name="RowAcctSOBAbovePrompt" xfId="39"/>
    <cellStyle name="RowAcctSOBAbovePrompt 2" xfId="109"/>
    <cellStyle name="RowAcctSOBValue" xfId="40"/>
    <cellStyle name="RowAcctSOBValue 2" xfId="110"/>
    <cellStyle name="RowAcctValue" xfId="41"/>
    <cellStyle name="RowAttrAbovePrompt" xfId="42"/>
    <cellStyle name="RowAttrAbovePrompt 2" xfId="111"/>
    <cellStyle name="RowAttrValue" xfId="43"/>
    <cellStyle name="RowColSetAbovePrompt" xfId="44"/>
    <cellStyle name="RowColSetAbovePrompt 2" xfId="112"/>
    <cellStyle name="RowColSetLeftPrompt" xfId="45"/>
    <cellStyle name="RowColSetLeftPrompt 2" xfId="113"/>
    <cellStyle name="RowColSetValue" xfId="46"/>
    <cellStyle name="RowColSetValue 2" xfId="205"/>
    <cellStyle name="RowLeftPrompt" xfId="47"/>
    <cellStyle name="RowLeftPrompt 2" xfId="114"/>
    <cellStyle name="SampleUsingFormatMask" xfId="48"/>
    <cellStyle name="SampleUsingFormatMask 2" xfId="115"/>
    <cellStyle name="SampleWithNoFormatMask" xfId="49"/>
    <cellStyle name="SampleWithNoFormatMask 2" xfId="116"/>
    <cellStyle name="SAPBEXaggData" xfId="117"/>
    <cellStyle name="SAPBEXaggData 10" xfId="2794"/>
    <cellStyle name="SAPBEXaggData 11" xfId="2937"/>
    <cellStyle name="SAPBEXaggData 12" xfId="2878"/>
    <cellStyle name="SAPBEXaggData 2" xfId="253"/>
    <cellStyle name="SAPBEXaggData 2 10" xfId="2764"/>
    <cellStyle name="SAPBEXaggData 2 11" xfId="2015"/>
    <cellStyle name="SAPBEXaggData 2 2" xfId="413"/>
    <cellStyle name="SAPBEXaggData 2 3" xfId="1327"/>
    <cellStyle name="SAPBEXaggData 2 4" xfId="1495"/>
    <cellStyle name="SAPBEXaggData 2 5" xfId="1734"/>
    <cellStyle name="SAPBEXaggData 2 6" xfId="1857"/>
    <cellStyle name="SAPBEXaggData 2 7" xfId="2195"/>
    <cellStyle name="SAPBEXaggData 2 8" xfId="2451"/>
    <cellStyle name="SAPBEXaggData 2 9" xfId="2834"/>
    <cellStyle name="SAPBEXaggData 3" xfId="706"/>
    <cellStyle name="SAPBEXaggData 4" xfId="697"/>
    <cellStyle name="SAPBEXaggData 5" xfId="1428"/>
    <cellStyle name="SAPBEXaggData 6" xfId="1964"/>
    <cellStyle name="SAPBEXaggData 7" xfId="1972"/>
    <cellStyle name="SAPBEXaggData 8" xfId="2492"/>
    <cellStyle name="SAPBEXaggData 9" xfId="2558"/>
    <cellStyle name="SAPBEXaggDataEmph" xfId="118"/>
    <cellStyle name="SAPBEXaggDataEmph 10" xfId="2949"/>
    <cellStyle name="SAPBEXaggDataEmph 11" xfId="2651"/>
    <cellStyle name="SAPBEXaggDataEmph 2" xfId="403"/>
    <cellStyle name="SAPBEXaggDataEmph 3" xfId="610"/>
    <cellStyle name="SAPBEXaggDataEmph 4" xfId="745"/>
    <cellStyle name="SAPBEXaggDataEmph 5" xfId="1848"/>
    <cellStyle name="SAPBEXaggDataEmph 6" xfId="1838"/>
    <cellStyle name="SAPBEXaggDataEmph 7" xfId="2150"/>
    <cellStyle name="SAPBEXaggDataEmph 8" xfId="1759"/>
    <cellStyle name="SAPBEXaggDataEmph 9" xfId="2799"/>
    <cellStyle name="SAPBEXaggItem" xfId="119"/>
    <cellStyle name="SAPBEXaggItem 10" xfId="1740"/>
    <cellStyle name="SAPBEXaggItem 11" xfId="2620"/>
    <cellStyle name="SAPBEXaggItem 12" xfId="2968"/>
    <cellStyle name="SAPBEXaggItem 2" xfId="254"/>
    <cellStyle name="SAPBEXaggItem 2 10" xfId="2759"/>
    <cellStyle name="SAPBEXaggItem 2 11" xfId="2962"/>
    <cellStyle name="SAPBEXaggItem 2 2" xfId="638"/>
    <cellStyle name="SAPBEXaggItem 2 3" xfId="1224"/>
    <cellStyle name="SAPBEXaggItem 2 4" xfId="1340"/>
    <cellStyle name="SAPBEXaggItem 2 5" xfId="1733"/>
    <cellStyle name="SAPBEXaggItem 2 6" xfId="1974"/>
    <cellStyle name="SAPBEXaggItem 2 7" xfId="2006"/>
    <cellStyle name="SAPBEXaggItem 2 8" xfId="2560"/>
    <cellStyle name="SAPBEXaggItem 2 9" xfId="2760"/>
    <cellStyle name="SAPBEXaggItem 3" xfId="404"/>
    <cellStyle name="SAPBEXaggItem 4" xfId="1011"/>
    <cellStyle name="SAPBEXaggItem 5" xfId="1404"/>
    <cellStyle name="SAPBEXaggItem 6" xfId="2008"/>
    <cellStyle name="SAPBEXaggItem 7" xfId="1918"/>
    <cellStyle name="SAPBEXaggItem 8" xfId="1771"/>
    <cellStyle name="SAPBEXaggItem 9" xfId="2513"/>
    <cellStyle name="SAPBEXaggItemX" xfId="120"/>
    <cellStyle name="SAPBEXaggItemX 10" xfId="1766"/>
    <cellStyle name="SAPBEXaggItemX 11" xfId="2905"/>
    <cellStyle name="SAPBEXaggItemX 12" xfId="2891"/>
    <cellStyle name="SAPBEXaggItemX 2" xfId="255"/>
    <cellStyle name="SAPBEXaggItemX 2 10" xfId="2980"/>
    <cellStyle name="SAPBEXaggItemX 2 11" xfId="2868"/>
    <cellStyle name="SAPBEXaggItemX 2 2" xfId="493"/>
    <cellStyle name="SAPBEXaggItemX 2 3" xfId="1325"/>
    <cellStyle name="SAPBEXaggItemX 2 4" xfId="1494"/>
    <cellStyle name="SAPBEXaggItemX 2 5" xfId="1732"/>
    <cellStyle name="SAPBEXaggItemX 2 6" xfId="1885"/>
    <cellStyle name="SAPBEXaggItemX 2 7" xfId="2230"/>
    <cellStyle name="SAPBEXaggItemX 2 8" xfId="2485"/>
    <cellStyle name="SAPBEXaggItemX 2 9" xfId="1694"/>
    <cellStyle name="SAPBEXaggItemX 3" xfId="629"/>
    <cellStyle name="SAPBEXaggItemX 4" xfId="805"/>
    <cellStyle name="SAPBEXaggItemX 5" xfId="453"/>
    <cellStyle name="SAPBEXaggItemX 6" xfId="1888"/>
    <cellStyle name="SAPBEXaggItemX 7" xfId="2036"/>
    <cellStyle name="SAPBEXaggItemX 8" xfId="1684"/>
    <cellStyle name="SAPBEXaggItemX 9" xfId="2622"/>
    <cellStyle name="SAPBEXchaText" xfId="121"/>
    <cellStyle name="SAPBEXchaText 2" xfId="256"/>
    <cellStyle name="SAPBEXexcBad7" xfId="122"/>
    <cellStyle name="SAPBEXexcBad7 10" xfId="2803"/>
    <cellStyle name="SAPBEXexcBad7 11" xfId="2952"/>
    <cellStyle name="SAPBEXexcBad7 12" xfId="2842"/>
    <cellStyle name="SAPBEXexcBad7 2" xfId="257"/>
    <cellStyle name="SAPBEXexcBad7 2 10" xfId="1683"/>
    <cellStyle name="SAPBEXexcBad7 2 11" xfId="2889"/>
    <cellStyle name="SAPBEXexcBad7 2 2" xfId="457"/>
    <cellStyle name="SAPBEXexcBad7 2 3" xfId="426"/>
    <cellStyle name="SAPBEXexcBad7 2 4" xfId="1324"/>
    <cellStyle name="SAPBEXexcBad7 2 5" xfId="2060"/>
    <cellStyle name="SAPBEXexcBad7 2 6" xfId="1864"/>
    <cellStyle name="SAPBEXexcBad7 2 7" xfId="2273"/>
    <cellStyle name="SAPBEXexcBad7 2 8" xfId="2459"/>
    <cellStyle name="SAPBEXexcBad7 2 9" xfId="1681"/>
    <cellStyle name="SAPBEXexcBad7 3" xfId="716"/>
    <cellStyle name="SAPBEXexcBad7 4" xfId="695"/>
    <cellStyle name="SAPBEXexcBad7 5" xfId="761"/>
    <cellStyle name="SAPBEXexcBad7 6" xfId="1854"/>
    <cellStyle name="SAPBEXexcBad7 7" xfId="2037"/>
    <cellStyle name="SAPBEXexcBad7 8" xfId="1686"/>
    <cellStyle name="SAPBEXexcBad7 9" xfId="2623"/>
    <cellStyle name="SAPBEXexcBad8" xfId="123"/>
    <cellStyle name="SAPBEXexcBad8 10" xfId="1811"/>
    <cellStyle name="SAPBEXexcBad8 11" xfId="2969"/>
    <cellStyle name="SAPBEXexcBad8 2" xfId="405"/>
    <cellStyle name="SAPBEXexcBad8 3" xfId="670"/>
    <cellStyle name="SAPBEXexcBad8 4" xfId="1393"/>
    <cellStyle name="SAPBEXexcBad8 5" xfId="1996"/>
    <cellStyle name="SAPBEXexcBad8 6" xfId="1920"/>
    <cellStyle name="SAPBEXexcBad8 7" xfId="1687"/>
    <cellStyle name="SAPBEXexcBad8 8" xfId="2515"/>
    <cellStyle name="SAPBEXexcBad8 9" xfId="2440"/>
    <cellStyle name="SAPBEXexcBad9" xfId="124"/>
    <cellStyle name="SAPBEXexcBad9 10" xfId="2818"/>
    <cellStyle name="SAPBEXexcBad9 11" xfId="2804"/>
    <cellStyle name="SAPBEXexcBad9 2" xfId="406"/>
    <cellStyle name="SAPBEXexcBad9 3" xfId="1010"/>
    <cellStyle name="SAPBEXexcBad9 4" xfId="1336"/>
    <cellStyle name="SAPBEXexcBad9 5" xfId="1875"/>
    <cellStyle name="SAPBEXexcBad9 6" xfId="2038"/>
    <cellStyle name="SAPBEXexcBad9 7" xfId="1816"/>
    <cellStyle name="SAPBEXexcBad9 8" xfId="2624"/>
    <cellStyle name="SAPBEXexcBad9 9" xfId="2484"/>
    <cellStyle name="SAPBEXexcCritical4" xfId="125"/>
    <cellStyle name="SAPBEXexcCritical4 10" xfId="2319"/>
    <cellStyle name="SAPBEXexcCritical4 11" xfId="2566"/>
    <cellStyle name="SAPBEXexcCritical4 12" xfId="3027"/>
    <cellStyle name="SAPBEXexcCritical4 2" xfId="258"/>
    <cellStyle name="SAPBEXexcCritical4 2 10" xfId="2888"/>
    <cellStyle name="SAPBEXexcCritical4 2 11" xfId="3016"/>
    <cellStyle name="SAPBEXexcCritical4 2 2" xfId="624"/>
    <cellStyle name="SAPBEXexcCritical4 2 3" xfId="1226"/>
    <cellStyle name="SAPBEXexcCritical4 2 4" xfId="1407"/>
    <cellStyle name="SAPBEXexcCritical4 2 5" xfId="2061"/>
    <cellStyle name="SAPBEXexcCritical4 2 6" xfId="1976"/>
    <cellStyle name="SAPBEXexcCritical4 2 7" xfId="2144"/>
    <cellStyle name="SAPBEXexcCritical4 2 8" xfId="2471"/>
    <cellStyle name="SAPBEXexcCritical4 2 9" xfId="2656"/>
    <cellStyle name="SAPBEXexcCritical4 3" xfId="819"/>
    <cellStyle name="SAPBEXexcCritical4 4" xfId="397"/>
    <cellStyle name="SAPBEXexcCritical4 5" xfId="1421"/>
    <cellStyle name="SAPBEXexcCritical4 6" xfId="1865"/>
    <cellStyle name="SAPBEXexcCritical4 7" xfId="1921"/>
    <cellStyle name="SAPBEXexcCritical4 8" xfId="1688"/>
    <cellStyle name="SAPBEXexcCritical4 9" xfId="2516"/>
    <cellStyle name="SAPBEXexcCritical5" xfId="126"/>
    <cellStyle name="SAPBEXexcCritical5 10" xfId="2467"/>
    <cellStyle name="SAPBEXexcCritical5 11" xfId="1810"/>
    <cellStyle name="SAPBEXexcCritical5 12" xfId="2096"/>
    <cellStyle name="SAPBEXexcCritical5 2" xfId="259"/>
    <cellStyle name="SAPBEXexcCritical5 2 10" xfId="2875"/>
    <cellStyle name="SAPBEXexcCritical5 2 11" xfId="2546"/>
    <cellStyle name="SAPBEXexcCritical5 2 2" xfId="424"/>
    <cellStyle name="SAPBEXexcCritical5 2 3" xfId="1101"/>
    <cellStyle name="SAPBEXexcCritical5 2 4" xfId="1041"/>
    <cellStyle name="SAPBEXexcCritical5 2 5" xfId="2062"/>
    <cellStyle name="SAPBEXexcCritical5 2 6" xfId="1748"/>
    <cellStyle name="SAPBEXexcCritical5 2 7" xfId="2219"/>
    <cellStyle name="SAPBEXexcCritical5 2 8" xfId="2120"/>
    <cellStyle name="SAPBEXexcCritical5 2 9" xfId="2826"/>
    <cellStyle name="SAPBEXexcCritical5 3" xfId="497"/>
    <cellStyle name="SAPBEXexcCritical5 4" xfId="801"/>
    <cellStyle name="SAPBEXexcCritical5 5" xfId="567"/>
    <cellStyle name="SAPBEXexcCritical5 6" xfId="2004"/>
    <cellStyle name="SAPBEXexcCritical5 7" xfId="2039"/>
    <cellStyle name="SAPBEXexcCritical5 8" xfId="1689"/>
    <cellStyle name="SAPBEXexcCritical5 9" xfId="2625"/>
    <cellStyle name="SAPBEXexcCritical6" xfId="127"/>
    <cellStyle name="SAPBEXexcCritical6 10" xfId="2327"/>
    <cellStyle name="SAPBEXexcCritical6 11" xfId="2904"/>
    <cellStyle name="SAPBEXexcCritical6 12" xfId="2961"/>
    <cellStyle name="SAPBEXexcCritical6 2" xfId="260"/>
    <cellStyle name="SAPBEXexcCritical6 2 10" xfId="2862"/>
    <cellStyle name="SAPBEXexcCritical6 2 11" xfId="2995"/>
    <cellStyle name="SAPBEXexcCritical6 2 2" xfId="810"/>
    <cellStyle name="SAPBEXexcCritical6 2 3" xfId="1223"/>
    <cellStyle name="SAPBEXexcCritical6 2 4" xfId="1426"/>
    <cellStyle name="SAPBEXexcCritical6 2 5" xfId="2063"/>
    <cellStyle name="SAPBEXexcCritical6 2 6" xfId="1983"/>
    <cellStyle name="SAPBEXexcCritical6 2 7" xfId="2093"/>
    <cellStyle name="SAPBEXexcCritical6 2 8" xfId="2569"/>
    <cellStyle name="SAPBEXexcCritical6 2 9" xfId="2495"/>
    <cellStyle name="SAPBEXexcCritical6 3" xfId="498"/>
    <cellStyle name="SAPBEXexcCritical6 4" xfId="682"/>
    <cellStyle name="SAPBEXexcCritical6 5" xfId="1388"/>
    <cellStyle name="SAPBEXexcCritical6 6" xfId="1884"/>
    <cellStyle name="SAPBEXexcCritical6 7" xfId="1922"/>
    <cellStyle name="SAPBEXexcCritical6 8" xfId="1817"/>
    <cellStyle name="SAPBEXexcCritical6 9" xfId="2517"/>
    <cellStyle name="SAPBEXexcGood1" xfId="128"/>
    <cellStyle name="SAPBEXexcGood1 10" xfId="1782"/>
    <cellStyle name="SAPBEXexcGood1 11" xfId="2805"/>
    <cellStyle name="SAPBEXexcGood1 2" xfId="773"/>
    <cellStyle name="SAPBEXexcGood1 3" xfId="765"/>
    <cellStyle name="SAPBEXexcGood1 4" xfId="1338"/>
    <cellStyle name="SAPBEXexcGood1 5" xfId="1975"/>
    <cellStyle name="SAPBEXexcGood1 6" xfId="2040"/>
    <cellStyle name="SAPBEXexcGood1 7" xfId="1690"/>
    <cellStyle name="SAPBEXexcGood1 8" xfId="2626"/>
    <cellStyle name="SAPBEXexcGood1 9" xfId="2185"/>
    <cellStyle name="SAPBEXexcGood2" xfId="129"/>
    <cellStyle name="SAPBEXexcGood2 10" xfId="2649"/>
    <cellStyle name="SAPBEXexcGood2 11" xfId="3018"/>
    <cellStyle name="SAPBEXexcGood2 2" xfId="499"/>
    <cellStyle name="SAPBEXexcGood2 3" xfId="459"/>
    <cellStyle name="SAPBEXexcGood2 4" xfId="1424"/>
    <cellStyle name="SAPBEXexcGood2 5" xfId="1858"/>
    <cellStyle name="SAPBEXexcGood2 6" xfId="1923"/>
    <cellStyle name="SAPBEXexcGood2 7" xfId="1818"/>
    <cellStyle name="SAPBEXexcGood2 8" xfId="2518"/>
    <cellStyle name="SAPBEXexcGood2 9" xfId="1980"/>
    <cellStyle name="SAPBEXexcGood3" xfId="130"/>
    <cellStyle name="SAPBEXexcGood3 10" xfId="1851"/>
    <cellStyle name="SAPBEXexcGood3 11" xfId="1809"/>
    <cellStyle name="SAPBEXexcGood3 12" xfId="2895"/>
    <cellStyle name="SAPBEXexcGood3 2" xfId="261"/>
    <cellStyle name="SAPBEXexcGood3 2 10" xfId="2972"/>
    <cellStyle name="SAPBEXexcGood3 2 11" xfId="2066"/>
    <cellStyle name="SAPBEXexcGood3 2 2" xfId="796"/>
    <cellStyle name="SAPBEXexcGood3 2 3" xfId="611"/>
    <cellStyle name="SAPBEXexcGood3 2 4" xfId="662"/>
    <cellStyle name="SAPBEXexcGood3 2 5" xfId="2064"/>
    <cellStyle name="SAPBEXexcGood3 2 6" xfId="1899"/>
    <cellStyle name="SAPBEXexcGood3 2 7" xfId="2262"/>
    <cellStyle name="SAPBEXexcGood3 2 8" xfId="2578"/>
    <cellStyle name="SAPBEXexcGood3 2 9" xfId="2833"/>
    <cellStyle name="SAPBEXexcGood3 3" xfId="698"/>
    <cellStyle name="SAPBEXexcGood3 4" xfId="791"/>
    <cellStyle name="SAPBEXexcGood3 5" xfId="775"/>
    <cellStyle name="SAPBEXexcGood3 6" xfId="1941"/>
    <cellStyle name="SAPBEXexcGood3 7" xfId="2041"/>
    <cellStyle name="SAPBEXexcGood3 8" xfId="1691"/>
    <cellStyle name="SAPBEXexcGood3 9" xfId="2627"/>
    <cellStyle name="SAPBEXfilterDrill" xfId="131"/>
    <cellStyle name="SAPBEXfilterDrill 2" xfId="262"/>
    <cellStyle name="SAPBEXfilterItem" xfId="132"/>
    <cellStyle name="SAPBEXfilterItem 2" xfId="263"/>
    <cellStyle name="SAPBEXfilterText" xfId="133"/>
    <cellStyle name="SAPBEXfilterText 2" xfId="264"/>
    <cellStyle name="SAPBEXformats" xfId="134"/>
    <cellStyle name="SAPBEXformats 10" xfId="1743"/>
    <cellStyle name="SAPBEXformats 11" xfId="2652"/>
    <cellStyle name="SAPBEXformats 12" xfId="3005"/>
    <cellStyle name="SAPBEXformats 2" xfId="265"/>
    <cellStyle name="SAPBEXformats 2 10" xfId="1830"/>
    <cellStyle name="SAPBEXformats 2 11" xfId="2806"/>
    <cellStyle name="SAPBEXformats 2 2" xfId="693"/>
    <cellStyle name="SAPBEXformats 2 3" xfId="677"/>
    <cellStyle name="SAPBEXformats 2 4" xfId="537"/>
    <cellStyle name="SAPBEXformats 2 5" xfId="2068"/>
    <cellStyle name="SAPBEXformats 2 6" xfId="2313"/>
    <cellStyle name="SAPBEXformats 2 7" xfId="2281"/>
    <cellStyle name="SAPBEXformats 2 8" xfId="1794"/>
    <cellStyle name="SAPBEXformats 2 9" xfId="2832"/>
    <cellStyle name="SAPBEXformats 3" xfId="581"/>
    <cellStyle name="SAPBEXformats 4" xfId="636"/>
    <cellStyle name="SAPBEXformats 5" xfId="1438"/>
    <cellStyle name="SAPBEXformats 6" xfId="1965"/>
    <cellStyle name="SAPBEXformats 7" xfId="2043"/>
    <cellStyle name="SAPBEXformats 8" xfId="1820"/>
    <cellStyle name="SAPBEXformats 9" xfId="2629"/>
    <cellStyle name="SAPBEXheaderItem" xfId="135"/>
    <cellStyle name="SAPBEXheaderItem 2" xfId="266"/>
    <cellStyle name="SAPBEXheaderText" xfId="136"/>
    <cellStyle name="SAPBEXheaderText 2" xfId="267"/>
    <cellStyle name="SAPBEXHLevel0" xfId="137"/>
    <cellStyle name="SAPBEXHLevel0 10" xfId="2255"/>
    <cellStyle name="SAPBEXHLevel0 11" xfId="2792"/>
    <cellStyle name="SAPBEXHLevel0 12" xfId="3003"/>
    <cellStyle name="SAPBEXHLevel0 2" xfId="206"/>
    <cellStyle name="SAPBEXHLevel0 2 10" xfId="3030"/>
    <cellStyle name="SAPBEXHLevel0 2 11" xfId="2998"/>
    <cellStyle name="SAPBEXHLevel0 2 2" xfId="1071"/>
    <cellStyle name="SAPBEXHLevel0 2 3" xfId="829"/>
    <cellStyle name="SAPBEXHLevel0 2 4" xfId="1028"/>
    <cellStyle name="SAPBEXHLevel0 2 5" xfId="1914"/>
    <cellStyle name="SAPBEXHLevel0 2 6" xfId="2139"/>
    <cellStyle name="SAPBEXHLevel0 2 7" xfId="2552"/>
    <cellStyle name="SAPBEXHLevel0 2 8" xfId="2595"/>
    <cellStyle name="SAPBEXHLevel0 2 9" xfId="2229"/>
    <cellStyle name="SAPBEXHLevel0 3" xfId="582"/>
    <cellStyle name="SAPBEXHLevel0 4" xfId="449"/>
    <cellStyle name="SAPBEXHLevel0 5" xfId="1351"/>
    <cellStyle name="SAPBEXHLevel0 6" xfId="1882"/>
    <cellStyle name="SAPBEXHLevel0 7" xfId="1927"/>
    <cellStyle name="SAPBEXHLevel0 8" xfId="1695"/>
    <cellStyle name="SAPBEXHLevel0 9" xfId="2520"/>
    <cellStyle name="SAPBEXHLevel0X" xfId="138"/>
    <cellStyle name="SAPBEXHLevel0X 10" xfId="2024"/>
    <cellStyle name="SAPBEXHLevel0X 11" xfId="1730"/>
    <cellStyle name="SAPBEXHLevel0X 12" xfId="2957"/>
    <cellStyle name="SAPBEXHLevel0X 2" xfId="207"/>
    <cellStyle name="SAPBEXHLevel0X 2 10" xfId="2970"/>
    <cellStyle name="SAPBEXHLevel0X 2 11" xfId="2020"/>
    <cellStyle name="SAPBEXHLevel0X 2 2" xfId="812"/>
    <cellStyle name="SAPBEXHLevel0X 2 3" xfId="1225"/>
    <cellStyle name="SAPBEXHLevel0X 2 4" xfId="1411"/>
    <cellStyle name="SAPBEXHLevel0X 2 5" xfId="2030"/>
    <cellStyle name="SAPBEXHLevel0X 2 6" xfId="2227"/>
    <cellStyle name="SAPBEXHLevel0X 2 7" xfId="2443"/>
    <cellStyle name="SAPBEXHLevel0X 2 8" xfId="1926"/>
    <cellStyle name="SAPBEXHLevel0X 2 9" xfId="2245"/>
    <cellStyle name="SAPBEXHLevel0X 3" xfId="661"/>
    <cellStyle name="SAPBEXHLevel0X 4" xfId="800"/>
    <cellStyle name="SAPBEXHLevel0X 5" xfId="1439"/>
    <cellStyle name="SAPBEXHLevel0X 6" xfId="1977"/>
    <cellStyle name="SAPBEXHLevel0X 7" xfId="2045"/>
    <cellStyle name="SAPBEXHLevel0X 8" xfId="1821"/>
    <cellStyle name="SAPBEXHLevel0X 9" xfId="2630"/>
    <cellStyle name="SAPBEXHLevel1" xfId="139"/>
    <cellStyle name="SAPBEXHLevel1 10" xfId="1989"/>
    <cellStyle name="SAPBEXHLevel1 11" xfId="1680"/>
    <cellStyle name="SAPBEXHLevel1 12" xfId="2959"/>
    <cellStyle name="SAPBEXHLevel1 2" xfId="208"/>
    <cellStyle name="SAPBEXHLevel1 2 10" xfId="2974"/>
    <cellStyle name="SAPBEXHLevel1 2 11" xfId="2994"/>
    <cellStyle name="SAPBEXHLevel1 2 2" xfId="1053"/>
    <cellStyle name="SAPBEXHLevel1 2 3" xfId="468"/>
    <cellStyle name="SAPBEXHLevel1 2 4" xfId="1326"/>
    <cellStyle name="SAPBEXHLevel1 2 5" xfId="1912"/>
    <cellStyle name="SAPBEXHLevel1 2 6" xfId="2101"/>
    <cellStyle name="SAPBEXHLevel1 2 7" xfId="2588"/>
    <cellStyle name="SAPBEXHLevel1 2 8" xfId="1973"/>
    <cellStyle name="SAPBEXHLevel1 2 9" xfId="2565"/>
    <cellStyle name="SAPBEXHLevel1 3" xfId="596"/>
    <cellStyle name="SAPBEXHLevel1 4" xfId="759"/>
    <cellStyle name="SAPBEXHLevel1 5" xfId="1352"/>
    <cellStyle name="SAPBEXHLevel1 6" xfId="1860"/>
    <cellStyle name="SAPBEXHLevel1 7" xfId="1905"/>
    <cellStyle name="SAPBEXHLevel1 8" xfId="1696"/>
    <cellStyle name="SAPBEXHLevel1 9" xfId="2501"/>
    <cellStyle name="SAPBEXHLevel1X" xfId="140"/>
    <cellStyle name="SAPBEXHLevel1X 10" xfId="1744"/>
    <cellStyle name="SAPBEXHLevel1X 11" xfId="1808"/>
    <cellStyle name="SAPBEXHLevel1X 12" xfId="3025"/>
    <cellStyle name="SAPBEXHLevel1X 2" xfId="209"/>
    <cellStyle name="SAPBEXHLevel1X 2 10" xfId="2928"/>
    <cellStyle name="SAPBEXHLevel1X 2 11" xfId="2999"/>
    <cellStyle name="SAPBEXHLevel1X 2 2" xfId="437"/>
    <cellStyle name="SAPBEXHLevel1X 2 3" xfId="1222"/>
    <cellStyle name="SAPBEXHLevel1X 2 4" xfId="1347"/>
    <cellStyle name="SAPBEXHLevel1X 2 5" xfId="1940"/>
    <cellStyle name="SAPBEXHLevel1X 2 6" xfId="2274"/>
    <cellStyle name="SAPBEXHLevel1X 2 7" xfId="2483"/>
    <cellStyle name="SAPBEXHLevel1X 2 8" xfId="2461"/>
    <cellStyle name="SAPBEXHLevel1X 2 9" xfId="2787"/>
    <cellStyle name="SAPBEXHLevel1X 3" xfId="816"/>
    <cellStyle name="SAPBEXHLevel1X 4" xfId="642"/>
    <cellStyle name="SAPBEXHLevel1X 5" xfId="1440"/>
    <cellStyle name="SAPBEXHLevel1X 6" xfId="2019"/>
    <cellStyle name="SAPBEXHLevel1X 7" xfId="2023"/>
    <cellStyle name="SAPBEXHLevel1X 8" xfId="1822"/>
    <cellStyle name="SAPBEXHLevel1X 9" xfId="2610"/>
    <cellStyle name="SAPBEXHLevel2" xfId="141"/>
    <cellStyle name="SAPBEXHLevel2 10" xfId="1966"/>
    <cellStyle name="SAPBEXHLevel2 11" xfId="2253"/>
    <cellStyle name="SAPBEXHLevel2 12" xfId="2975"/>
    <cellStyle name="SAPBEXHLevel2 2" xfId="210"/>
    <cellStyle name="SAPBEXHLevel2 2 10" xfId="1978"/>
    <cellStyle name="SAPBEXHLevel2 2 11" xfId="2943"/>
    <cellStyle name="SAPBEXHLevel2 2 2" xfId="795"/>
    <cellStyle name="SAPBEXHLevel2 2 3" xfId="976"/>
    <cellStyle name="SAPBEXHLevel2 2 4" xfId="1168"/>
    <cellStyle name="SAPBEXHLevel2 2 5" xfId="1756"/>
    <cellStyle name="SAPBEXHLevel2 2 6" xfId="2146"/>
    <cellStyle name="SAPBEXHLevel2 2 7" xfId="2531"/>
    <cellStyle name="SAPBEXHLevel2 2 8" xfId="2447"/>
    <cellStyle name="SAPBEXHLevel2 2 9" xfId="2462"/>
    <cellStyle name="SAPBEXHLevel2 3" xfId="569"/>
    <cellStyle name="SAPBEXHLevel2 4" xfId="598"/>
    <cellStyle name="SAPBEXHLevel2 5" xfId="1353"/>
    <cellStyle name="SAPBEXHLevel2 6" xfId="1901"/>
    <cellStyle name="SAPBEXHLevel2 7" xfId="1928"/>
    <cellStyle name="SAPBEXHLevel2 8" xfId="1697"/>
    <cellStyle name="SAPBEXHLevel2 9" xfId="2521"/>
    <cellStyle name="SAPBEXHLevel2X" xfId="142"/>
    <cellStyle name="SAPBEXHLevel2X 10" xfId="2323"/>
    <cellStyle name="SAPBEXHLevel2X 11" xfId="1679"/>
    <cellStyle name="SAPBEXHLevel2X 12" xfId="2915"/>
    <cellStyle name="SAPBEXHLevel2X 2" xfId="211"/>
    <cellStyle name="SAPBEXHLevel2X 2 10" xfId="3031"/>
    <cellStyle name="SAPBEXHLevel2X 2 11" xfId="2154"/>
    <cellStyle name="SAPBEXHLevel2X 2 2" xfId="494"/>
    <cellStyle name="SAPBEXHLevel2X 2 3" xfId="1221"/>
    <cellStyle name="SAPBEXHLevel2X 2 4" xfId="1435"/>
    <cellStyle name="SAPBEXHLevel2X 2 5" xfId="2028"/>
    <cellStyle name="SAPBEXHLevel2X 2 6" xfId="2218"/>
    <cellStyle name="SAPBEXHLevel2X 2 7" xfId="2330"/>
    <cellStyle name="SAPBEXHLevel2X 2 8" xfId="2539"/>
    <cellStyle name="SAPBEXHLevel2X 2 9" xfId="2909"/>
    <cellStyle name="SAPBEXHLevel2X 3" xfId="513"/>
    <cellStyle name="SAPBEXHLevel2X 4" xfId="444"/>
    <cellStyle name="SAPBEXHLevel2X 5" xfId="1441"/>
    <cellStyle name="SAPBEXHLevel2X 6" xfId="1968"/>
    <cellStyle name="SAPBEXHLevel2X 7" xfId="2046"/>
    <cellStyle name="SAPBEXHLevel2X 8" xfId="1823"/>
    <cellStyle name="SAPBEXHLevel2X 9" xfId="2631"/>
    <cellStyle name="SAPBEXHLevel3" xfId="143"/>
    <cellStyle name="SAPBEXHLevel3 10" xfId="1850"/>
    <cellStyle name="SAPBEXHLevel3 11" xfId="2855"/>
    <cellStyle name="SAPBEXHLevel3 12" xfId="1664"/>
    <cellStyle name="SAPBEXHLevel3 2" xfId="212"/>
    <cellStyle name="SAPBEXHLevel3 2 10" xfId="2919"/>
    <cellStyle name="SAPBEXHLevel3 2 11" xfId="1735"/>
    <cellStyle name="SAPBEXHLevel3 2 2" xfId="770"/>
    <cellStyle name="SAPBEXHLevel3 2 3" xfId="764"/>
    <cellStyle name="SAPBEXHLevel3 2 4" xfId="1383"/>
    <cellStyle name="SAPBEXHLevel3 2 5" xfId="1910"/>
    <cellStyle name="SAPBEXHLevel3 2 6" xfId="2090"/>
    <cellStyle name="SAPBEXHLevel3 2 7" xfId="2562"/>
    <cellStyle name="SAPBEXHLevel3 2 8" xfId="1999"/>
    <cellStyle name="SAPBEXHLevel3 2 9" xfId="2854"/>
    <cellStyle name="SAPBEXHLevel3 3" xfId="617"/>
    <cellStyle name="SAPBEXHLevel3 4" xfId="794"/>
    <cellStyle name="SAPBEXHLevel3 5" xfId="1354"/>
    <cellStyle name="SAPBEXHLevel3 6" xfId="1852"/>
    <cellStyle name="SAPBEXHLevel3 7" xfId="1929"/>
    <cellStyle name="SAPBEXHLevel3 8" xfId="1698"/>
    <cellStyle name="SAPBEXHLevel3 9" xfId="2522"/>
    <cellStyle name="SAPBEXHLevel3X" xfId="144"/>
    <cellStyle name="SAPBEXHLevel3X 10" xfId="2491"/>
    <cellStyle name="SAPBEXHLevel3X 11" xfId="1807"/>
    <cellStyle name="SAPBEXHLevel3X 12" xfId="3029"/>
    <cellStyle name="SAPBEXHLevel3X 2" xfId="213"/>
    <cellStyle name="SAPBEXHLevel3X 2 10" xfId="3026"/>
    <cellStyle name="SAPBEXHLevel3X 2 11" xfId="2920"/>
    <cellStyle name="SAPBEXHLevel3X 2 2" xfId="1084"/>
    <cellStyle name="SAPBEXHLevel3X 2 3" xfId="1043"/>
    <cellStyle name="SAPBEXHLevel3X 2 4" xfId="736"/>
    <cellStyle name="SAPBEXHLevel3X 2 5" xfId="2026"/>
    <cellStyle name="SAPBEXHLevel3X 2 6" xfId="2270"/>
    <cellStyle name="SAPBEXHLevel3X 2 7" xfId="2452"/>
    <cellStyle name="SAPBEXHLevel3X 2 8" xfId="2465"/>
    <cellStyle name="SAPBEXHLevel3X 2 9" xfId="2903"/>
    <cellStyle name="SAPBEXHLevel3X 3" xfId="577"/>
    <cellStyle name="SAPBEXHLevel3X 4" xfId="555"/>
    <cellStyle name="SAPBEXHLevel3X 5" xfId="1442"/>
    <cellStyle name="SAPBEXHLevel3X 6" xfId="1998"/>
    <cellStyle name="SAPBEXHLevel3X 7" xfId="1907"/>
    <cellStyle name="SAPBEXHLevel3X 8" xfId="1699"/>
    <cellStyle name="SAPBEXHLevel3X 9" xfId="2503"/>
    <cellStyle name="SAPBEXresData" xfId="145"/>
    <cellStyle name="SAPBEXresData 10" xfId="2883"/>
    <cellStyle name="SAPBEXresData 11" xfId="2997"/>
    <cellStyle name="SAPBEXresData 2" xfId="601"/>
    <cellStyle name="SAPBEXresData 3" xfId="440"/>
    <cellStyle name="SAPBEXresData 4" xfId="1355"/>
    <cellStyle name="SAPBEXresData 5" xfId="1878"/>
    <cellStyle name="SAPBEXresData 6" xfId="2025"/>
    <cellStyle name="SAPBEXresData 7" xfId="1700"/>
    <cellStyle name="SAPBEXresData 8" xfId="2612"/>
    <cellStyle name="SAPBEXresData 9" xfId="2606"/>
    <cellStyle name="SAPBEXresDataEmph" xfId="146"/>
    <cellStyle name="SAPBEXresDataEmph 10" xfId="1663"/>
    <cellStyle name="SAPBEXresDataEmph 11" xfId="1665"/>
    <cellStyle name="SAPBEXresDataEmph 2" xfId="754"/>
    <cellStyle name="SAPBEXresDataEmph 3" xfId="717"/>
    <cellStyle name="SAPBEXresDataEmph 4" xfId="1443"/>
    <cellStyle name="SAPBEXresDataEmph 5" xfId="1986"/>
    <cellStyle name="SAPBEXresDataEmph 6" xfId="1909"/>
    <cellStyle name="SAPBEXresDataEmph 7" xfId="1824"/>
    <cellStyle name="SAPBEXresDataEmph 8" xfId="2504"/>
    <cellStyle name="SAPBEXresDataEmph 9" xfId="1847"/>
    <cellStyle name="SAPBEXresItem" xfId="147"/>
    <cellStyle name="SAPBEXresItem 10" xfId="2092"/>
    <cellStyle name="SAPBEXresItem 11" xfId="1770"/>
    <cellStyle name="SAPBEXresItem 12" xfId="3020"/>
    <cellStyle name="SAPBEXresItem 2" xfId="268"/>
    <cellStyle name="SAPBEXresItem 2 10" xfId="2827"/>
    <cellStyle name="SAPBEXresItem 2 11" xfId="2981"/>
    <cellStyle name="SAPBEXresItem 2 2" xfId="778"/>
    <cellStyle name="SAPBEXresItem 2 3" xfId="1218"/>
    <cellStyle name="SAPBEXresItem 2 4" xfId="411"/>
    <cellStyle name="SAPBEXresItem 2 5" xfId="2071"/>
    <cellStyle name="SAPBEXresItem 2 6" xfId="2214"/>
    <cellStyle name="SAPBEXresItem 2 7" xfId="2099"/>
    <cellStyle name="SAPBEXresItem 2 8" xfId="2526"/>
    <cellStyle name="SAPBEXresItem 2 9" xfId="2596"/>
    <cellStyle name="SAPBEXresItem 3" xfId="566"/>
    <cellStyle name="SAPBEXresItem 4" xfId="559"/>
    <cellStyle name="SAPBEXresItem 5" xfId="1356"/>
    <cellStyle name="SAPBEXresItem 6" xfId="1868"/>
    <cellStyle name="SAPBEXresItem 7" xfId="2027"/>
    <cellStyle name="SAPBEXresItem 8" xfId="1701"/>
    <cellStyle name="SAPBEXresItem 9" xfId="2614"/>
    <cellStyle name="SAPBEXresItemX" xfId="148"/>
    <cellStyle name="SAPBEXresItemX 10" xfId="1902"/>
    <cellStyle name="SAPBEXresItemX 11" xfId="1662"/>
    <cellStyle name="SAPBEXresItemX 12" xfId="3022"/>
    <cellStyle name="SAPBEXresItemX 2" xfId="269"/>
    <cellStyle name="SAPBEXresItemX 2 10" xfId="2209"/>
    <cellStyle name="SAPBEXresItemX 2 11" xfId="2978"/>
    <cellStyle name="SAPBEXresItemX 2 2" xfId="429"/>
    <cellStyle name="SAPBEXresItemX 2 3" xfId="558"/>
    <cellStyle name="SAPBEXresItemX 2 4" xfId="399"/>
    <cellStyle name="SAPBEXresItemX 2 5" xfId="2072"/>
    <cellStyle name="SAPBEXresItemX 2 6" xfId="2086"/>
    <cellStyle name="SAPBEXresItemX 2 7" xfId="2249"/>
    <cellStyle name="SAPBEXresItemX 2 8" xfId="1867"/>
    <cellStyle name="SAPBEXresItemX 2 9" xfId="2831"/>
    <cellStyle name="SAPBEXresItemX 3" xfId="488"/>
    <cellStyle name="SAPBEXresItemX 4" xfId="917"/>
    <cellStyle name="SAPBEXresItemX 5" xfId="1444"/>
    <cellStyle name="SAPBEXresItemX 6" xfId="2017"/>
    <cellStyle name="SAPBEXresItemX 7" xfId="1911"/>
    <cellStyle name="SAPBEXresItemX 8" xfId="1825"/>
    <cellStyle name="SAPBEXresItemX 9" xfId="2506"/>
    <cellStyle name="SAPBEXstdData" xfId="149"/>
    <cellStyle name="SAPBEXstdData 10" xfId="2265"/>
    <cellStyle name="SAPBEXstdData 11" xfId="1678"/>
    <cellStyle name="SAPBEXstdData 12" xfId="2991"/>
    <cellStyle name="SAPBEXstdData 2" xfId="270"/>
    <cellStyle name="SAPBEXstdData 2 10" xfId="1768"/>
    <cellStyle name="SAPBEXstdData 2 11" xfId="2870"/>
    <cellStyle name="SAPBEXstdData 2 2" xfId="735"/>
    <cellStyle name="SAPBEXstdData 2 3" xfId="1217"/>
    <cellStyle name="SAPBEXstdData 2 4" xfId="1367"/>
    <cellStyle name="SAPBEXstdData 2 5" xfId="2073"/>
    <cellStyle name="SAPBEXstdData 2 6" xfId="1749"/>
    <cellStyle name="SAPBEXstdData 2 7" xfId="2122"/>
    <cellStyle name="SAPBEXstdData 2 8" xfId="2247"/>
    <cellStyle name="SAPBEXstdData 2 9" xfId="2449"/>
    <cellStyle name="SAPBEXstdData 3" xfId="619"/>
    <cellStyle name="SAPBEXstdData 4" xfId="464"/>
    <cellStyle name="SAPBEXstdData 5" xfId="1357"/>
    <cellStyle name="SAPBEXstdData 6" xfId="1897"/>
    <cellStyle name="SAPBEXstdData 7" xfId="2029"/>
    <cellStyle name="SAPBEXstdData 8" xfId="1702"/>
    <cellStyle name="SAPBEXstdData 9" xfId="2615"/>
    <cellStyle name="SAPBEXstdDataEmph" xfId="150"/>
    <cellStyle name="SAPBEXstdDataEmph 10" xfId="2642"/>
    <cellStyle name="SAPBEXstdDataEmph 11" xfId="1806"/>
    <cellStyle name="SAPBEXstdDataEmph 12" xfId="2236"/>
    <cellStyle name="SAPBEXstdDataEmph 2" xfId="271"/>
    <cellStyle name="SAPBEXstdDataEmph 2 10" xfId="2979"/>
    <cellStyle name="SAPBEXstdDataEmph 2 11" xfId="1833"/>
    <cellStyle name="SAPBEXstdDataEmph 2 2" xfId="450"/>
    <cellStyle name="SAPBEXstdDataEmph 2 3" xfId="732"/>
    <cellStyle name="SAPBEXstdDataEmph 2 4" xfId="1097"/>
    <cellStyle name="SAPBEXstdDataEmph 2 5" xfId="2074"/>
    <cellStyle name="SAPBEXstdDataEmph 2 6" xfId="1750"/>
    <cellStyle name="SAPBEXstdDataEmph 2 7" xfId="2250"/>
    <cellStyle name="SAPBEXstdDataEmph 2 8" xfId="2124"/>
    <cellStyle name="SAPBEXstdDataEmph 2 9" xfId="2580"/>
    <cellStyle name="SAPBEXstdDataEmph 3" xfId="793"/>
    <cellStyle name="SAPBEXstdDataEmph 4" xfId="491"/>
    <cellStyle name="SAPBEXstdDataEmph 5" xfId="1445"/>
    <cellStyle name="SAPBEXstdDataEmph 6" xfId="1981"/>
    <cellStyle name="SAPBEXstdDataEmph 7" xfId="1913"/>
    <cellStyle name="SAPBEXstdDataEmph 8" xfId="1826"/>
    <cellStyle name="SAPBEXstdDataEmph 9" xfId="2508"/>
    <cellStyle name="SAPBEXstdItem" xfId="151"/>
    <cellStyle name="SAPBEXstdItem 10" xfId="2322"/>
    <cellStyle name="SAPBEXstdItem 11" xfId="1677"/>
    <cellStyle name="SAPBEXstdItem 12" xfId="2876"/>
    <cellStyle name="SAPBEXstdItem 2" xfId="272"/>
    <cellStyle name="SAPBEXstdItem 2 10" xfId="2944"/>
    <cellStyle name="SAPBEXstdItem 2 11" xfId="2918"/>
    <cellStyle name="SAPBEXstdItem 2 2" xfId="741"/>
    <cellStyle name="SAPBEXstdItem 2 3" xfId="1216"/>
    <cellStyle name="SAPBEXstdItem 2 4" xfId="1348"/>
    <cellStyle name="SAPBEXstdItem 2 5" xfId="2075"/>
    <cellStyle name="SAPBEXstdItem 2 6" xfId="1995"/>
    <cellStyle name="SAPBEXstdItem 2 7" xfId="2123"/>
    <cellStyle name="SAPBEXstdItem 2 8" xfId="2481"/>
    <cellStyle name="SAPBEXstdItem 2 9" xfId="2858"/>
    <cellStyle name="SAPBEXstdItem 3" xfId="501"/>
    <cellStyle name="SAPBEXstdItem 4" xfId="633"/>
    <cellStyle name="SAPBEXstdItem 5" xfId="1358"/>
    <cellStyle name="SAPBEXstdItem 6" xfId="1862"/>
    <cellStyle name="SAPBEXstdItem 7" xfId="2031"/>
    <cellStyle name="SAPBEXstdItem 8" xfId="1703"/>
    <cellStyle name="SAPBEXstdItem 9" xfId="2617"/>
    <cellStyle name="SAPBEXstdItemX" xfId="152"/>
    <cellStyle name="SAPBEXstdItemX 10" xfId="2438"/>
    <cellStyle name="SAPBEXstdItemX 11" xfId="1661"/>
    <cellStyle name="SAPBEXstdItemX 12" xfId="3028"/>
    <cellStyle name="SAPBEXstdItemX 2" xfId="273"/>
    <cellStyle name="SAPBEXstdItemX 2 10" xfId="2458"/>
    <cellStyle name="SAPBEXstdItemX 2 11" xfId="2965"/>
    <cellStyle name="SAPBEXstdItemX 2 2" xfId="511"/>
    <cellStyle name="SAPBEXstdItemX 2 3" xfId="964"/>
    <cellStyle name="SAPBEXstdItemX 2 4" xfId="1081"/>
    <cellStyle name="SAPBEXstdItemX 2 5" xfId="2076"/>
    <cellStyle name="SAPBEXstdItemX 2 6" xfId="2016"/>
    <cellStyle name="SAPBEXstdItemX 2 7" xfId="1881"/>
    <cellStyle name="SAPBEXstdItemX 2 8" xfId="2600"/>
    <cellStyle name="SAPBEXstdItemX 2 9" xfId="2239"/>
    <cellStyle name="SAPBEXstdItemX 3" xfId="813"/>
    <cellStyle name="SAPBEXstdItemX 4" xfId="398"/>
    <cellStyle name="SAPBEXstdItemX 5" xfId="1446"/>
    <cellStyle name="SAPBEXstdItemX 6" xfId="1764"/>
    <cellStyle name="SAPBEXstdItemX 7" xfId="1915"/>
    <cellStyle name="SAPBEXstdItemX 8" xfId="1827"/>
    <cellStyle name="SAPBEXstdItemX 9" xfId="2510"/>
    <cellStyle name="SAPBEXtitle" xfId="153"/>
    <cellStyle name="SAPBEXundefined" xfId="154"/>
    <cellStyle name="SAPBEXundefined 10" xfId="2607"/>
    <cellStyle name="SAPBEXundefined 11" xfId="1805"/>
    <cellStyle name="SAPBEXundefined 12" xfId="2591"/>
    <cellStyle name="SAPBEXundefined 2" xfId="274"/>
    <cellStyle name="SAPBEXundefined 2 10" xfId="1767"/>
    <cellStyle name="SAPBEXundefined 2 11" xfId="2925"/>
    <cellStyle name="SAPBEXundefined 2 2" xfId="731"/>
    <cellStyle name="SAPBEXundefined 2 3" xfId="832"/>
    <cellStyle name="SAPBEXundefined 2 4" xfId="789"/>
    <cellStyle name="SAPBEXundefined 2 5" xfId="2077"/>
    <cellStyle name="SAPBEXundefined 2 6" xfId="1869"/>
    <cellStyle name="SAPBEXundefined 2 7" xfId="2082"/>
    <cellStyle name="SAPBEXundefined 2 8" xfId="2464"/>
    <cellStyle name="SAPBEXundefined 2 9" xfId="2514"/>
    <cellStyle name="SAPBEXundefined 3" xfId="714"/>
    <cellStyle name="SAPBEXundefined 4" xfId="436"/>
    <cellStyle name="SAPBEXundefined 5" xfId="1434"/>
    <cellStyle name="SAPBEXundefined 6" xfId="1762"/>
    <cellStyle name="SAPBEXundefined 7" xfId="1655"/>
    <cellStyle name="SAPBEXundefined 8" xfId="1828"/>
    <cellStyle name="SAPBEXundefined 9" xfId="1708"/>
    <cellStyle name="SAPLocked" xfId="155"/>
    <cellStyle name="SAPLocked 10" xfId="346"/>
    <cellStyle name="SAPLocked 10 10" xfId="2442"/>
    <cellStyle name="SAPLocked 10 11" xfId="1741"/>
    <cellStyle name="SAPLocked 10 12" xfId="2815"/>
    <cellStyle name="SAPLocked 10 13" xfId="2321"/>
    <cellStyle name="SAPLocked 10 2" xfId="901"/>
    <cellStyle name="SAPLocked 10 2 10" xfId="2714"/>
    <cellStyle name="SAPLocked 10 2 11" xfId="2772"/>
    <cellStyle name="SAPLocked 10 2 12" xfId="3035"/>
    <cellStyle name="SAPLocked 10 2 2" xfId="748"/>
    <cellStyle name="SAPLocked 10 2 3" xfId="625"/>
    <cellStyle name="SAPLocked 10 2 4" xfId="1284"/>
    <cellStyle name="SAPLocked 10 2 5" xfId="1455"/>
    <cellStyle name="SAPLocked 10 2 6" xfId="1603"/>
    <cellStyle name="SAPLocked 10 2 7" xfId="2271"/>
    <cellStyle name="SAPLocked 10 2 8" xfId="2391"/>
    <cellStyle name="SAPLocked 10 2 9" xfId="2585"/>
    <cellStyle name="SAPLocked 10 3" xfId="466"/>
    <cellStyle name="SAPLocked 10 4" xfId="713"/>
    <cellStyle name="SAPLocked 10 5" xfId="1161"/>
    <cellStyle name="SAPLocked 10 6" xfId="1447"/>
    <cellStyle name="SAPLocked 10 7" xfId="1502"/>
    <cellStyle name="SAPLocked 10 8" xfId="2142"/>
    <cellStyle name="SAPLocked 10 9" xfId="2126"/>
    <cellStyle name="SAPLocked 11" xfId="305"/>
    <cellStyle name="SAPLocked 11 10" xfId="1889"/>
    <cellStyle name="SAPLocked 11 11" xfId="2482"/>
    <cellStyle name="SAPLocked 11 12" xfId="2225"/>
    <cellStyle name="SAPLocked 11 13" xfId="1769"/>
    <cellStyle name="SAPLocked 11 2" xfId="862"/>
    <cellStyle name="SAPLocked 11 2 10" xfId="2675"/>
    <cellStyle name="SAPLocked 11 2 11" xfId="2798"/>
    <cellStyle name="SAPLocked 11 2 12" xfId="1804"/>
    <cellStyle name="SAPLocked 11 2 2" xfId="958"/>
    <cellStyle name="SAPLocked 11 2 3" xfId="1034"/>
    <cellStyle name="SAPLocked 11 2 4" xfId="1245"/>
    <cellStyle name="SAPLocked 11 2 5" xfId="408"/>
    <cellStyle name="SAPLocked 11 2 6" xfId="1564"/>
    <cellStyle name="SAPLocked 11 2 7" xfId="2233"/>
    <cellStyle name="SAPLocked 11 2 8" xfId="2352"/>
    <cellStyle name="SAPLocked 11 2 9" xfId="2141"/>
    <cellStyle name="SAPLocked 11 3" xfId="817"/>
    <cellStyle name="SAPLocked 11 4" xfId="712"/>
    <cellStyle name="SAPLocked 11 5" xfId="1120"/>
    <cellStyle name="SAPLocked 11 6" xfId="1432"/>
    <cellStyle name="SAPLocked 11 7" xfId="1212"/>
    <cellStyle name="SAPLocked 11 8" xfId="2106"/>
    <cellStyle name="SAPLocked 11 9" xfId="2157"/>
    <cellStyle name="SAPLocked 12" xfId="358"/>
    <cellStyle name="SAPLocked 12 10" xfId="2530"/>
    <cellStyle name="SAPLocked 12 11" xfId="1836"/>
    <cellStyle name="SAPLocked 12 12" xfId="2825"/>
    <cellStyle name="SAPLocked 12 13" xfId="1668"/>
    <cellStyle name="SAPLocked 12 2" xfId="911"/>
    <cellStyle name="SAPLocked 12 2 10" xfId="2722"/>
    <cellStyle name="SAPLocked 12 2 11" xfId="2263"/>
    <cellStyle name="SAPLocked 12 2 12" xfId="3043"/>
    <cellStyle name="SAPLocked 12 2 2" xfId="478"/>
    <cellStyle name="SAPLocked 12 2 3" xfId="506"/>
    <cellStyle name="SAPLocked 12 2 4" xfId="1293"/>
    <cellStyle name="SAPLocked 12 2 5" xfId="1464"/>
    <cellStyle name="SAPLocked 12 2 6" xfId="1611"/>
    <cellStyle name="SAPLocked 12 2 7" xfId="2279"/>
    <cellStyle name="SAPLocked 12 2 8" xfId="2400"/>
    <cellStyle name="SAPLocked 12 2 9" xfId="2433"/>
    <cellStyle name="SAPLocked 12 3" xfId="998"/>
    <cellStyle name="SAPLocked 12 4" xfId="1072"/>
    <cellStyle name="SAPLocked 12 5" xfId="1172"/>
    <cellStyle name="SAPLocked 12 6" xfId="1454"/>
    <cellStyle name="SAPLocked 12 7" xfId="1511"/>
    <cellStyle name="SAPLocked 12 8" xfId="2152"/>
    <cellStyle name="SAPLocked 12 9" xfId="1644"/>
    <cellStyle name="SAPLocked 13" xfId="313"/>
    <cellStyle name="SAPLocked 13 10" xfId="1895"/>
    <cellStyle name="SAPLocked 13 11" xfId="2325"/>
    <cellStyle name="SAPLocked 13 12" xfId="2789"/>
    <cellStyle name="SAPLocked 13 13" xfId="1993"/>
    <cellStyle name="SAPLocked 13 2" xfId="869"/>
    <cellStyle name="SAPLocked 13 2 10" xfId="2682"/>
    <cellStyle name="SAPLocked 13 2 11" xfId="2836"/>
    <cellStyle name="SAPLocked 13 2 12" xfId="1673"/>
    <cellStyle name="SAPLocked 13 2 2" xfId="664"/>
    <cellStyle name="SAPLocked 13 2 3" xfId="509"/>
    <cellStyle name="SAPLocked 13 2 4" xfId="1252"/>
    <cellStyle name="SAPLocked 13 2 5" xfId="1219"/>
    <cellStyle name="SAPLocked 13 2 6" xfId="1571"/>
    <cellStyle name="SAPLocked 13 2 7" xfId="2240"/>
    <cellStyle name="SAPLocked 13 2 8" xfId="2359"/>
    <cellStyle name="SAPLocked 13 2 9" xfId="2497"/>
    <cellStyle name="SAPLocked 13 3" xfId="968"/>
    <cellStyle name="SAPLocked 13 4" xfId="1042"/>
    <cellStyle name="SAPLocked 13 5" xfId="1128"/>
    <cellStyle name="SAPLocked 13 6" xfId="1430"/>
    <cellStyle name="SAPLocked 13 7" xfId="1032"/>
    <cellStyle name="SAPLocked 13 8" xfId="2114"/>
    <cellStyle name="SAPLocked 13 9" xfId="1779"/>
    <cellStyle name="SAPLocked 14" xfId="333"/>
    <cellStyle name="SAPLocked 14 10" xfId="2098"/>
    <cellStyle name="SAPLocked 14 11" xfId="1856"/>
    <cellStyle name="SAPLocked 14 12" xfId="2851"/>
    <cellStyle name="SAPLocked 14 13" xfId="2940"/>
    <cellStyle name="SAPLocked 14 2" xfId="889"/>
    <cellStyle name="SAPLocked 14 2 10" xfId="2702"/>
    <cellStyle name="SAPLocked 14 2 11" xfId="2105"/>
    <cellStyle name="SAPLocked 14 2 12" xfId="2935"/>
    <cellStyle name="SAPLocked 14 2 2" xfId="1012"/>
    <cellStyle name="SAPLocked 14 2 3" xfId="1086"/>
    <cellStyle name="SAPLocked 14 2 4" xfId="1272"/>
    <cellStyle name="SAPLocked 14 2 5" xfId="1371"/>
    <cellStyle name="SAPLocked 14 2 6" xfId="1591"/>
    <cellStyle name="SAPLocked 14 2 7" xfId="2259"/>
    <cellStyle name="SAPLocked 14 2 8" xfId="2379"/>
    <cellStyle name="SAPLocked 14 2 9" xfId="2611"/>
    <cellStyle name="SAPLocked 14 3" xfId="1006"/>
    <cellStyle name="SAPLocked 14 4" xfId="1080"/>
    <cellStyle name="SAPLocked 14 5" xfId="1148"/>
    <cellStyle name="SAPLocked 14 6" xfId="780"/>
    <cellStyle name="SAPLocked 14 7" xfId="551"/>
    <cellStyle name="SAPLocked 14 8" xfId="2130"/>
    <cellStyle name="SAPLocked 14 9" xfId="2293"/>
    <cellStyle name="SAPLocked 15" xfId="293"/>
    <cellStyle name="SAPLocked 15 10" xfId="2317"/>
    <cellStyle name="SAPLocked 15 11" xfId="2639"/>
    <cellStyle name="SAPLocked 15 12" xfId="2884"/>
    <cellStyle name="SAPLocked 15 13" xfId="1990"/>
    <cellStyle name="SAPLocked 15 2" xfId="850"/>
    <cellStyle name="SAPLocked 15 2 10" xfId="2663"/>
    <cellStyle name="SAPLocked 15 2 11" xfId="2211"/>
    <cellStyle name="SAPLocked 15 2 12" xfId="1670"/>
    <cellStyle name="SAPLocked 15 2 2" xfId="655"/>
    <cellStyle name="SAPLocked 15 2 3" xfId="772"/>
    <cellStyle name="SAPLocked 15 2 4" xfId="1233"/>
    <cellStyle name="SAPLocked 15 2 5" xfId="1167"/>
    <cellStyle name="SAPLocked 15 2 6" xfId="1552"/>
    <cellStyle name="SAPLocked 15 2 7" xfId="2221"/>
    <cellStyle name="SAPLocked 15 2 8" xfId="2340"/>
    <cellStyle name="SAPLocked 15 2 9" xfId="2598"/>
    <cellStyle name="SAPLocked 15 3" xfId="993"/>
    <cellStyle name="SAPLocked 15 4" xfId="1066"/>
    <cellStyle name="SAPLocked 15 5" xfId="1108"/>
    <cellStyle name="SAPLocked 15 6" xfId="1335"/>
    <cellStyle name="SAPLocked 15 7" xfId="730"/>
    <cellStyle name="SAPLocked 15 8" xfId="2095"/>
    <cellStyle name="SAPLocked 15 9" xfId="2190"/>
    <cellStyle name="SAPLocked 16" xfId="347"/>
    <cellStyle name="SAPLocked 16 10" xfId="2592"/>
    <cellStyle name="SAPLocked 16 11" xfId="2479"/>
    <cellStyle name="SAPLocked 16 12" xfId="2594"/>
    <cellStyle name="SAPLocked 16 13" xfId="2926"/>
    <cellStyle name="SAPLocked 16 2" xfId="902"/>
    <cellStyle name="SAPLocked 16 2 10" xfId="2715"/>
    <cellStyle name="SAPLocked 16 2 11" xfId="2867"/>
    <cellStyle name="SAPLocked 16 2 12" xfId="3036"/>
    <cellStyle name="SAPLocked 16 2 2" xfId="652"/>
    <cellStyle name="SAPLocked 16 2 3" xfId="956"/>
    <cellStyle name="SAPLocked 16 2 4" xfId="1285"/>
    <cellStyle name="SAPLocked 16 2 5" xfId="1456"/>
    <cellStyle name="SAPLocked 16 2 6" xfId="1604"/>
    <cellStyle name="SAPLocked 16 2 7" xfId="2272"/>
    <cellStyle name="SAPLocked 16 2 8" xfId="2392"/>
    <cellStyle name="SAPLocked 16 2 9" xfId="2478"/>
    <cellStyle name="SAPLocked 16 3" xfId="632"/>
    <cellStyle name="SAPLocked 16 4" xfId="831"/>
    <cellStyle name="SAPLocked 16 5" xfId="1162"/>
    <cellStyle name="SAPLocked 16 6" xfId="1360"/>
    <cellStyle name="SAPLocked 16 7" xfId="1503"/>
    <cellStyle name="SAPLocked 16 8" xfId="2143"/>
    <cellStyle name="SAPLocked 16 9" xfId="2244"/>
    <cellStyle name="SAPLocked 17" xfId="287"/>
    <cellStyle name="SAPLocked 17 10" xfId="2208"/>
    <cellStyle name="SAPLocked 17 11" xfId="1742"/>
    <cellStyle name="SAPLocked 17 12" xfId="2542"/>
    <cellStyle name="SAPLocked 17 13" xfId="2328"/>
    <cellStyle name="SAPLocked 17 2" xfId="844"/>
    <cellStyle name="SAPLocked 17 2 10" xfId="2657"/>
    <cellStyle name="SAPLocked 17 2 11" xfId="2880"/>
    <cellStyle name="SAPLocked 17 2 12" xfId="3012"/>
    <cellStyle name="SAPLocked 17 2 2" xfId="489"/>
    <cellStyle name="SAPLocked 17 2 3" xfId="981"/>
    <cellStyle name="SAPLocked 17 2 4" xfId="1227"/>
    <cellStyle name="SAPLocked 17 2 5" xfId="1406"/>
    <cellStyle name="SAPLocked 17 2 6" xfId="1546"/>
    <cellStyle name="SAPLocked 17 2 7" xfId="2217"/>
    <cellStyle name="SAPLocked 17 2 8" xfId="2334"/>
    <cellStyle name="SAPLocked 17 2 9" xfId="2184"/>
    <cellStyle name="SAPLocked 17 3" xfId="803"/>
    <cellStyle name="SAPLocked 17 4" xfId="974"/>
    <cellStyle name="SAPLocked 17 5" xfId="1102"/>
    <cellStyle name="SAPLocked 17 6" xfId="949"/>
    <cellStyle name="SAPLocked 17 7" xfId="1073"/>
    <cellStyle name="SAPLocked 17 8" xfId="2089"/>
    <cellStyle name="SAPLocked 17 9" xfId="2210"/>
    <cellStyle name="SAPLocked 18" xfId="351"/>
    <cellStyle name="SAPLocked 18 10" xfId="2581"/>
    <cellStyle name="SAPLocked 18 11" xfId="2586"/>
    <cellStyle name="SAPLocked 18 12" xfId="1682"/>
    <cellStyle name="SAPLocked 18 13" xfId="3002"/>
    <cellStyle name="SAPLocked 18 2" xfId="905"/>
    <cellStyle name="SAPLocked 18 2 10" xfId="2718"/>
    <cellStyle name="SAPLocked 18 2 11" xfId="1773"/>
    <cellStyle name="SAPLocked 18 2 12" xfId="3039"/>
    <cellStyle name="SAPLocked 18 2 2" xfId="654"/>
    <cellStyle name="SAPLocked 18 2 3" xfId="995"/>
    <cellStyle name="SAPLocked 18 2 4" xfId="1288"/>
    <cellStyle name="SAPLocked 18 2 5" xfId="1459"/>
    <cellStyle name="SAPLocked 18 2 6" xfId="1607"/>
    <cellStyle name="SAPLocked 18 2 7" xfId="2275"/>
    <cellStyle name="SAPLocked 18 2 8" xfId="2395"/>
    <cellStyle name="SAPLocked 18 2 9" xfId="2222"/>
    <cellStyle name="SAPLocked 18 3" xfId="808"/>
    <cellStyle name="SAPLocked 18 4" xfId="607"/>
    <cellStyle name="SAPLocked 18 5" xfId="1166"/>
    <cellStyle name="SAPLocked 18 6" xfId="547"/>
    <cellStyle name="SAPLocked 18 7" xfId="1507"/>
    <cellStyle name="SAPLocked 18 8" xfId="2147"/>
    <cellStyle name="SAPLocked 18 9" xfId="2243"/>
    <cellStyle name="SAPLocked 19" xfId="298"/>
    <cellStyle name="SAPLocked 19 10" xfId="2260"/>
    <cellStyle name="SAPLocked 19 11" xfId="1837"/>
    <cellStyle name="SAPLocked 19 12" xfId="2608"/>
    <cellStyle name="SAPLocked 19 13" xfId="2982"/>
    <cellStyle name="SAPLocked 19 2" xfId="855"/>
    <cellStyle name="SAPLocked 19 2 10" xfId="2668"/>
    <cellStyle name="SAPLocked 19 2 11" xfId="2765"/>
    <cellStyle name="SAPLocked 19 2 12" xfId="2817"/>
    <cellStyle name="SAPLocked 19 2 2" xfId="786"/>
    <cellStyle name="SAPLocked 19 2 3" xfId="533"/>
    <cellStyle name="SAPLocked 19 2 4" xfId="1238"/>
    <cellStyle name="SAPLocked 19 2 5" xfId="777"/>
    <cellStyle name="SAPLocked 19 2 6" xfId="1557"/>
    <cellStyle name="SAPLocked 19 2 7" xfId="2226"/>
    <cellStyle name="SAPLocked 19 2 8" xfId="2345"/>
    <cellStyle name="SAPLocked 19 2 9" xfId="2315"/>
    <cellStyle name="SAPLocked 19 3" xfId="740"/>
    <cellStyle name="SAPLocked 19 4" xfId="476"/>
    <cellStyle name="SAPLocked 19 5" xfId="1113"/>
    <cellStyle name="SAPLocked 19 6" xfId="1206"/>
    <cellStyle name="SAPLocked 19 7" xfId="1087"/>
    <cellStyle name="SAPLocked 19 8" xfId="2100"/>
    <cellStyle name="SAPLocked 19 9" xfId="1754"/>
    <cellStyle name="SAPLocked 2" xfId="275"/>
    <cellStyle name="SAPLocked 2 10" xfId="380"/>
    <cellStyle name="SAPLocked 2 10 10" xfId="2434"/>
    <cellStyle name="SAPLocked 2 10 11" xfId="2644"/>
    <cellStyle name="SAPLocked 2 10 12" xfId="2776"/>
    <cellStyle name="SAPLocked 2 10 13" xfId="1675"/>
    <cellStyle name="SAPLocked 2 10 2" xfId="931"/>
    <cellStyle name="SAPLocked 2 10 2 10" xfId="2742"/>
    <cellStyle name="SAPLocked 2 10 2 11" xfId="2823"/>
    <cellStyle name="SAPLocked 2 10 2 12" xfId="3062"/>
    <cellStyle name="SAPLocked 2 10 2 2" xfId="758"/>
    <cellStyle name="SAPLocked 2 10 2 3" xfId="1022"/>
    <cellStyle name="SAPLocked 2 10 2 4" xfId="1313"/>
    <cellStyle name="SAPLocked 2 10 2 5" xfId="1483"/>
    <cellStyle name="SAPLocked 2 10 2 6" xfId="1630"/>
    <cellStyle name="SAPLocked 2 10 2 7" xfId="2299"/>
    <cellStyle name="SAPLocked 2 10 2 8" xfId="2421"/>
    <cellStyle name="SAPLocked 2 10 2 9" xfId="2536"/>
    <cellStyle name="SAPLocked 2 10 3" xfId="719"/>
    <cellStyle name="SAPLocked 2 10 4" xfId="576"/>
    <cellStyle name="SAPLocked 2 10 5" xfId="1194"/>
    <cellStyle name="SAPLocked 2 10 6" xfId="500"/>
    <cellStyle name="SAPLocked 2 10 7" xfId="1531"/>
    <cellStyle name="SAPLocked 2 10 8" xfId="2172"/>
    <cellStyle name="SAPLocked 2 10 9" xfId="2202"/>
    <cellStyle name="SAPLocked 2 11" xfId="381"/>
    <cellStyle name="SAPLocked 2 11 10" xfId="2436"/>
    <cellStyle name="SAPLocked 2 11 11" xfId="2470"/>
    <cellStyle name="SAPLocked 2 11 12" xfId="2845"/>
    <cellStyle name="SAPLocked 2 11 13" xfId="2593"/>
    <cellStyle name="SAPLocked 2 11 2" xfId="932"/>
    <cellStyle name="SAPLocked 2 11 2 10" xfId="2743"/>
    <cellStyle name="SAPLocked 2 11 2 11" xfId="2820"/>
    <cellStyle name="SAPLocked 2 11 2 12" xfId="3063"/>
    <cellStyle name="SAPLocked 2 11 2 2" xfId="626"/>
    <cellStyle name="SAPLocked 2 11 2 3" xfId="983"/>
    <cellStyle name="SAPLocked 2 11 2 4" xfId="1314"/>
    <cellStyle name="SAPLocked 2 11 2 5" xfId="1484"/>
    <cellStyle name="SAPLocked 2 11 2 6" xfId="1631"/>
    <cellStyle name="SAPLocked 2 11 2 7" xfId="2300"/>
    <cellStyle name="SAPLocked 2 11 2 8" xfId="2422"/>
    <cellStyle name="SAPLocked 2 11 2 9" xfId="2070"/>
    <cellStyle name="SAPLocked 2 11 3" xfId="445"/>
    <cellStyle name="SAPLocked 2 11 4" xfId="442"/>
    <cellStyle name="SAPLocked 2 11 5" xfId="1195"/>
    <cellStyle name="SAPLocked 2 11 6" xfId="659"/>
    <cellStyle name="SAPLocked 2 11 7" xfId="1532"/>
    <cellStyle name="SAPLocked 2 11 8" xfId="2173"/>
    <cellStyle name="SAPLocked 2 11 9" xfId="1984"/>
    <cellStyle name="SAPLocked 2 12" xfId="382"/>
    <cellStyle name="SAPLocked 2 12 10" xfId="2439"/>
    <cellStyle name="SAPLocked 2 12 11" xfId="2441"/>
    <cellStyle name="SAPLocked 2 12 12" xfId="2899"/>
    <cellStyle name="SAPLocked 2 12 13" xfId="1934"/>
    <cellStyle name="SAPLocked 2 12 2" xfId="933"/>
    <cellStyle name="SAPLocked 2 12 2 10" xfId="2744"/>
    <cellStyle name="SAPLocked 2 12 2 11" xfId="2648"/>
    <cellStyle name="SAPLocked 2 12 2 12" xfId="3064"/>
    <cellStyle name="SAPLocked 2 12 2 2" xfId="1004"/>
    <cellStyle name="SAPLocked 2 12 2 3" xfId="1078"/>
    <cellStyle name="SAPLocked 2 12 2 4" xfId="1315"/>
    <cellStyle name="SAPLocked 2 12 2 5" xfId="1485"/>
    <cellStyle name="SAPLocked 2 12 2 6" xfId="1632"/>
    <cellStyle name="SAPLocked 2 12 2 7" xfId="2301"/>
    <cellStyle name="SAPLocked 2 12 2 8" xfId="2423"/>
    <cellStyle name="SAPLocked 2 12 2 9" xfId="2032"/>
    <cellStyle name="SAPLocked 2 12 3" xfId="467"/>
    <cellStyle name="SAPLocked 2 12 4" xfId="599"/>
    <cellStyle name="SAPLocked 2 12 5" xfId="1196"/>
    <cellStyle name="SAPLocked 2 12 6" xfId="1425"/>
    <cellStyle name="SAPLocked 2 12 7" xfId="1533"/>
    <cellStyle name="SAPLocked 2 12 8" xfId="2174"/>
    <cellStyle name="SAPLocked 2 12 9" xfId="2201"/>
    <cellStyle name="SAPLocked 2 13" xfId="383"/>
    <cellStyle name="SAPLocked 2 13 10" xfId="2213"/>
    <cellStyle name="SAPLocked 2 13 11" xfId="2577"/>
    <cellStyle name="SAPLocked 2 13 12" xfId="2824"/>
    <cellStyle name="SAPLocked 2 13 13" xfId="2838"/>
    <cellStyle name="SAPLocked 2 13 2" xfId="934"/>
    <cellStyle name="SAPLocked 2 13 2 10" xfId="2745"/>
    <cellStyle name="SAPLocked 2 13 2 11" xfId="2728"/>
    <cellStyle name="SAPLocked 2 13 2 12" xfId="3065"/>
    <cellStyle name="SAPLocked 2 13 2 2" xfId="635"/>
    <cellStyle name="SAPLocked 2 13 2 3" xfId="843"/>
    <cellStyle name="SAPLocked 2 13 2 4" xfId="1316"/>
    <cellStyle name="SAPLocked 2 13 2 5" xfId="1486"/>
    <cellStyle name="SAPLocked 2 13 2 6" xfId="1633"/>
    <cellStyle name="SAPLocked 2 13 2 7" xfId="2302"/>
    <cellStyle name="SAPLocked 2 13 2 8" xfId="2424"/>
    <cellStyle name="SAPLocked 2 13 2 9" xfId="2527"/>
    <cellStyle name="SAPLocked 2 13 3" xfId="987"/>
    <cellStyle name="SAPLocked 2 13 4" xfId="707"/>
    <cellStyle name="SAPLocked 2 13 5" xfId="1197"/>
    <cellStyle name="SAPLocked 2 13 6" xfId="1339"/>
    <cellStyle name="SAPLocked 2 13 7" xfId="1534"/>
    <cellStyle name="SAPLocked 2 13 8" xfId="2175"/>
    <cellStyle name="SAPLocked 2 13 9" xfId="1879"/>
    <cellStyle name="SAPLocked 2 14" xfId="384"/>
    <cellStyle name="SAPLocked 2 14 10" xfId="2332"/>
    <cellStyle name="SAPLocked 2 14 11" xfId="2548"/>
    <cellStyle name="SAPLocked 2 14 12" xfId="2879"/>
    <cellStyle name="SAPLocked 2 14 13" xfId="2930"/>
    <cellStyle name="SAPLocked 2 14 2" xfId="935"/>
    <cellStyle name="SAPLocked 2 14 2 10" xfId="2746"/>
    <cellStyle name="SAPLocked 2 14 2 11" xfId="2628"/>
    <cellStyle name="SAPLocked 2 14 2 12" xfId="3066"/>
    <cellStyle name="SAPLocked 2 14 2 2" xfId="782"/>
    <cellStyle name="SAPLocked 2 14 2 3" xfId="431"/>
    <cellStyle name="SAPLocked 2 14 2 4" xfId="1317"/>
    <cellStyle name="SAPLocked 2 14 2 5" xfId="1487"/>
    <cellStyle name="SAPLocked 2 14 2 6" xfId="1634"/>
    <cellStyle name="SAPLocked 2 14 2 7" xfId="2303"/>
    <cellStyle name="SAPLocked 2 14 2 8" xfId="2425"/>
    <cellStyle name="SAPLocked 2 14 2 9" xfId="2535"/>
    <cellStyle name="SAPLocked 2 14 3" xfId="1003"/>
    <cellStyle name="SAPLocked 2 14 4" xfId="1077"/>
    <cellStyle name="SAPLocked 2 14 5" xfId="1198"/>
    <cellStyle name="SAPLocked 2 14 6" xfId="1433"/>
    <cellStyle name="SAPLocked 2 14 7" xfId="1535"/>
    <cellStyle name="SAPLocked 2 14 8" xfId="2176"/>
    <cellStyle name="SAPLocked 2 14 9" xfId="2200"/>
    <cellStyle name="SAPLocked 2 15" xfId="385"/>
    <cellStyle name="SAPLocked 2 15 10" xfId="2268"/>
    <cellStyle name="SAPLocked 2 15 11" xfId="2469"/>
    <cellStyle name="SAPLocked 2 15 12" xfId="2890"/>
    <cellStyle name="SAPLocked 2 15 13" xfId="2934"/>
    <cellStyle name="SAPLocked 2 15 2" xfId="936"/>
    <cellStyle name="SAPLocked 2 15 2 10" xfId="2747"/>
    <cellStyle name="SAPLocked 2 15 2 11" xfId="2814"/>
    <cellStyle name="SAPLocked 2 15 2 12" xfId="3067"/>
    <cellStyle name="SAPLocked 2 15 2 2" xfId="643"/>
    <cellStyle name="SAPLocked 2 15 2 3" xfId="416"/>
    <cellStyle name="SAPLocked 2 15 2 4" xfId="1318"/>
    <cellStyle name="SAPLocked 2 15 2 5" xfId="1488"/>
    <cellStyle name="SAPLocked 2 15 2 6" xfId="1635"/>
    <cellStyle name="SAPLocked 2 15 2 7" xfId="2304"/>
    <cellStyle name="SAPLocked 2 15 2 8" xfId="2426"/>
    <cellStyle name="SAPLocked 2 15 2 9" xfId="2002"/>
    <cellStyle name="SAPLocked 2 15 3" xfId="768"/>
    <cellStyle name="SAPLocked 2 15 4" xfId="685"/>
    <cellStyle name="SAPLocked 2 15 5" xfId="1199"/>
    <cellStyle name="SAPLocked 2 15 6" xfId="1346"/>
    <cellStyle name="SAPLocked 2 15 7" xfId="1536"/>
    <cellStyle name="SAPLocked 2 15 8" xfId="2177"/>
    <cellStyle name="SAPLocked 2 15 9" xfId="2000"/>
    <cellStyle name="SAPLocked 2 16" xfId="386"/>
    <cellStyle name="SAPLocked 2 16 10" xfId="1892"/>
    <cellStyle name="SAPLocked 2 16 11" xfId="1772"/>
    <cellStyle name="SAPLocked 2 16 12" xfId="2653"/>
    <cellStyle name="SAPLocked 2 16 13" xfId="2863"/>
    <cellStyle name="SAPLocked 2 16 2" xfId="937"/>
    <cellStyle name="SAPLocked 2 16 2 10" xfId="2748"/>
    <cellStyle name="SAPLocked 2 16 2 11" xfId="2780"/>
    <cellStyle name="SAPLocked 2 16 2 12" xfId="3068"/>
    <cellStyle name="SAPLocked 2 16 2 2" xfId="669"/>
    <cellStyle name="SAPLocked 2 16 2 3" xfId="953"/>
    <cellStyle name="SAPLocked 2 16 2 4" xfId="1319"/>
    <cellStyle name="SAPLocked 2 16 2 5" xfId="1489"/>
    <cellStyle name="SAPLocked 2 16 2 6" xfId="1636"/>
    <cellStyle name="SAPLocked 2 16 2 7" xfId="2305"/>
    <cellStyle name="SAPLocked 2 16 2 8" xfId="2427"/>
    <cellStyle name="SAPLocked 2 16 2 9" xfId="2534"/>
    <cellStyle name="SAPLocked 2 16 3" xfId="997"/>
    <cellStyle name="SAPLocked 2 16 4" xfId="1059"/>
    <cellStyle name="SAPLocked 2 16 5" xfId="1200"/>
    <cellStyle name="SAPLocked 2 16 6" xfId="595"/>
    <cellStyle name="SAPLocked 2 16 7" xfId="1537"/>
    <cellStyle name="SAPLocked 2 16 8" xfId="2178"/>
    <cellStyle name="SAPLocked 2 16 9" xfId="1656"/>
    <cellStyle name="SAPLocked 2 17" xfId="387"/>
    <cellStyle name="SAPLocked 2 17 10" xfId="1874"/>
    <cellStyle name="SAPLocked 2 17 11" xfId="2636"/>
    <cellStyle name="SAPLocked 2 17 12" xfId="2897"/>
    <cellStyle name="SAPLocked 2 17 13" xfId="1917"/>
    <cellStyle name="SAPLocked 2 17 2" xfId="938"/>
    <cellStyle name="SAPLocked 2 17 2 10" xfId="2749"/>
    <cellStyle name="SAPLocked 2 17 2 11" xfId="2246"/>
    <cellStyle name="SAPLocked 2 17 2 12" xfId="3069"/>
    <cellStyle name="SAPLocked 2 17 2 2" xfId="490"/>
    <cellStyle name="SAPLocked 2 17 2 3" xfId="678"/>
    <cellStyle name="SAPLocked 2 17 2 4" xfId="1320"/>
    <cellStyle name="SAPLocked 2 17 2 5" xfId="1490"/>
    <cellStyle name="SAPLocked 2 17 2 6" xfId="1637"/>
    <cellStyle name="SAPLocked 2 17 2 7" xfId="2306"/>
    <cellStyle name="SAPLocked 2 17 2 8" xfId="2428"/>
    <cellStyle name="SAPLocked 2 17 2 9" xfId="2069"/>
    <cellStyle name="SAPLocked 2 17 3" xfId="673"/>
    <cellStyle name="SAPLocked 2 17 4" xfId="648"/>
    <cellStyle name="SAPLocked 2 17 5" xfId="1201"/>
    <cellStyle name="SAPLocked 2 17 6" xfId="535"/>
    <cellStyle name="SAPLocked 2 17 7" xfId="1538"/>
    <cellStyle name="SAPLocked 2 17 8" xfId="2179"/>
    <cellStyle name="SAPLocked 2 17 9" xfId="2191"/>
    <cellStyle name="SAPLocked 2 18" xfId="388"/>
    <cellStyle name="SAPLocked 2 18 10" xfId="2012"/>
    <cellStyle name="SAPLocked 2 18 11" xfId="2525"/>
    <cellStyle name="SAPLocked 2 18 12" xfId="2258"/>
    <cellStyle name="SAPLocked 2 18 13" xfId="2990"/>
    <cellStyle name="SAPLocked 2 18 2" xfId="939"/>
    <cellStyle name="SAPLocked 2 18 2 10" xfId="2750"/>
    <cellStyle name="SAPLocked 2 18 2 11" xfId="2887"/>
    <cellStyle name="SAPLocked 2 18 2 12" xfId="3070"/>
    <cellStyle name="SAPLocked 2 18 2 2" xfId="806"/>
    <cellStyle name="SAPLocked 2 18 2 3" xfId="969"/>
    <cellStyle name="SAPLocked 2 18 2 4" xfId="1321"/>
    <cellStyle name="SAPLocked 2 18 2 5" xfId="1491"/>
    <cellStyle name="SAPLocked 2 18 2 6" xfId="1638"/>
    <cellStyle name="SAPLocked 2 18 2 7" xfId="2307"/>
    <cellStyle name="SAPLocked 2 18 2 8" xfId="2429"/>
    <cellStyle name="SAPLocked 2 18 2 9" xfId="2533"/>
    <cellStyle name="SAPLocked 2 18 3" xfId="967"/>
    <cellStyle name="SAPLocked 2 18 4" xfId="1070"/>
    <cellStyle name="SAPLocked 2 18 5" xfId="1202"/>
    <cellStyle name="SAPLocked 2 18 6" xfId="649"/>
    <cellStyle name="SAPLocked 2 18 7" xfId="1539"/>
    <cellStyle name="SAPLocked 2 18 8" xfId="2180"/>
    <cellStyle name="SAPLocked 2 18 9" xfId="2199"/>
    <cellStyle name="SAPLocked 2 19" xfId="389"/>
    <cellStyle name="SAPLocked 2 19 10" xfId="1855"/>
    <cellStyle name="SAPLocked 2 19 11" xfId="2576"/>
    <cellStyle name="SAPLocked 2 19 12" xfId="2532"/>
    <cellStyle name="SAPLocked 2 19 13" xfId="2917"/>
    <cellStyle name="SAPLocked 2 19 2" xfId="940"/>
    <cellStyle name="SAPLocked 2 19 2 10" xfId="2751"/>
    <cellStyle name="SAPLocked 2 19 2 11" xfId="1829"/>
    <cellStyle name="SAPLocked 2 19 2 12" xfId="3071"/>
    <cellStyle name="SAPLocked 2 19 2 2" xfId="762"/>
    <cellStyle name="SAPLocked 2 19 2 3" xfId="605"/>
    <cellStyle name="SAPLocked 2 19 2 4" xfId="1322"/>
    <cellStyle name="SAPLocked 2 19 2 5" xfId="1492"/>
    <cellStyle name="SAPLocked 2 19 2 6" xfId="1639"/>
    <cellStyle name="SAPLocked 2 19 2 7" xfId="2308"/>
    <cellStyle name="SAPLocked 2 19 2 8" xfId="2430"/>
    <cellStyle name="SAPLocked 2 19 2 9" xfId="1849"/>
    <cellStyle name="SAPLocked 2 19 3" xfId="1000"/>
    <cellStyle name="SAPLocked 2 19 4" xfId="721"/>
    <cellStyle name="SAPLocked 2 19 5" xfId="1203"/>
    <cellStyle name="SAPLocked 2 19 6" xfId="644"/>
    <cellStyle name="SAPLocked 2 19 7" xfId="1540"/>
    <cellStyle name="SAPLocked 2 19 8" xfId="2181"/>
    <cellStyle name="SAPLocked 2 19 9" xfId="1870"/>
    <cellStyle name="SAPLocked 2 2" xfId="366"/>
    <cellStyle name="SAPLocked 2 2 10" xfId="2564"/>
    <cellStyle name="SAPLocked 2 2 11" xfId="1832"/>
    <cellStyle name="SAPLocked 2 2 12" xfId="2156"/>
    <cellStyle name="SAPLocked 2 2 13" xfId="2983"/>
    <cellStyle name="SAPLocked 2 2 2" xfId="918"/>
    <cellStyle name="SAPLocked 2 2 2 10" xfId="2729"/>
    <cellStyle name="SAPLocked 2 2 2 11" xfId="2318"/>
    <cellStyle name="SAPLocked 2 2 2 12" xfId="3049"/>
    <cellStyle name="SAPLocked 2 2 2 2" xfId="665"/>
    <cellStyle name="SAPLocked 2 2 2 3" xfId="809"/>
    <cellStyle name="SAPLocked 2 2 2 4" xfId="1300"/>
    <cellStyle name="SAPLocked 2 2 2 5" xfId="1470"/>
    <cellStyle name="SAPLocked 2 2 2 6" xfId="1617"/>
    <cellStyle name="SAPLocked 2 2 2 7" xfId="2286"/>
    <cellStyle name="SAPLocked 2 2 2 8" xfId="2408"/>
    <cellStyle name="SAPLocked 2 2 2 9" xfId="2065"/>
    <cellStyle name="SAPLocked 2 2 3" xfId="460"/>
    <cellStyle name="SAPLocked 2 2 4" xfId="671"/>
    <cellStyle name="SAPLocked 2 2 5" xfId="1180"/>
    <cellStyle name="SAPLocked 2 2 6" xfId="615"/>
    <cellStyle name="SAPLocked 2 2 7" xfId="1517"/>
    <cellStyle name="SAPLocked 2 2 8" xfId="2158"/>
    <cellStyle name="SAPLocked 2 2 9" xfId="1933"/>
    <cellStyle name="SAPLocked 2 20" xfId="390"/>
    <cellStyle name="SAPLocked 2 20 10" xfId="1919"/>
    <cellStyle name="SAPLocked 2 20 11" xfId="1925"/>
    <cellStyle name="SAPLocked 2 20 12" xfId="2857"/>
    <cellStyle name="SAPLocked 2 20 13" xfId="2938"/>
    <cellStyle name="SAPLocked 2 20 2" xfId="941"/>
    <cellStyle name="SAPLocked 2 20 2 10" xfId="2752"/>
    <cellStyle name="SAPLocked 2 20 2 11" xfId="2647"/>
    <cellStyle name="SAPLocked 2 20 2 12" xfId="3072"/>
    <cellStyle name="SAPLocked 2 20 2 2" xfId="784"/>
    <cellStyle name="SAPLocked 2 20 2 3" xfId="990"/>
    <cellStyle name="SAPLocked 2 20 2 4" xfId="1323"/>
    <cellStyle name="SAPLocked 2 20 2 5" xfId="1493"/>
    <cellStyle name="SAPLocked 2 20 2 6" xfId="1640"/>
    <cellStyle name="SAPLocked 2 20 2 7" xfId="2309"/>
    <cellStyle name="SAPLocked 2 20 2 8" xfId="2431"/>
    <cellStyle name="SAPLocked 2 20 2 9" xfId="1781"/>
    <cellStyle name="SAPLocked 2 20 3" xfId="948"/>
    <cellStyle name="SAPLocked 2 20 4" xfId="1023"/>
    <cellStyle name="SAPLocked 2 20 5" xfId="1204"/>
    <cellStyle name="SAPLocked 2 20 6" xfId="588"/>
    <cellStyle name="SAPLocked 2 20 7" xfId="1541"/>
    <cellStyle name="SAPLocked 2 20 8" xfId="2182"/>
    <cellStyle name="SAPLocked 2 20 9" xfId="2198"/>
    <cellStyle name="SAPLocked 2 21" xfId="391"/>
    <cellStyle name="SAPLocked 2 21 10" xfId="2448"/>
    <cellStyle name="SAPLocked 2 21 11" xfId="2781"/>
    <cellStyle name="SAPLocked 2 21 12" xfId="2638"/>
    <cellStyle name="SAPLocked 2 21 2" xfId="755"/>
    <cellStyle name="SAPLocked 2 21 3" xfId="788"/>
    <cellStyle name="SAPLocked 2 21 4" xfId="1205"/>
    <cellStyle name="SAPLocked 2 21 5" xfId="797"/>
    <cellStyle name="SAPLocked 2 21 6" xfId="1542"/>
    <cellStyle name="SAPLocked 2 21 7" xfId="2183"/>
    <cellStyle name="SAPLocked 2 21 8" xfId="1988"/>
    <cellStyle name="SAPLocked 2 21 9" xfId="2005"/>
    <cellStyle name="SAPLocked 2 22" xfId="549"/>
    <cellStyle name="SAPLocked 2 23" xfId="1460"/>
    <cellStyle name="SAPLocked 2 24" xfId="2078"/>
    <cellStyle name="SAPLocked 2 25" xfId="2188"/>
    <cellStyle name="SAPLocked 2 26" xfId="2248"/>
    <cellStyle name="SAPLocked 2 27" xfId="2042"/>
    <cellStyle name="SAPLocked 2 28" xfId="2574"/>
    <cellStyle name="SAPLocked 2 29" xfId="2770"/>
    <cellStyle name="SAPLocked 2 3" xfId="368"/>
    <cellStyle name="SAPLocked 2 3 10" xfId="2605"/>
    <cellStyle name="SAPLocked 2 3 11" xfId="1831"/>
    <cellStyle name="SAPLocked 2 3 12" xfId="1738"/>
    <cellStyle name="SAPLocked 2 3 13" xfId="2034"/>
    <cellStyle name="SAPLocked 2 3 2" xfId="920"/>
    <cellStyle name="SAPLocked 2 3 2 10" xfId="2731"/>
    <cellStyle name="SAPLocked 2 3 2 11" xfId="2396"/>
    <cellStyle name="SAPLocked 2 3 2 12" xfId="3051"/>
    <cellStyle name="SAPLocked 2 3 2 2" xfId="479"/>
    <cellStyle name="SAPLocked 2 3 2 3" xfId="742"/>
    <cellStyle name="SAPLocked 2 3 2 4" xfId="1302"/>
    <cellStyle name="SAPLocked 2 3 2 5" xfId="1472"/>
    <cellStyle name="SAPLocked 2 3 2 6" xfId="1619"/>
    <cellStyle name="SAPLocked 2 3 2 7" xfId="2288"/>
    <cellStyle name="SAPLocked 2 3 2 8" xfId="2410"/>
    <cellStyle name="SAPLocked 2 3 2 9" xfId="1641"/>
    <cellStyle name="SAPLocked 2 3 3" xfId="597"/>
    <cellStyle name="SAPLocked 2 3 4" xfId="646"/>
    <cellStyle name="SAPLocked 2 3 5" xfId="1182"/>
    <cellStyle name="SAPLocked 2 3 6" xfId="1179"/>
    <cellStyle name="SAPLocked 2 3 7" xfId="1519"/>
    <cellStyle name="SAPLocked 2 3 8" xfId="2160"/>
    <cellStyle name="SAPLocked 2 3 9" xfId="1958"/>
    <cellStyle name="SAPLocked 2 30" xfId="1859"/>
    <cellStyle name="SAPLocked 2 4" xfId="370"/>
    <cellStyle name="SAPLocked 2 4 10" xfId="2555"/>
    <cellStyle name="SAPLocked 2 4 11" xfId="1715"/>
    <cellStyle name="SAPLocked 2 4 12" xfId="2778"/>
    <cellStyle name="SAPLocked 2 4 13" xfId="1908"/>
    <cellStyle name="SAPLocked 2 4 2" xfId="922"/>
    <cellStyle name="SAPLocked 2 4 2 10" xfId="2733"/>
    <cellStyle name="SAPLocked 2 4 2 11" xfId="2755"/>
    <cellStyle name="SAPLocked 2 4 2 12" xfId="3053"/>
    <cellStyle name="SAPLocked 2 4 2 2" xfId="546"/>
    <cellStyle name="SAPLocked 2 4 2 3" xfId="414"/>
    <cellStyle name="SAPLocked 2 4 2 4" xfId="1304"/>
    <cellStyle name="SAPLocked 2 4 2 5" xfId="1474"/>
    <cellStyle name="SAPLocked 2 4 2 6" xfId="1621"/>
    <cellStyle name="SAPLocked 2 4 2 7" xfId="2290"/>
    <cellStyle name="SAPLocked 2 4 2 8" xfId="2412"/>
    <cellStyle name="SAPLocked 2 4 2 9" xfId="1891"/>
    <cellStyle name="SAPLocked 2 4 3" xfId="815"/>
    <cellStyle name="SAPLocked 2 4 4" xfId="700"/>
    <cellStyle name="SAPLocked 2 4 5" xfId="1184"/>
    <cellStyle name="SAPLocked 2 4 6" xfId="1382"/>
    <cellStyle name="SAPLocked 2 4 7" xfId="1521"/>
    <cellStyle name="SAPLocked 2 4 8" xfId="2162"/>
    <cellStyle name="SAPLocked 2 4 9" xfId="1960"/>
    <cellStyle name="SAPLocked 2 5" xfId="372"/>
    <cellStyle name="SAPLocked 2 5 10" xfId="2584"/>
    <cellStyle name="SAPLocked 2 5 11" xfId="1778"/>
    <cellStyle name="SAPLocked 2 5 12" xfId="2807"/>
    <cellStyle name="SAPLocked 2 5 13" xfId="1666"/>
    <cellStyle name="SAPLocked 2 5 2" xfId="924"/>
    <cellStyle name="SAPLocked 2 5 2 10" xfId="2735"/>
    <cellStyle name="SAPLocked 2 5 2 11" xfId="2757"/>
    <cellStyle name="SAPLocked 2 5 2 12" xfId="3055"/>
    <cellStyle name="SAPLocked 2 5 2 2" xfId="675"/>
    <cellStyle name="SAPLocked 2 5 2 3" xfId="749"/>
    <cellStyle name="SAPLocked 2 5 2 4" xfId="1306"/>
    <cellStyle name="SAPLocked 2 5 2 5" xfId="1476"/>
    <cellStyle name="SAPLocked 2 5 2 6" xfId="1623"/>
    <cellStyle name="SAPLocked 2 5 2 7" xfId="2292"/>
    <cellStyle name="SAPLocked 2 5 2 8" xfId="2414"/>
    <cellStyle name="SAPLocked 2 5 2 9" xfId="2011"/>
    <cellStyle name="SAPLocked 2 5 3" xfId="962"/>
    <cellStyle name="SAPLocked 2 5 4" xfId="1037"/>
    <cellStyle name="SAPLocked 2 5 5" xfId="1186"/>
    <cellStyle name="SAPLocked 2 5 6" xfId="827"/>
    <cellStyle name="SAPLocked 2 5 7" xfId="1523"/>
    <cellStyle name="SAPLocked 2 5 8" xfId="2164"/>
    <cellStyle name="SAPLocked 2 5 9" xfId="1650"/>
    <cellStyle name="SAPLocked 2 6" xfId="374"/>
    <cellStyle name="SAPLocked 2 6 10" xfId="2571"/>
    <cellStyle name="SAPLocked 2 6 11" xfId="1777"/>
    <cellStyle name="SAPLocked 2 6 12" xfId="2472"/>
    <cellStyle name="SAPLocked 2 6 13" xfId="3015"/>
    <cellStyle name="SAPLocked 2 6 2" xfId="926"/>
    <cellStyle name="SAPLocked 2 6 2 10" xfId="2737"/>
    <cellStyle name="SAPLocked 2 6 2 11" xfId="2830"/>
    <cellStyle name="SAPLocked 2 6 2 12" xfId="3057"/>
    <cellStyle name="SAPLocked 2 6 2 2" xfId="763"/>
    <cellStyle name="SAPLocked 2 6 2 3" xfId="757"/>
    <cellStyle name="SAPLocked 2 6 2 4" xfId="1308"/>
    <cellStyle name="SAPLocked 2 6 2 5" xfId="1478"/>
    <cellStyle name="SAPLocked 2 6 2 6" xfId="1625"/>
    <cellStyle name="SAPLocked 2 6 2 7" xfId="2294"/>
    <cellStyle name="SAPLocked 2 6 2 8" xfId="2416"/>
    <cellStyle name="SAPLocked 2 6 2 9" xfId="2528"/>
    <cellStyle name="SAPLocked 2 6 3" xfId="667"/>
    <cellStyle name="SAPLocked 2 6 4" xfId="553"/>
    <cellStyle name="SAPLocked 2 6 5" xfId="1188"/>
    <cellStyle name="SAPLocked 2 6 6" xfId="1362"/>
    <cellStyle name="SAPLocked 2 6 7" xfId="1525"/>
    <cellStyle name="SAPLocked 2 6 8" xfId="2166"/>
    <cellStyle name="SAPLocked 2 6 9" xfId="1784"/>
    <cellStyle name="SAPLocked 2 7" xfId="376"/>
    <cellStyle name="SAPLocked 2 7 10" xfId="2601"/>
    <cellStyle name="SAPLocked 2 7 11" xfId="1776"/>
    <cellStyle name="SAPLocked 2 7 12" xfId="1727"/>
    <cellStyle name="SAPLocked 2 7 13" xfId="2590"/>
    <cellStyle name="SAPLocked 2 7 2" xfId="928"/>
    <cellStyle name="SAPLocked 2 7 2 10" xfId="2739"/>
    <cellStyle name="SAPLocked 2 7 2 11" xfId="2847"/>
    <cellStyle name="SAPLocked 2 7 2 12" xfId="3059"/>
    <cellStyle name="SAPLocked 2 7 2 2" xfId="630"/>
    <cellStyle name="SAPLocked 2 7 2 3" xfId="999"/>
    <cellStyle name="SAPLocked 2 7 2 4" xfId="1310"/>
    <cellStyle name="SAPLocked 2 7 2 5" xfId="1480"/>
    <cellStyle name="SAPLocked 2 7 2 6" xfId="1627"/>
    <cellStyle name="SAPLocked 2 7 2 7" xfId="2296"/>
    <cellStyle name="SAPLocked 2 7 2 8" xfId="2418"/>
    <cellStyle name="SAPLocked 2 7 2 9" xfId="1760"/>
    <cellStyle name="SAPLocked 2 7 3" xfId="785"/>
    <cellStyle name="SAPLocked 2 7 4" xfId="726"/>
    <cellStyle name="SAPLocked 2 7 5" xfId="1190"/>
    <cellStyle name="SAPLocked 2 7 6" xfId="412"/>
    <cellStyle name="SAPLocked 2 7 7" xfId="1527"/>
    <cellStyle name="SAPLocked 2 7 8" xfId="2168"/>
    <cellStyle name="SAPLocked 2 7 9" xfId="1801"/>
    <cellStyle name="SAPLocked 2 8" xfId="378"/>
    <cellStyle name="SAPLocked 2 8 10" xfId="2567"/>
    <cellStyle name="SAPLocked 2 8 11" xfId="1775"/>
    <cellStyle name="SAPLocked 2 8 12" xfId="2756"/>
    <cellStyle name="SAPLocked 2 8 13" xfId="1667"/>
    <cellStyle name="SAPLocked 2 8 2" xfId="929"/>
    <cellStyle name="SAPLocked 2 8 2 10" xfId="2740"/>
    <cellStyle name="SAPLocked 2 8 2 11" xfId="2570"/>
    <cellStyle name="SAPLocked 2 8 2 12" xfId="3060"/>
    <cellStyle name="SAPLocked 2 8 2 2" xfId="767"/>
    <cellStyle name="SAPLocked 2 8 2 3" xfId="441"/>
    <cellStyle name="SAPLocked 2 8 2 4" xfId="1311"/>
    <cellStyle name="SAPLocked 2 8 2 5" xfId="1481"/>
    <cellStyle name="SAPLocked 2 8 2 6" xfId="1628"/>
    <cellStyle name="SAPLocked 2 8 2 7" xfId="2297"/>
    <cellStyle name="SAPLocked 2 8 2 8" xfId="2419"/>
    <cellStyle name="SAPLocked 2 8 2 9" xfId="2537"/>
    <cellStyle name="SAPLocked 2 8 3" xfId="650"/>
    <cellStyle name="SAPLocked 2 8 4" xfId="975"/>
    <cellStyle name="SAPLocked 2 8 5" xfId="1192"/>
    <cellStyle name="SAPLocked 2 8 6" xfId="1046"/>
    <cellStyle name="SAPLocked 2 8 7" xfId="1529"/>
    <cellStyle name="SAPLocked 2 8 8" xfId="2170"/>
    <cellStyle name="SAPLocked 2 8 9" xfId="1758"/>
    <cellStyle name="SAPLocked 2 9" xfId="379"/>
    <cellStyle name="SAPLocked 2 9 10" xfId="2457"/>
    <cellStyle name="SAPLocked 2 9 11" xfId="2633"/>
    <cellStyle name="SAPLocked 2 9 12" xfId="2786"/>
    <cellStyle name="SAPLocked 2 9 13" xfId="2474"/>
    <cellStyle name="SAPLocked 2 9 2" xfId="930"/>
    <cellStyle name="SAPLocked 2 9 2 10" xfId="2741"/>
    <cellStyle name="SAPLocked 2 9 2 11" xfId="2901"/>
    <cellStyle name="SAPLocked 2 9 2 12" xfId="3061"/>
    <cellStyle name="SAPLocked 2 9 2 2" xfId="836"/>
    <cellStyle name="SAPLocked 2 9 2 3" xfId="988"/>
    <cellStyle name="SAPLocked 2 9 2 4" xfId="1312"/>
    <cellStyle name="SAPLocked 2 9 2 5" xfId="1482"/>
    <cellStyle name="SAPLocked 2 9 2 6" xfId="1629"/>
    <cellStyle name="SAPLocked 2 9 2 7" xfId="2298"/>
    <cellStyle name="SAPLocked 2 9 2 8" xfId="2420"/>
    <cellStyle name="SAPLocked 2 9 2 9" xfId="1763"/>
    <cellStyle name="SAPLocked 2 9 3" xfId="395"/>
    <cellStyle name="SAPLocked 2 9 4" xfId="676"/>
    <cellStyle name="SAPLocked 2 9 5" xfId="1193"/>
    <cellStyle name="SAPLocked 2 9 6" xfId="1378"/>
    <cellStyle name="SAPLocked 2 9 7" xfId="1530"/>
    <cellStyle name="SAPLocked 2 9 8" xfId="2171"/>
    <cellStyle name="SAPLocked 2 9 9" xfId="2192"/>
    <cellStyle name="SAPLocked 20" xfId="344"/>
    <cellStyle name="SAPLocked 20 10" xfId="2489"/>
    <cellStyle name="SAPLocked 20 11" xfId="2589"/>
    <cellStyle name="SAPLocked 20 12" xfId="2119"/>
    <cellStyle name="SAPLocked 20 13" xfId="1890"/>
    <cellStyle name="SAPLocked 20 2" xfId="899"/>
    <cellStyle name="SAPLocked 20 2 10" xfId="2712"/>
    <cellStyle name="SAPLocked 20 2 11" xfId="2886"/>
    <cellStyle name="SAPLocked 20 2 12" xfId="1685"/>
    <cellStyle name="SAPLocked 20 2 2" xfId="480"/>
    <cellStyle name="SAPLocked 20 2 3" xfId="752"/>
    <cellStyle name="SAPLocked 20 2 4" xfId="1282"/>
    <cellStyle name="SAPLocked 20 2 5" xfId="475"/>
    <cellStyle name="SAPLocked 20 2 6" xfId="1601"/>
    <cellStyle name="SAPLocked 20 2 7" xfId="2269"/>
    <cellStyle name="SAPLocked 20 2 8" xfId="2389"/>
    <cellStyle name="SAPLocked 20 2 9" xfId="2573"/>
    <cellStyle name="SAPLocked 20 3" xfId="711"/>
    <cellStyle name="SAPLocked 20 4" xfId="575"/>
    <cellStyle name="SAPLocked 20 5" xfId="1159"/>
    <cellStyle name="SAPLocked 20 6" xfId="1451"/>
    <cellStyle name="SAPLocked 20 7" xfId="1500"/>
    <cellStyle name="SAPLocked 20 8" xfId="2140"/>
    <cellStyle name="SAPLocked 20 9" xfId="2149"/>
    <cellStyle name="SAPLocked 21" xfId="307"/>
    <cellStyle name="SAPLocked 21 10" xfId="2597"/>
    <cellStyle name="SAPLocked 21 11" xfId="2572"/>
    <cellStyle name="SAPLocked 21 12" xfId="1654"/>
    <cellStyle name="SAPLocked 21 13" xfId="1736"/>
    <cellStyle name="SAPLocked 21 2" xfId="864"/>
    <cellStyle name="SAPLocked 21 2 10" xfId="2677"/>
    <cellStyle name="SAPLocked 21 2 11" xfId="2196"/>
    <cellStyle name="SAPLocked 21 2 12" xfId="2135"/>
    <cellStyle name="SAPLocked 21 2 2" xfId="686"/>
    <cellStyle name="SAPLocked 21 2 3" xfId="452"/>
    <cellStyle name="SAPLocked 21 2 4" xfId="1247"/>
    <cellStyle name="SAPLocked 21 2 5" xfId="484"/>
    <cellStyle name="SAPLocked 21 2 6" xfId="1566"/>
    <cellStyle name="SAPLocked 21 2 7" xfId="2235"/>
    <cellStyle name="SAPLocked 21 2 8" xfId="2354"/>
    <cellStyle name="SAPLocked 21 2 9" xfId="2603"/>
    <cellStyle name="SAPLocked 21 3" xfId="992"/>
    <cellStyle name="SAPLocked 21 4" xfId="1065"/>
    <cellStyle name="SAPLocked 21 5" xfId="1122"/>
    <cellStyle name="SAPLocked 21 6" xfId="1390"/>
    <cellStyle name="SAPLocked 21 7" xfId="1099"/>
    <cellStyle name="SAPLocked 21 8" xfId="2108"/>
    <cellStyle name="SAPLocked 21 9" xfId="1987"/>
    <cellStyle name="SAPLocked 22" xfId="336"/>
    <cellStyle name="SAPLocked 22 10" xfId="1723"/>
    <cellStyle name="SAPLocked 22 11" xfId="2813"/>
    <cellStyle name="SAPLocked 22 12" xfId="1979"/>
    <cellStyle name="SAPLocked 22 2" xfId="545"/>
    <cellStyle name="SAPLocked 22 3" xfId="830"/>
    <cellStyle name="SAPLocked 22 4" xfId="1151"/>
    <cellStyle name="SAPLocked 22 5" xfId="602"/>
    <cellStyle name="SAPLocked 22 6" xfId="1400"/>
    <cellStyle name="SAPLocked 22 7" xfId="2133"/>
    <cellStyle name="SAPLocked 22 8" xfId="1757"/>
    <cellStyle name="SAPLocked 22 9" xfId="2432"/>
    <cellStyle name="SAPLocked 23" xfId="603"/>
    <cellStyle name="SAPLocked 24" xfId="1359"/>
    <cellStyle name="SAPLocked 25" xfId="1761"/>
    <cellStyle name="SAPLocked 26" xfId="1916"/>
    <cellStyle name="SAPLocked 27" xfId="1705"/>
    <cellStyle name="SAPLocked 28" xfId="2511"/>
    <cellStyle name="SAPLocked 29" xfId="2109"/>
    <cellStyle name="SAPLocked 3" xfId="300"/>
    <cellStyle name="SAPLocked 3 10" xfId="1745"/>
    <cellStyle name="SAPLocked 3 11" xfId="2468"/>
    <cellStyle name="SAPLocked 3 12" xfId="2881"/>
    <cellStyle name="SAPLocked 3 13" xfId="2963"/>
    <cellStyle name="SAPLocked 3 2" xfId="857"/>
    <cellStyle name="SAPLocked 3 2 10" xfId="2670"/>
    <cellStyle name="SAPLocked 3 2 11" xfId="2896"/>
    <cellStyle name="SAPLocked 3 2 12" xfId="2252"/>
    <cellStyle name="SAPLocked 3 2 2" xfId="470"/>
    <cellStyle name="SAPLocked 3 2 3" xfId="434"/>
    <cellStyle name="SAPLocked 3 2 4" xfId="1240"/>
    <cellStyle name="SAPLocked 3 2 5" xfId="443"/>
    <cellStyle name="SAPLocked 3 2 6" xfId="1559"/>
    <cellStyle name="SAPLocked 3 2 7" xfId="2228"/>
    <cellStyle name="SAPLocked 3 2 8" xfId="2347"/>
    <cellStyle name="SAPLocked 3 2 9" xfId="2311"/>
    <cellStyle name="SAPLocked 3 3" xfId="991"/>
    <cellStyle name="SAPLocked 3 4" xfId="1063"/>
    <cellStyle name="SAPLocked 3 5" xfId="1115"/>
    <cellStyle name="SAPLocked 3 6" xfId="1333"/>
    <cellStyle name="SAPLocked 3 7" xfId="410"/>
    <cellStyle name="SAPLocked 3 8" xfId="2102"/>
    <cellStyle name="SAPLocked 3 9" xfId="1755"/>
    <cellStyle name="SAPLocked 30" xfId="1676"/>
    <cellStyle name="SAPLocked 31" xfId="1692"/>
    <cellStyle name="SAPLocked 4" xfId="341"/>
    <cellStyle name="SAPLocked 4 10" xfId="2559"/>
    <cellStyle name="SAPLocked 4 11" xfId="1765"/>
    <cellStyle name="SAPLocked 4 12" xfId="2788"/>
    <cellStyle name="SAPLocked 4 13" xfId="3010"/>
    <cellStyle name="SAPLocked 4 2" xfId="896"/>
    <cellStyle name="SAPLocked 4 2 10" xfId="2709"/>
    <cellStyle name="SAPLocked 4 2 11" xfId="2543"/>
    <cellStyle name="SAPLocked 4 2 12" xfId="2976"/>
    <cellStyle name="SAPLocked 4 2 2" xfId="563"/>
    <cellStyle name="SAPLocked 4 2 3" xfId="656"/>
    <cellStyle name="SAPLocked 4 2 4" xfId="1279"/>
    <cellStyle name="SAPLocked 4 2 5" xfId="400"/>
    <cellStyle name="SAPLocked 4 2 6" xfId="1598"/>
    <cellStyle name="SAPLocked 4 2 7" xfId="2266"/>
    <cellStyle name="SAPLocked 4 2 8" xfId="2386"/>
    <cellStyle name="SAPLocked 4 2 9" xfId="2466"/>
    <cellStyle name="SAPLocked 4 3" xfId="583"/>
    <cellStyle name="SAPLocked 4 4" xfId="734"/>
    <cellStyle name="SAPLocked 4 5" xfId="1156"/>
    <cellStyle name="SAPLocked 4 6" xfId="1299"/>
    <cellStyle name="SAPLocked 4 7" xfId="1497"/>
    <cellStyle name="SAPLocked 4 8" xfId="2137"/>
    <cellStyle name="SAPLocked 4 9" xfId="2287"/>
    <cellStyle name="SAPLocked 5" xfId="310"/>
    <cellStyle name="SAPLocked 5 10" xfId="1747"/>
    <cellStyle name="SAPLocked 5 11" xfId="2446"/>
    <cellStyle name="SAPLocked 5 12" xfId="2874"/>
    <cellStyle name="SAPLocked 5 13" xfId="1669"/>
    <cellStyle name="SAPLocked 5 2" xfId="867"/>
    <cellStyle name="SAPLocked 5 2 10" xfId="2680"/>
    <cellStyle name="SAPLocked 5 2 11" xfId="2816"/>
    <cellStyle name="SAPLocked 5 2 12" xfId="1815"/>
    <cellStyle name="SAPLocked 5 2 2" xfId="627"/>
    <cellStyle name="SAPLocked 5 2 3" xfId="614"/>
    <cellStyle name="SAPLocked 5 2 4" xfId="1250"/>
    <cellStyle name="SAPLocked 5 2 5" xfId="606"/>
    <cellStyle name="SAPLocked 5 2 6" xfId="1569"/>
    <cellStyle name="SAPLocked 5 2 7" xfId="2238"/>
    <cellStyle name="SAPLocked 5 2 8" xfId="2357"/>
    <cellStyle name="SAPLocked 5 2 9" xfId="2453"/>
    <cellStyle name="SAPLocked 5 3" xfId="692"/>
    <cellStyle name="SAPLocked 5 4" xfId="515"/>
    <cellStyle name="SAPLocked 5 5" xfId="1125"/>
    <cellStyle name="SAPLocked 5 6" xfId="663"/>
    <cellStyle name="SAPLocked 5 7" xfId="1429"/>
    <cellStyle name="SAPLocked 5 8" xfId="2111"/>
    <cellStyle name="SAPLocked 5 9" xfId="1853"/>
    <cellStyle name="SAPLocked 6" xfId="356"/>
    <cellStyle name="SAPLocked 6 10" xfId="2561"/>
    <cellStyle name="SAPLocked 6 11" xfId="2499"/>
    <cellStyle name="SAPLocked 6 12" xfId="2768"/>
    <cellStyle name="SAPLocked 6 13" xfId="2932"/>
    <cellStyle name="SAPLocked 6 2" xfId="909"/>
    <cellStyle name="SAPLocked 6 2 10" xfId="2720"/>
    <cellStyle name="SAPLocked 6 2 11" xfId="2654"/>
    <cellStyle name="SAPLocked 6 2 12" xfId="3041"/>
    <cellStyle name="SAPLocked 6 2 2" xfId="462"/>
    <cellStyle name="SAPLocked 6 2 3" xfId="694"/>
    <cellStyle name="SAPLocked 6 2 4" xfId="1291"/>
    <cellStyle name="SAPLocked 6 2 5" xfId="1462"/>
    <cellStyle name="SAPLocked 6 2 6" xfId="1609"/>
    <cellStyle name="SAPLocked 6 2 7" xfId="2278"/>
    <cellStyle name="SAPLocked 6 2 8" xfId="2398"/>
    <cellStyle name="SAPLocked 6 2 9" xfId="1876"/>
    <cellStyle name="SAPLocked 6 3" xfId="776"/>
    <cellStyle name="SAPLocked 6 4" xfId="1019"/>
    <cellStyle name="SAPLocked 6 5" xfId="1170"/>
    <cellStyle name="SAPLocked 6 6" xfId="1387"/>
    <cellStyle name="SAPLocked 6 7" xfId="1509"/>
    <cellStyle name="SAPLocked 6 8" xfId="2151"/>
    <cellStyle name="SAPLocked 6 9" xfId="2113"/>
    <cellStyle name="SAPLocked 7" xfId="315"/>
    <cellStyle name="SAPLocked 7 10" xfId="1737"/>
    <cellStyle name="SAPLocked 7 11" xfId="2186"/>
    <cellStyle name="SAPLocked 7 12" xfId="2802"/>
    <cellStyle name="SAPLocked 7 13" xfId="2950"/>
    <cellStyle name="SAPLocked 7 2" xfId="871"/>
    <cellStyle name="SAPLocked 7 2 10" xfId="2684"/>
    <cellStyle name="SAPLocked 7 2 11" xfId="2088"/>
    <cellStyle name="SAPLocked 7 2 12" xfId="2480"/>
    <cellStyle name="SAPLocked 7 2 2" xfId="977"/>
    <cellStyle name="SAPLocked 7 2 3" xfId="1050"/>
    <cellStyle name="SAPLocked 7 2 4" xfId="1254"/>
    <cellStyle name="SAPLocked 7 2 5" xfId="1069"/>
    <cellStyle name="SAPLocked 7 2 6" xfId="1573"/>
    <cellStyle name="SAPLocked 7 2 7" xfId="2242"/>
    <cellStyle name="SAPLocked 7 2 8" xfId="2361"/>
    <cellStyle name="SAPLocked 7 2 9" xfId="2444"/>
    <cellStyle name="SAPLocked 7 3" xfId="989"/>
    <cellStyle name="SAPLocked 7 4" xfId="986"/>
    <cellStyle name="SAPLocked 7 5" xfId="1130"/>
    <cellStyle name="SAPLocked 7 6" xfId="1394"/>
    <cellStyle name="SAPLocked 7 7" xfId="737"/>
    <cellStyle name="SAPLocked 7 8" xfId="2116"/>
    <cellStyle name="SAPLocked 7 9" xfId="2018"/>
    <cellStyle name="SAPLocked 8" xfId="331"/>
    <cellStyle name="SAPLocked 8 10" xfId="2541"/>
    <cellStyle name="SAPLocked 8 11" xfId="2538"/>
    <cellStyle name="SAPLocked 8 12" xfId="2456"/>
    <cellStyle name="SAPLocked 8 13" xfId="2568"/>
    <cellStyle name="SAPLocked 8 2" xfId="887"/>
    <cellStyle name="SAPLocked 8 2 10" xfId="2700"/>
    <cellStyle name="SAPLocked 8 2 11" xfId="2326"/>
    <cellStyle name="SAPLocked 8 2 12" xfId="2946"/>
    <cellStyle name="SAPLocked 8 2 2" xfId="824"/>
    <cellStyle name="SAPLocked 8 2 3" xfId="570"/>
    <cellStyle name="SAPLocked 8 2 4" xfId="1270"/>
    <cellStyle name="SAPLocked 8 2 5" xfId="531"/>
    <cellStyle name="SAPLocked 8 2 6" xfId="1589"/>
    <cellStyle name="SAPLocked 8 2 7" xfId="2257"/>
    <cellStyle name="SAPLocked 8 2 8" xfId="2377"/>
    <cellStyle name="SAPLocked 8 2 9" xfId="2613"/>
    <cellStyle name="SAPLocked 8 3" xfId="514"/>
    <cellStyle name="SAPLocked 8 4" xfId="787"/>
    <cellStyle name="SAPLocked 8 5" xfId="1146"/>
    <cellStyle name="SAPLocked 8 6" xfId="512"/>
    <cellStyle name="SAPLocked 8 7" xfId="715"/>
    <cellStyle name="SAPLocked 8 8" xfId="2128"/>
    <cellStyle name="SAPLocked 8 9" xfId="2295"/>
    <cellStyle name="SAPLocked 9" xfId="295"/>
    <cellStyle name="SAPLocked 9 10" xfId="2134"/>
    <cellStyle name="SAPLocked 9 11" xfId="2544"/>
    <cellStyle name="SAPLocked 9 12" xfId="2621"/>
    <cellStyle name="SAPLocked 9 13" xfId="2892"/>
    <cellStyle name="SAPLocked 9 2" xfId="852"/>
    <cellStyle name="SAPLocked 9 2 10" xfId="2665"/>
    <cellStyle name="SAPLocked 9 2 11" xfId="2197"/>
    <cellStyle name="SAPLocked 9 2 12" xfId="2486"/>
    <cellStyle name="SAPLocked 9 2 2" xfId="438"/>
    <cellStyle name="SAPLocked 9 2 3" xfId="568"/>
    <cellStyle name="SAPLocked 9 2 4" xfId="1235"/>
    <cellStyle name="SAPLocked 9 2 5" xfId="1331"/>
    <cellStyle name="SAPLocked 9 2 6" xfId="1554"/>
    <cellStyle name="SAPLocked 9 2 7" xfId="2223"/>
    <cellStyle name="SAPLocked 9 2 8" xfId="2342"/>
    <cellStyle name="SAPLocked 9 2 9" xfId="2609"/>
    <cellStyle name="SAPLocked 9 3" xfId="645"/>
    <cellStyle name="SAPLocked 9 4" xfId="683"/>
    <cellStyle name="SAPLocked 9 5" xfId="1110"/>
    <cellStyle name="SAPLocked 9 6" xfId="1098"/>
    <cellStyle name="SAPLocked 9 7" xfId="1036"/>
    <cellStyle name="SAPLocked 9 8" xfId="2097"/>
    <cellStyle name="SAPLocked 9 9" xfId="2205"/>
    <cellStyle name="Standard_CORE_20040805_Movement types_Sets_V0.1_e" xfId="156"/>
    <cellStyle name="Title" xfId="3073" builtinId="15" customBuiltin="1"/>
    <cellStyle name="Title 2" xfId="214"/>
    <cellStyle name="Total" xfId="50" builtinId="25" customBuiltin="1"/>
    <cellStyle name="Total 2" xfId="215"/>
    <cellStyle name="Total 2 2" xfId="814"/>
    <cellStyle name="Total 2 3" xfId="455"/>
    <cellStyle name="Total 2 4" xfId="728"/>
    <cellStyle name="Total 2 5" xfId="718"/>
    <cellStyle name="Total 2 6" xfId="2224"/>
    <cellStyle name="Total 2 7" xfId="2500"/>
    <cellStyle name="Total 2 8" xfId="2849"/>
    <cellStyle name="Total 3" xfId="3114"/>
    <cellStyle name="Undefiniert" xfId="157"/>
    <cellStyle name="UploadThisRowValue" xfId="51"/>
    <cellStyle name="UploadThisRowValue 2" xfId="158"/>
    <cellStyle name="Warning Text" xfId="3084" builtinId="11" customBuiltin="1"/>
    <cellStyle name="Warning Text 2" xfId="216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%20Case%202012\Cost%20of%20Service\FERC%20Spare%20Parts\J111%20-%20KU%20Spare%20Parts%20Inventory%20Deferral%2003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Journal 1"/>
      <sheetName val="Exp Summary"/>
      <sheetName val="FERC SpareParts"/>
    </sheetNames>
    <sheetDataSet>
      <sheetData sheetId="0" refreshError="1"/>
      <sheetData sheetId="1">
        <row r="14">
          <cell r="J14" t="str">
            <v>J111-0110-0312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23" transitionEvaluation="1" transitionEntry="1" codeName="Sheet1"/>
  <dimension ref="A1:FQ8124"/>
  <sheetViews>
    <sheetView showGridLines="0" topLeftCell="A13" zoomScale="85" zoomScaleNormal="85" workbookViewId="0">
      <pane xSplit="3" ySplit="10" topLeftCell="D23" activePane="bottomRight" state="frozen"/>
      <selection activeCell="A13" sqref="A13"/>
      <selection pane="topRight" activeCell="D13" sqref="D13"/>
      <selection pane="bottomLeft" activeCell="A23" sqref="A23"/>
      <selection pane="bottomRight" activeCell="F1454" sqref="F1454"/>
    </sheetView>
  </sheetViews>
  <sheetFormatPr defaultColWidth="9.625" defaultRowHeight="12.75" x14ac:dyDescent="0.2"/>
  <cols>
    <col min="1" max="1" width="4.625" style="33" customWidth="1"/>
    <col min="2" max="2" width="34" style="33" customWidth="1"/>
    <col min="3" max="3" width="12.25" style="33" customWidth="1"/>
    <col min="4" max="4" width="15.625" style="33" customWidth="1"/>
    <col min="5" max="5" width="1.625" style="33" customWidth="1"/>
    <col min="6" max="6" width="15.625" style="33" customWidth="1"/>
    <col min="7" max="7" width="1.625" style="33" customWidth="1"/>
    <col min="8" max="9" width="15.625" style="33" customWidth="1"/>
    <col min="10" max="11" width="1.625" style="33" customWidth="1"/>
    <col min="12" max="12" width="15.625" style="33" customWidth="1"/>
    <col min="13" max="13" width="2.125" style="33" customWidth="1"/>
    <col min="14" max="16" width="15.625" style="33" customWidth="1"/>
    <col min="17" max="17" width="15.625" style="33" hidden="1" customWidth="1"/>
    <col min="18" max="19" width="1.875" style="33" customWidth="1"/>
    <col min="20" max="20" width="15.625" style="33" customWidth="1"/>
    <col min="21" max="21" width="8" style="34" customWidth="1"/>
    <col min="22" max="22" width="6.25" style="34" customWidth="1"/>
    <col min="23" max="23" width="17" style="34" customWidth="1"/>
    <col min="24" max="24" width="15.625" style="34" customWidth="1"/>
    <col min="25" max="25" width="22.125" style="34" customWidth="1"/>
    <col min="26" max="27" width="15.625" style="34" customWidth="1"/>
    <col min="28" max="28" width="11.5" style="34" customWidth="1"/>
    <col min="29" max="31" width="15.625" style="34" customWidth="1"/>
    <col min="32" max="32" width="27.25" style="34" customWidth="1"/>
    <col min="33" max="255" width="15.625" style="34" customWidth="1"/>
    <col min="256" max="16384" width="9.625" style="34"/>
  </cols>
  <sheetData>
    <row r="1" spans="1:173" x14ac:dyDescent="0.2">
      <c r="F1" s="47"/>
      <c r="G1" s="47"/>
      <c r="H1" s="47"/>
      <c r="I1" s="47"/>
      <c r="J1" s="48"/>
      <c r="K1" s="48"/>
      <c r="U1" s="49"/>
      <c r="V1" s="49"/>
      <c r="AD1" s="49"/>
      <c r="AE1" s="49"/>
      <c r="AQ1" s="49"/>
      <c r="AR1" s="49"/>
      <c r="BG1" s="49"/>
      <c r="BH1" s="49"/>
      <c r="BO1" s="49"/>
      <c r="BP1" s="49"/>
      <c r="BW1" s="49"/>
      <c r="BX1" s="49"/>
      <c r="CE1" s="49"/>
      <c r="CF1" s="49"/>
      <c r="CM1" s="49"/>
      <c r="CN1" s="49"/>
      <c r="CU1" s="49"/>
      <c r="CV1" s="49"/>
      <c r="DI1" s="49"/>
      <c r="DJ1" s="49"/>
      <c r="DW1" s="49"/>
      <c r="DX1" s="49"/>
      <c r="EE1" s="49"/>
      <c r="EF1" s="49"/>
      <c r="EM1" s="49"/>
      <c r="EN1" s="49"/>
      <c r="FC1" s="49"/>
      <c r="FD1" s="50"/>
      <c r="FK1" s="49"/>
      <c r="FL1" s="49"/>
      <c r="FP1" s="49"/>
      <c r="FQ1" s="49"/>
    </row>
    <row r="2" spans="1:173" x14ac:dyDescent="0.2">
      <c r="A2" s="51"/>
      <c r="F2" s="47"/>
      <c r="G2" s="52"/>
      <c r="H2" s="53"/>
      <c r="I2" s="47"/>
      <c r="V2" s="49"/>
      <c r="AE2" s="49"/>
      <c r="AR2" s="49"/>
      <c r="BH2" s="49"/>
      <c r="BP2" s="49"/>
      <c r="BX2" s="49"/>
      <c r="CF2" s="49"/>
      <c r="CN2" s="49"/>
      <c r="CV2" s="49"/>
      <c r="DJ2" s="49"/>
      <c r="DX2" s="49"/>
      <c r="EF2" s="49"/>
      <c r="EN2" s="49"/>
      <c r="FC2" s="49"/>
      <c r="FD2" s="50"/>
      <c r="FK2" s="49"/>
      <c r="FL2" s="49"/>
      <c r="FQ2" s="49"/>
    </row>
    <row r="3" spans="1:173" x14ac:dyDescent="0.2">
      <c r="B3" s="48"/>
      <c r="F3" s="47"/>
      <c r="G3" s="54"/>
      <c r="H3" s="53"/>
      <c r="I3" s="47"/>
      <c r="J3" s="48"/>
      <c r="K3" s="48"/>
      <c r="V3" s="49"/>
      <c r="AE3" s="49"/>
      <c r="AR3" s="49"/>
      <c r="BH3" s="49"/>
      <c r="BP3" s="49"/>
      <c r="BX3" s="49"/>
      <c r="CF3" s="49"/>
      <c r="CN3" s="49"/>
      <c r="CV3" s="49"/>
      <c r="DJ3" s="49"/>
      <c r="DW3" s="50"/>
      <c r="DX3" s="49"/>
      <c r="EE3" s="49"/>
      <c r="EF3" s="49"/>
      <c r="EN3" s="49"/>
      <c r="EO3" s="49"/>
      <c r="EX3" s="49"/>
      <c r="FC3" s="49"/>
      <c r="FD3" s="50"/>
      <c r="FK3" s="49"/>
      <c r="FL3" s="49"/>
      <c r="FQ3" s="49"/>
    </row>
    <row r="4" spans="1:173" x14ac:dyDescent="0.2">
      <c r="A4" s="48"/>
      <c r="F4" s="47"/>
      <c r="G4" s="53"/>
      <c r="H4" s="53"/>
      <c r="I4" s="47"/>
      <c r="V4" s="49"/>
      <c r="AE4" s="49"/>
      <c r="AR4" s="49"/>
      <c r="BH4" s="49"/>
      <c r="BP4" s="49"/>
      <c r="BX4" s="49"/>
      <c r="CF4" s="49"/>
      <c r="CN4" s="49"/>
      <c r="CV4" s="49"/>
      <c r="DJ4" s="49"/>
      <c r="DX4" s="49"/>
      <c r="EF4" s="49"/>
      <c r="EN4" s="49"/>
      <c r="EO4" s="49"/>
      <c r="EX4" s="49"/>
      <c r="FC4" s="49"/>
      <c r="FD4" s="50"/>
      <c r="FK4" s="49"/>
      <c r="FL4" s="49"/>
      <c r="FQ4" s="49"/>
    </row>
    <row r="5" spans="1:173" x14ac:dyDescent="0.2">
      <c r="B5" s="51"/>
      <c r="F5" s="47"/>
      <c r="G5" s="53"/>
      <c r="H5" s="53"/>
      <c r="I5" s="47"/>
      <c r="J5" s="48"/>
      <c r="K5" s="48"/>
      <c r="V5" s="49"/>
      <c r="AE5" s="49"/>
      <c r="AR5" s="49"/>
      <c r="BH5" s="49"/>
      <c r="BP5" s="49"/>
      <c r="BX5" s="49"/>
      <c r="CF5" s="49"/>
      <c r="CN5" s="49"/>
      <c r="CV5" s="49"/>
      <c r="DJ5" s="49"/>
      <c r="DX5" s="55"/>
      <c r="EF5" s="49"/>
      <c r="EG5" s="49"/>
      <c r="EN5" s="49"/>
      <c r="EO5" s="49"/>
      <c r="FC5" s="49"/>
      <c r="FD5" s="55"/>
      <c r="FK5" s="49"/>
      <c r="FL5" s="49"/>
      <c r="FQ5" s="49"/>
    </row>
    <row r="6" spans="1:173" x14ac:dyDescent="0.2">
      <c r="B6" s="56"/>
      <c r="F6" s="47"/>
      <c r="G6" s="53"/>
      <c r="H6" s="53"/>
      <c r="I6" s="47"/>
      <c r="U6" s="57"/>
      <c r="V6" s="49"/>
      <c r="W6" s="49"/>
      <c r="AE6" s="49"/>
      <c r="AR6" s="49"/>
      <c r="BH6" s="49"/>
      <c r="BP6" s="49"/>
      <c r="BX6" s="49"/>
      <c r="CF6" s="49"/>
      <c r="CN6" s="49"/>
      <c r="CV6" s="49"/>
      <c r="DJ6" s="49"/>
      <c r="DX6" s="49"/>
      <c r="EF6" s="49"/>
      <c r="EG6" s="49"/>
      <c r="EM6" s="49"/>
      <c r="EN6" s="49"/>
      <c r="EO6" s="55"/>
      <c r="EX6" s="49"/>
      <c r="FC6" s="49"/>
      <c r="FD6" s="50"/>
      <c r="FK6" s="49"/>
      <c r="FL6" s="49"/>
      <c r="FQ6" s="50"/>
    </row>
    <row r="7" spans="1:173" x14ac:dyDescent="0.2">
      <c r="F7" s="47"/>
      <c r="G7" s="53"/>
      <c r="H7" s="53"/>
      <c r="I7" s="47"/>
      <c r="J7" s="48"/>
      <c r="K7" s="48"/>
      <c r="V7" s="49"/>
      <c r="W7" s="49"/>
      <c r="AE7" s="49"/>
      <c r="AF7" s="49"/>
      <c r="AR7" s="49"/>
      <c r="AS7" s="49"/>
      <c r="BH7" s="49"/>
      <c r="BI7" s="49"/>
      <c r="BP7" s="49"/>
      <c r="BQ7" s="49"/>
      <c r="BX7" s="49"/>
      <c r="BY7" s="49"/>
      <c r="CF7" s="49"/>
      <c r="CG7" s="49"/>
      <c r="CN7" s="49"/>
      <c r="CO7" s="49"/>
      <c r="CV7" s="49"/>
      <c r="CW7" s="49"/>
      <c r="DJ7" s="49"/>
      <c r="DK7" s="49"/>
      <c r="DX7" s="49"/>
      <c r="EF7" s="49"/>
      <c r="EG7" s="49"/>
      <c r="EN7" s="49"/>
      <c r="EX7" s="49"/>
      <c r="FC7" s="49"/>
      <c r="FD7" s="55"/>
      <c r="FK7" s="49"/>
      <c r="FL7" s="49"/>
      <c r="FQ7" s="49"/>
    </row>
    <row r="8" spans="1:173" x14ac:dyDescent="0.2">
      <c r="B8" s="51"/>
      <c r="C8" s="58"/>
      <c r="D8" s="58"/>
      <c r="F8" s="47"/>
      <c r="G8" s="53"/>
      <c r="H8" s="53"/>
      <c r="I8" s="47"/>
      <c r="V8" s="49"/>
      <c r="W8" s="49"/>
      <c r="AE8" s="49"/>
      <c r="AF8" s="49"/>
      <c r="AR8" s="49"/>
      <c r="AS8" s="49"/>
      <c r="BH8" s="49"/>
      <c r="BI8" s="49"/>
      <c r="BP8" s="49"/>
      <c r="BQ8" s="49"/>
      <c r="BX8" s="49"/>
      <c r="BY8" s="49"/>
      <c r="CF8" s="49"/>
      <c r="CG8" s="49"/>
      <c r="CN8" s="49"/>
      <c r="CO8" s="49"/>
      <c r="CV8" s="49"/>
      <c r="CW8" s="49"/>
      <c r="DJ8" s="49"/>
      <c r="DK8" s="49"/>
      <c r="DX8" s="49"/>
      <c r="EE8" s="49"/>
      <c r="EF8" s="49"/>
      <c r="EG8" s="49"/>
      <c r="EM8" s="49"/>
      <c r="EN8" s="49"/>
      <c r="FC8" s="49"/>
      <c r="FD8" s="50"/>
      <c r="FK8" s="49"/>
      <c r="FL8" s="49"/>
      <c r="FQ8" s="49"/>
    </row>
    <row r="9" spans="1:173" x14ac:dyDescent="0.2">
      <c r="C9" s="51"/>
      <c r="E9" s="59"/>
      <c r="F9" s="47"/>
      <c r="G9" s="53"/>
      <c r="H9" s="53"/>
      <c r="I9" s="47"/>
      <c r="J9" s="48"/>
      <c r="K9" s="48"/>
      <c r="U9" s="49"/>
      <c r="V9" s="49"/>
      <c r="AE9" s="49"/>
      <c r="AF9" s="49"/>
      <c r="AR9" s="49"/>
      <c r="AS9" s="49"/>
      <c r="BH9" s="49"/>
      <c r="BI9" s="49"/>
      <c r="BP9" s="49"/>
      <c r="BQ9" s="49"/>
      <c r="BX9" s="49"/>
      <c r="BY9" s="49"/>
      <c r="CF9" s="49"/>
      <c r="CG9" s="49"/>
      <c r="CN9" s="49"/>
      <c r="CO9" s="49"/>
      <c r="CV9" s="49"/>
      <c r="CW9" s="49"/>
      <c r="DJ9" s="49"/>
      <c r="DK9" s="49"/>
      <c r="DX9" s="49"/>
      <c r="EF9" s="49"/>
      <c r="EN9" s="49"/>
      <c r="FK9" s="49"/>
      <c r="FL9" s="49"/>
      <c r="FQ9" s="49"/>
    </row>
    <row r="10" spans="1:173" x14ac:dyDescent="0.2">
      <c r="C10" s="51"/>
      <c r="E10" s="59"/>
      <c r="F10" s="47"/>
      <c r="G10" s="53"/>
      <c r="H10" s="53"/>
      <c r="I10" s="47"/>
      <c r="V10" s="49"/>
      <c r="AD10" s="49"/>
      <c r="AE10" s="49"/>
      <c r="AQ10" s="49"/>
      <c r="AR10" s="49"/>
      <c r="BG10" s="49"/>
      <c r="BH10" s="49"/>
      <c r="BO10" s="49"/>
      <c r="BP10" s="49"/>
      <c r="BW10" s="49"/>
      <c r="BX10" s="49"/>
      <c r="CE10" s="49"/>
      <c r="CF10" s="49"/>
      <c r="CM10" s="49"/>
      <c r="CN10" s="49"/>
      <c r="CU10" s="49"/>
      <c r="CV10" s="49"/>
      <c r="DI10" s="49"/>
      <c r="DJ10" s="49"/>
      <c r="DX10" s="49"/>
      <c r="EE10" s="49"/>
      <c r="EF10" s="49"/>
      <c r="EG10" s="49"/>
      <c r="EN10" s="49"/>
      <c r="FK10" s="49"/>
      <c r="FL10" s="49"/>
      <c r="FQ10" s="49"/>
    </row>
    <row r="11" spans="1:173" x14ac:dyDescent="0.2">
      <c r="B11" s="48"/>
      <c r="E11" s="59"/>
      <c r="F11" s="47"/>
      <c r="G11" s="53"/>
      <c r="H11" s="53"/>
      <c r="I11" s="47"/>
      <c r="J11" s="48"/>
      <c r="K11" s="48"/>
      <c r="U11" s="49"/>
      <c r="V11" s="49"/>
      <c r="AE11" s="49"/>
      <c r="AR11" s="49"/>
      <c r="BH11" s="49"/>
      <c r="BP11" s="49"/>
      <c r="BX11" s="49"/>
      <c r="CF11" s="49"/>
      <c r="CN11" s="49"/>
      <c r="CV11" s="49"/>
      <c r="DJ11" s="49"/>
      <c r="DX11" s="49"/>
      <c r="EE11" s="49"/>
      <c r="EF11" s="49"/>
      <c r="EN11" s="49"/>
      <c r="EO11" s="55"/>
      <c r="EX11" s="49"/>
      <c r="FC11" s="49"/>
      <c r="FD11" s="49"/>
      <c r="FK11" s="49"/>
      <c r="FL11" s="49"/>
      <c r="FQ11" s="49"/>
    </row>
    <row r="12" spans="1:173" x14ac:dyDescent="0.2">
      <c r="A12" s="50">
        <v>1</v>
      </c>
      <c r="B12" s="47"/>
      <c r="C12" s="47"/>
      <c r="D12" s="47">
        <v>0</v>
      </c>
      <c r="E12" s="216">
        <v>1</v>
      </c>
      <c r="F12" s="60">
        <f t="shared" ref="F12:Y12" si="0">1+E12</f>
        <v>2</v>
      </c>
      <c r="G12" s="60">
        <f t="shared" si="0"/>
        <v>3</v>
      </c>
      <c r="H12" s="60">
        <f t="shared" si="0"/>
        <v>4</v>
      </c>
      <c r="I12" s="60">
        <f t="shared" si="0"/>
        <v>5</v>
      </c>
      <c r="J12" s="60">
        <f t="shared" si="0"/>
        <v>6</v>
      </c>
      <c r="K12" s="60">
        <f t="shared" si="0"/>
        <v>7</v>
      </c>
      <c r="L12" s="60">
        <f>1+K12</f>
        <v>8</v>
      </c>
      <c r="M12" s="60">
        <f t="shared" si="0"/>
        <v>9</v>
      </c>
      <c r="N12" s="60">
        <f t="shared" si="0"/>
        <v>10</v>
      </c>
      <c r="O12" s="60">
        <f t="shared" si="0"/>
        <v>11</v>
      </c>
      <c r="P12" s="60">
        <f t="shared" si="0"/>
        <v>12</v>
      </c>
      <c r="Q12" s="60">
        <f t="shared" si="0"/>
        <v>13</v>
      </c>
      <c r="R12" s="60">
        <f t="shared" si="0"/>
        <v>14</v>
      </c>
      <c r="S12" s="60">
        <f t="shared" si="0"/>
        <v>15</v>
      </c>
      <c r="T12" s="60">
        <f t="shared" si="0"/>
        <v>16</v>
      </c>
      <c r="U12" s="57">
        <f t="shared" si="0"/>
        <v>17</v>
      </c>
      <c r="V12" s="57">
        <f t="shared" si="0"/>
        <v>18</v>
      </c>
      <c r="W12" s="57">
        <f t="shared" si="0"/>
        <v>19</v>
      </c>
      <c r="X12" s="57">
        <f t="shared" si="0"/>
        <v>20</v>
      </c>
      <c r="Y12" s="57">
        <f t="shared" si="0"/>
        <v>21</v>
      </c>
    </row>
    <row r="13" spans="1:173" x14ac:dyDescent="0.2">
      <c r="B13" s="61">
        <f ca="1">NOW()</f>
        <v>41127.723991782404</v>
      </c>
      <c r="E13" s="51" t="s">
        <v>587</v>
      </c>
      <c r="M13" s="60" t="str">
        <f>E13</f>
        <v xml:space="preserve">         KENTUCKY UTILITIES COMPANY</v>
      </c>
    </row>
    <row r="14" spans="1:173" x14ac:dyDescent="0.2">
      <c r="B14" s="62">
        <f ca="1">NOW()</f>
        <v>41127.723991782404</v>
      </c>
      <c r="E14" s="51" t="s">
        <v>757</v>
      </c>
      <c r="I14" s="51"/>
      <c r="M14" s="60" t="str">
        <f>E14</f>
        <v xml:space="preserve">    ELECTRIC COST OF SERVICE STUDY</v>
      </c>
      <c r="Q14" s="60"/>
    </row>
    <row r="15" spans="1:173" x14ac:dyDescent="0.2">
      <c r="E15" s="51" t="s">
        <v>588</v>
      </c>
      <c r="M15" s="60" t="str">
        <f>E15</f>
        <v xml:space="preserve">          JURISDICTIONAL SEPARATION</v>
      </c>
    </row>
    <row r="16" spans="1:173" x14ac:dyDescent="0.2">
      <c r="B16" s="63" t="s">
        <v>457</v>
      </c>
    </row>
    <row r="17" spans="1:27" x14ac:dyDescent="0.2">
      <c r="B17" s="63" t="s">
        <v>647</v>
      </c>
      <c r="D17" s="56"/>
      <c r="E17" s="113" t="s">
        <v>1542</v>
      </c>
      <c r="M17" s="60"/>
    </row>
    <row r="19" spans="1:27" x14ac:dyDescent="0.2">
      <c r="D19" s="59" t="s">
        <v>589</v>
      </c>
      <c r="F19" s="59" t="s">
        <v>590</v>
      </c>
      <c r="H19" s="59" t="s">
        <v>594</v>
      </c>
      <c r="I19" s="59" t="s">
        <v>758</v>
      </c>
      <c r="L19" s="59" t="s">
        <v>591</v>
      </c>
      <c r="T19" s="64" t="s">
        <v>592</v>
      </c>
      <c r="U19" s="50"/>
      <c r="V19" s="50"/>
      <c r="W19" s="50"/>
      <c r="X19" s="50"/>
      <c r="Y19" s="50"/>
    </row>
    <row r="20" spans="1:27" x14ac:dyDescent="0.2">
      <c r="D20" s="59" t="s">
        <v>590</v>
      </c>
      <c r="F20" s="59" t="s">
        <v>593</v>
      </c>
      <c r="H20" s="59" t="s">
        <v>593</v>
      </c>
      <c r="I20" s="65" t="s">
        <v>591</v>
      </c>
      <c r="L20" s="59" t="s">
        <v>593</v>
      </c>
      <c r="M20" s="59"/>
      <c r="N20" s="59" t="s">
        <v>595</v>
      </c>
      <c r="T20" s="64" t="s">
        <v>589</v>
      </c>
      <c r="U20" s="50"/>
      <c r="V20" s="50"/>
      <c r="W20" s="50"/>
      <c r="X20" s="50"/>
      <c r="Y20" s="50"/>
    </row>
    <row r="21" spans="1:27" x14ac:dyDescent="0.2">
      <c r="C21" s="48" t="s">
        <v>596</v>
      </c>
      <c r="D21" s="59" t="s">
        <v>599</v>
      </c>
      <c r="F21" s="59" t="s">
        <v>600</v>
      </c>
      <c r="H21" s="59" t="s">
        <v>600</v>
      </c>
      <c r="I21" s="59" t="s">
        <v>600</v>
      </c>
      <c r="L21" s="59" t="s">
        <v>600</v>
      </c>
      <c r="M21" s="59"/>
      <c r="N21" s="59" t="s">
        <v>600</v>
      </c>
      <c r="O21" s="59" t="s">
        <v>601</v>
      </c>
      <c r="P21" s="59" t="s">
        <v>602</v>
      </c>
      <c r="Q21" s="59" t="s">
        <v>603</v>
      </c>
      <c r="T21" s="64" t="s">
        <v>590</v>
      </c>
      <c r="U21" s="50"/>
      <c r="V21" s="50"/>
      <c r="W21" s="50"/>
      <c r="X21" s="50"/>
      <c r="Y21" s="50"/>
    </row>
    <row r="22" spans="1:27" x14ac:dyDescent="0.2">
      <c r="D22" s="64" t="s">
        <v>604</v>
      </c>
      <c r="F22" s="59" t="s">
        <v>605</v>
      </c>
      <c r="H22" s="59">
        <v>-3</v>
      </c>
      <c r="I22" s="59">
        <v>-4</v>
      </c>
      <c r="L22" s="59">
        <v>-5</v>
      </c>
      <c r="M22" s="59"/>
      <c r="N22" s="59" t="s">
        <v>606</v>
      </c>
      <c r="O22" s="59" t="s">
        <v>607</v>
      </c>
      <c r="P22" s="59" t="s">
        <v>608</v>
      </c>
      <c r="Q22" s="59" t="s">
        <v>609</v>
      </c>
      <c r="T22" s="64" t="s">
        <v>599</v>
      </c>
      <c r="U22" s="50"/>
      <c r="V22" s="50"/>
      <c r="W22" s="50"/>
      <c r="X22" s="50"/>
      <c r="Y22" s="50"/>
      <c r="Z22" s="50"/>
      <c r="AA22" s="50"/>
    </row>
    <row r="23" spans="1:27" x14ac:dyDescent="0.2">
      <c r="B23" s="64" t="s">
        <v>610</v>
      </c>
    </row>
    <row r="25" spans="1:27" x14ac:dyDescent="0.2">
      <c r="B25" s="64" t="s">
        <v>611</v>
      </c>
      <c r="D25" s="66"/>
      <c r="F25" s="66"/>
      <c r="H25" s="66"/>
      <c r="J25" s="66"/>
      <c r="K25" s="66"/>
      <c r="M25" s="66"/>
      <c r="N25" s="66"/>
    </row>
    <row r="26" spans="1:27" x14ac:dyDescent="0.2">
      <c r="B26" s="67" t="s">
        <v>493</v>
      </c>
    </row>
    <row r="27" spans="1:27" x14ac:dyDescent="0.2">
      <c r="B27" s="64" t="s">
        <v>612</v>
      </c>
      <c r="F27" s="58"/>
      <c r="G27" s="58"/>
      <c r="H27" s="58"/>
      <c r="I27" s="58"/>
      <c r="J27" s="58"/>
      <c r="K27" s="58"/>
      <c r="L27" s="58"/>
      <c r="M27" s="58"/>
      <c r="N27" s="60">
        <f t="shared" ref="N27:N33" si="1">SUM(O27:Q27)</f>
        <v>0</v>
      </c>
      <c r="O27" s="58"/>
      <c r="P27" s="58"/>
      <c r="Q27" s="58"/>
      <c r="R27" s="58"/>
      <c r="S27" s="58"/>
      <c r="T27" s="58"/>
    </row>
    <row r="28" spans="1:27" x14ac:dyDescent="0.2">
      <c r="A28" s="57">
        <v>1</v>
      </c>
      <c r="B28" s="49" t="s">
        <v>613</v>
      </c>
      <c r="C28" s="55" t="s">
        <v>614</v>
      </c>
      <c r="D28" s="57">
        <f t="shared" ref="D28:D33" si="2">SUM(F28:I28)+K28</f>
        <v>3658952</v>
      </c>
      <c r="E28" s="34"/>
      <c r="F28" s="325">
        <v>3166787</v>
      </c>
      <c r="G28" s="50"/>
      <c r="H28" s="325">
        <v>185976</v>
      </c>
      <c r="I28" s="57">
        <f t="shared" ref="I28:I33" si="3">(L28+M28+N28)</f>
        <v>306189</v>
      </c>
      <c r="J28" s="34"/>
      <c r="K28" s="34"/>
      <c r="L28" s="325">
        <v>28</v>
      </c>
      <c r="M28" s="50"/>
      <c r="N28" s="57">
        <f t="shared" si="1"/>
        <v>306161</v>
      </c>
      <c r="O28" s="325">
        <v>95530</v>
      </c>
      <c r="P28" s="325">
        <v>210631</v>
      </c>
      <c r="Q28" s="50">
        <v>0</v>
      </c>
      <c r="R28" s="34"/>
      <c r="S28" s="34"/>
      <c r="T28" s="34"/>
    </row>
    <row r="29" spans="1:27" x14ac:dyDescent="0.2">
      <c r="A29" s="60">
        <v>2</v>
      </c>
      <c r="B29" s="48" t="s">
        <v>615</v>
      </c>
      <c r="C29" s="51" t="s">
        <v>616</v>
      </c>
      <c r="D29" s="60">
        <f t="shared" si="2"/>
        <v>492137</v>
      </c>
      <c r="F29" s="68">
        <v>0</v>
      </c>
      <c r="G29" s="68"/>
      <c r="H29" s="68">
        <f>H28</f>
        <v>185976</v>
      </c>
      <c r="I29" s="60">
        <f t="shared" si="3"/>
        <v>306161</v>
      </c>
      <c r="L29" s="68">
        <v>0</v>
      </c>
      <c r="M29" s="68"/>
      <c r="N29" s="60">
        <f t="shared" si="1"/>
        <v>306161</v>
      </c>
      <c r="O29" s="68">
        <f>O28</f>
        <v>95530</v>
      </c>
      <c r="P29" s="68">
        <f>P28</f>
        <v>210631</v>
      </c>
      <c r="Q29" s="68">
        <f>Q28</f>
        <v>0</v>
      </c>
    </row>
    <row r="30" spans="1:27" x14ac:dyDescent="0.2">
      <c r="A30" s="60">
        <v>3</v>
      </c>
      <c r="B30" s="48" t="s">
        <v>617</v>
      </c>
      <c r="C30" s="51" t="s">
        <v>618</v>
      </c>
      <c r="D30" s="60">
        <f t="shared" si="2"/>
        <v>185976</v>
      </c>
      <c r="F30" s="68">
        <v>0</v>
      </c>
      <c r="G30" s="68"/>
      <c r="H30" s="68">
        <f>H28</f>
        <v>185976</v>
      </c>
      <c r="I30" s="60">
        <f t="shared" si="3"/>
        <v>0</v>
      </c>
      <c r="L30" s="68">
        <v>0</v>
      </c>
      <c r="M30" s="68"/>
      <c r="N30" s="60">
        <f t="shared" si="1"/>
        <v>0</v>
      </c>
      <c r="O30" s="68">
        <v>0</v>
      </c>
      <c r="P30" s="68">
        <v>0</v>
      </c>
      <c r="Q30" s="68">
        <v>0</v>
      </c>
    </row>
    <row r="31" spans="1:27" x14ac:dyDescent="0.2">
      <c r="A31" s="60">
        <v>4</v>
      </c>
      <c r="B31" s="48" t="s">
        <v>619</v>
      </c>
      <c r="C31" s="51" t="s">
        <v>620</v>
      </c>
      <c r="D31" s="60">
        <f t="shared" si="2"/>
        <v>3472948</v>
      </c>
      <c r="F31" s="68">
        <f>F28</f>
        <v>3166787</v>
      </c>
      <c r="G31" s="68"/>
      <c r="H31" s="68">
        <v>0</v>
      </c>
      <c r="I31" s="60">
        <f t="shared" si="3"/>
        <v>306161</v>
      </c>
      <c r="L31" s="68">
        <v>0</v>
      </c>
      <c r="M31" s="68"/>
      <c r="N31" s="60">
        <f t="shared" si="1"/>
        <v>306161</v>
      </c>
      <c r="O31" s="68">
        <f>O28</f>
        <v>95530</v>
      </c>
      <c r="P31" s="68">
        <f>P28</f>
        <v>210631</v>
      </c>
      <c r="Q31" s="68">
        <f>Q28</f>
        <v>0</v>
      </c>
    </row>
    <row r="32" spans="1:27" x14ac:dyDescent="0.2">
      <c r="A32" s="60">
        <v>5</v>
      </c>
      <c r="B32" s="48" t="s">
        <v>621</v>
      </c>
      <c r="C32" s="51" t="s">
        <v>622</v>
      </c>
      <c r="D32" s="60">
        <f t="shared" si="2"/>
        <v>306161</v>
      </c>
      <c r="F32" s="68">
        <v>0</v>
      </c>
      <c r="G32" s="68"/>
      <c r="H32" s="68">
        <v>0</v>
      </c>
      <c r="I32" s="60">
        <f t="shared" si="3"/>
        <v>306161</v>
      </c>
      <c r="L32" s="68">
        <v>0</v>
      </c>
      <c r="M32" s="68"/>
      <c r="N32" s="60">
        <f t="shared" si="1"/>
        <v>306161</v>
      </c>
      <c r="O32" s="68">
        <f>O28</f>
        <v>95530</v>
      </c>
      <c r="P32" s="68">
        <f>P28</f>
        <v>210631</v>
      </c>
      <c r="Q32" s="68">
        <f>Q28</f>
        <v>0</v>
      </c>
    </row>
    <row r="33" spans="1:20" x14ac:dyDescent="0.2">
      <c r="A33" s="60">
        <v>6</v>
      </c>
      <c r="B33" s="48" t="s">
        <v>623</v>
      </c>
      <c r="C33" s="51" t="s">
        <v>624</v>
      </c>
      <c r="D33" s="60">
        <f t="shared" si="2"/>
        <v>3472976</v>
      </c>
      <c r="F33" s="68">
        <f>F28</f>
        <v>3166787</v>
      </c>
      <c r="G33" s="68"/>
      <c r="H33" s="68">
        <v>0</v>
      </c>
      <c r="I33" s="60">
        <f t="shared" si="3"/>
        <v>306189</v>
      </c>
      <c r="L33" s="68">
        <f>L28</f>
        <v>28</v>
      </c>
      <c r="M33" s="68"/>
      <c r="N33" s="60">
        <f t="shared" si="1"/>
        <v>306161</v>
      </c>
      <c r="O33" s="68">
        <f>O28</f>
        <v>95530</v>
      </c>
      <c r="P33" s="68">
        <f>P28</f>
        <v>210631</v>
      </c>
      <c r="Q33" s="68">
        <f>Q28</f>
        <v>0</v>
      </c>
    </row>
    <row r="34" spans="1:20" x14ac:dyDescent="0.2">
      <c r="B34" s="64" t="s">
        <v>625</v>
      </c>
    </row>
    <row r="35" spans="1:20" x14ac:dyDescent="0.2">
      <c r="A35" s="60">
        <v>7</v>
      </c>
      <c r="B35" s="48" t="s">
        <v>626</v>
      </c>
      <c r="C35" s="51" t="s">
        <v>627</v>
      </c>
      <c r="D35" s="60">
        <f>SUM(F35:I35)+K35</f>
        <v>3658952</v>
      </c>
      <c r="F35" s="68">
        <f>F28</f>
        <v>3166787</v>
      </c>
      <c r="G35" s="68"/>
      <c r="H35" s="68">
        <f>H28</f>
        <v>185976</v>
      </c>
      <c r="I35" s="60">
        <f>(L35+M35+N35)</f>
        <v>306189</v>
      </c>
      <c r="L35" s="68">
        <f>L28</f>
        <v>28</v>
      </c>
      <c r="M35" s="68"/>
      <c r="N35" s="60">
        <f>SUM(O35:Q35)</f>
        <v>306161</v>
      </c>
      <c r="O35" s="68">
        <f>O28</f>
        <v>95530</v>
      </c>
      <c r="P35" s="68">
        <f>P28</f>
        <v>210631</v>
      </c>
      <c r="Q35" s="68">
        <f>Q28</f>
        <v>0</v>
      </c>
    </row>
    <row r="36" spans="1:20" x14ac:dyDescent="0.2">
      <c r="A36" s="60">
        <v>8</v>
      </c>
      <c r="B36" s="48" t="s">
        <v>628</v>
      </c>
      <c r="C36" s="51" t="s">
        <v>629</v>
      </c>
      <c r="D36" s="60">
        <f>SUM(F36:I36)+K36</f>
        <v>185976</v>
      </c>
      <c r="F36" s="68">
        <v>0</v>
      </c>
      <c r="G36" s="68"/>
      <c r="H36" s="68">
        <f>H35</f>
        <v>185976</v>
      </c>
      <c r="I36" s="60">
        <f>(L36+M36+N36)</f>
        <v>0</v>
      </c>
      <c r="L36" s="68">
        <v>0</v>
      </c>
      <c r="M36" s="68"/>
      <c r="N36" s="60">
        <f>SUM(O36:Q36)</f>
        <v>0</v>
      </c>
      <c r="O36" s="68">
        <v>0</v>
      </c>
      <c r="P36" s="68">
        <v>0</v>
      </c>
      <c r="Q36" s="68">
        <v>0</v>
      </c>
    </row>
    <row r="37" spans="1:20" x14ac:dyDescent="0.2">
      <c r="A37" s="60">
        <v>9</v>
      </c>
      <c r="B37" s="70" t="s">
        <v>1374</v>
      </c>
      <c r="C37" s="56" t="s">
        <v>1375</v>
      </c>
      <c r="D37" s="60">
        <f>SUM(F37:I37)+K37</f>
        <v>3352791</v>
      </c>
      <c r="F37" s="68">
        <f>F28</f>
        <v>3166787</v>
      </c>
      <c r="G37" s="68"/>
      <c r="H37" s="68">
        <f>H28</f>
        <v>185976</v>
      </c>
      <c r="I37" s="60">
        <f>(L37+M37+N37)</f>
        <v>28</v>
      </c>
      <c r="L37" s="68">
        <f>L28</f>
        <v>28</v>
      </c>
      <c r="M37" s="68"/>
      <c r="N37" s="60">
        <f>SUM(O37:Q37)</f>
        <v>0</v>
      </c>
      <c r="O37" s="68">
        <v>0</v>
      </c>
      <c r="P37" s="68">
        <v>0</v>
      </c>
      <c r="Q37" s="68">
        <f t="shared" ref="O37:Q38" si="4">Q28</f>
        <v>0</v>
      </c>
    </row>
    <row r="38" spans="1:20" x14ac:dyDescent="0.2">
      <c r="A38" s="60">
        <v>10</v>
      </c>
      <c r="B38" s="48" t="s">
        <v>630</v>
      </c>
      <c r="C38" s="51" t="s">
        <v>631</v>
      </c>
      <c r="D38" s="60">
        <f>SUM(F38:I38)+K38</f>
        <v>492137</v>
      </c>
      <c r="F38" s="68">
        <v>0</v>
      </c>
      <c r="G38" s="68"/>
      <c r="H38" s="68">
        <f>H35</f>
        <v>185976</v>
      </c>
      <c r="I38" s="60">
        <f>(L38+M38+N38)</f>
        <v>306161</v>
      </c>
      <c r="L38" s="68">
        <v>0</v>
      </c>
      <c r="M38" s="68"/>
      <c r="N38" s="60">
        <f>SUM(O38:Q38)</f>
        <v>306161</v>
      </c>
      <c r="O38" s="68">
        <f t="shared" si="4"/>
        <v>95530</v>
      </c>
      <c r="P38" s="68">
        <f t="shared" si="4"/>
        <v>210631</v>
      </c>
      <c r="Q38" s="68">
        <f t="shared" si="4"/>
        <v>0</v>
      </c>
    </row>
    <row r="39" spans="1:20" x14ac:dyDescent="0.2">
      <c r="A39" s="60">
        <v>11</v>
      </c>
      <c r="B39" s="48" t="s">
        <v>632</v>
      </c>
      <c r="C39" s="51" t="s">
        <v>633</v>
      </c>
      <c r="D39" s="60">
        <f>SUM(F39:I39)+K39</f>
        <v>306161</v>
      </c>
      <c r="F39" s="68">
        <v>0</v>
      </c>
      <c r="G39" s="68"/>
      <c r="H39" s="68">
        <v>0</v>
      </c>
      <c r="I39" s="60">
        <f>(L39+M39+N39)</f>
        <v>306161</v>
      </c>
      <c r="L39" s="68">
        <v>0</v>
      </c>
      <c r="M39" s="68"/>
      <c r="N39" s="60">
        <f>SUM(O39:Q39)</f>
        <v>306161</v>
      </c>
      <c r="O39" s="68">
        <f>O28</f>
        <v>95530</v>
      </c>
      <c r="P39" s="68">
        <f>P28</f>
        <v>210631</v>
      </c>
      <c r="Q39" s="68">
        <f>Q28</f>
        <v>0</v>
      </c>
    </row>
    <row r="40" spans="1:20" x14ac:dyDescent="0.2">
      <c r="A40" s="60"/>
    </row>
    <row r="41" spans="1:20" x14ac:dyDescent="0.2">
      <c r="B41" s="64" t="s">
        <v>634</v>
      </c>
    </row>
    <row r="42" spans="1:20" x14ac:dyDescent="0.2">
      <c r="A42" s="57">
        <v>12</v>
      </c>
      <c r="B42" s="217" t="s">
        <v>1256</v>
      </c>
      <c r="C42" s="84" t="s">
        <v>1249</v>
      </c>
      <c r="D42" s="57">
        <f t="shared" ref="D42:D80" si="5">SUM(F42:I42)+K42</f>
        <v>5112550.1000000006</v>
      </c>
      <c r="E42" s="34"/>
      <c r="F42" s="292">
        <f>SUM(PIS!L11:L12)+PIS!L114-I42</f>
        <v>5103392.1000000006</v>
      </c>
      <c r="G42" s="50"/>
      <c r="H42" s="50">
        <v>0</v>
      </c>
      <c r="I42" s="57">
        <f t="shared" ref="I42:I79" si="6">(L42+M42+N42)</f>
        <v>9158</v>
      </c>
      <c r="J42" s="34"/>
      <c r="K42" s="34"/>
      <c r="L42" s="50">
        <v>0</v>
      </c>
      <c r="M42" s="50"/>
      <c r="N42" s="57">
        <f t="shared" ref="N42:N79" si="7">SUM(O42:Q42)</f>
        <v>9158</v>
      </c>
      <c r="O42" s="325">
        <v>9158</v>
      </c>
      <c r="P42" s="50">
        <v>0</v>
      </c>
      <c r="Q42" s="50">
        <v>0</v>
      </c>
      <c r="R42" s="34"/>
      <c r="S42" s="34"/>
      <c r="T42" s="100"/>
    </row>
    <row r="43" spans="1:20" x14ac:dyDescent="0.2">
      <c r="A43" s="57">
        <v>13</v>
      </c>
      <c r="B43" s="217" t="s">
        <v>1257</v>
      </c>
      <c r="C43" s="84" t="s">
        <v>1250</v>
      </c>
      <c r="D43" s="57">
        <f>SUM(F43:I43)+K43</f>
        <v>7214274.7599999998</v>
      </c>
      <c r="E43" s="34"/>
      <c r="F43" s="292">
        <f>PIS!L13+PIS!L115-I43</f>
        <v>6940988.7599999998</v>
      </c>
      <c r="G43" s="50"/>
      <c r="H43" s="50">
        <v>0</v>
      </c>
      <c r="I43" s="57">
        <f>(L43+M43+N43)</f>
        <v>273286</v>
      </c>
      <c r="J43" s="34"/>
      <c r="K43" s="34"/>
      <c r="L43" s="50">
        <v>0</v>
      </c>
      <c r="M43" s="50"/>
      <c r="N43" s="57">
        <f>SUM(O43:Q43)</f>
        <v>273286</v>
      </c>
      <c r="O43" s="325">
        <v>273286</v>
      </c>
      <c r="P43" s="50">
        <v>0</v>
      </c>
      <c r="Q43" s="50">
        <v>0</v>
      </c>
      <c r="R43" s="34"/>
      <c r="S43" s="34"/>
      <c r="T43" s="100"/>
    </row>
    <row r="44" spans="1:20" x14ac:dyDescent="0.2">
      <c r="A44" s="57">
        <v>14</v>
      </c>
      <c r="B44" s="217" t="s">
        <v>1258</v>
      </c>
      <c r="C44" s="84" t="s">
        <v>1251</v>
      </c>
      <c r="D44" s="57">
        <f>SUM(F44:I44)+K44</f>
        <v>137609925.59999999</v>
      </c>
      <c r="E44" s="34"/>
      <c r="F44" s="292">
        <f>PIS!L14+PIS!L116-I44</f>
        <v>134408399.59999999</v>
      </c>
      <c r="G44" s="50"/>
      <c r="H44" s="50">
        <v>0</v>
      </c>
      <c r="I44" s="57">
        <f>(L44+M44+N44)</f>
        <v>3201526</v>
      </c>
      <c r="J44" s="34"/>
      <c r="K44" s="34"/>
      <c r="L44" s="50">
        <v>0</v>
      </c>
      <c r="M44" s="50"/>
      <c r="N44" s="57">
        <f>SUM(O44:Q44)</f>
        <v>3201526</v>
      </c>
      <c r="O44" s="325">
        <v>3201526</v>
      </c>
      <c r="P44" s="50">
        <v>0</v>
      </c>
      <c r="Q44" s="50">
        <v>0</v>
      </c>
      <c r="R44" s="34"/>
      <c r="S44" s="34"/>
      <c r="T44" s="100"/>
    </row>
    <row r="45" spans="1:20" x14ac:dyDescent="0.2">
      <c r="A45" s="57">
        <v>15</v>
      </c>
      <c r="B45" s="217" t="s">
        <v>1259</v>
      </c>
      <c r="C45" s="84" t="s">
        <v>1252</v>
      </c>
      <c r="D45" s="57">
        <f t="shared" si="5"/>
        <v>273798351.31999999</v>
      </c>
      <c r="E45" s="34"/>
      <c r="F45" s="292">
        <f>PIS!L15+PIS!L117</f>
        <v>273798351.31999999</v>
      </c>
      <c r="G45" s="50"/>
      <c r="H45" s="50">
        <v>0</v>
      </c>
      <c r="I45" s="57">
        <f t="shared" si="6"/>
        <v>0</v>
      </c>
      <c r="J45" s="34"/>
      <c r="K45" s="34"/>
      <c r="L45" s="50">
        <v>0</v>
      </c>
      <c r="M45" s="50"/>
      <c r="N45" s="57">
        <f t="shared" si="7"/>
        <v>0</v>
      </c>
      <c r="O45" s="50">
        <v>0</v>
      </c>
      <c r="P45" s="50">
        <v>0</v>
      </c>
      <c r="Q45" s="50">
        <v>0</v>
      </c>
      <c r="R45" s="34"/>
      <c r="S45" s="34"/>
      <c r="T45" s="34"/>
    </row>
    <row r="46" spans="1:20" x14ac:dyDescent="0.2">
      <c r="A46" s="57">
        <v>16</v>
      </c>
      <c r="B46" s="217" t="s">
        <v>1260</v>
      </c>
      <c r="C46" s="84" t="s">
        <v>1253</v>
      </c>
      <c r="D46" s="57">
        <f>SUM(F46:I46)+K46</f>
        <v>263336953.54999995</v>
      </c>
      <c r="E46" s="34"/>
      <c r="F46" s="292">
        <f>PIS!L16+PIS!L118</f>
        <v>263336953.54999995</v>
      </c>
      <c r="G46" s="50"/>
      <c r="H46" s="50">
        <v>0</v>
      </c>
      <c r="I46" s="57">
        <f>(L46+M46+N46)</f>
        <v>0</v>
      </c>
      <c r="J46" s="34"/>
      <c r="K46" s="34"/>
      <c r="L46" s="50">
        <v>0</v>
      </c>
      <c r="M46" s="50"/>
      <c r="N46" s="57">
        <f>SUM(O46:Q46)</f>
        <v>0</v>
      </c>
      <c r="O46" s="50">
        <v>0</v>
      </c>
      <c r="P46" s="50">
        <v>0</v>
      </c>
      <c r="Q46" s="50">
        <v>0</v>
      </c>
      <c r="R46" s="34"/>
      <c r="S46" s="34"/>
      <c r="T46" s="34"/>
    </row>
    <row r="47" spans="1:20" x14ac:dyDescent="0.2">
      <c r="A47" s="57">
        <v>17</v>
      </c>
      <c r="B47" s="217" t="s">
        <v>0</v>
      </c>
      <c r="C47" s="84" t="s">
        <v>1254</v>
      </c>
      <c r="D47" s="57">
        <f t="shared" si="5"/>
        <v>1831865.0699999998</v>
      </c>
      <c r="E47" s="34"/>
      <c r="F47" s="292">
        <f>PIS!L17+PIS!L119</f>
        <v>1831865.0699999998</v>
      </c>
      <c r="G47" s="50"/>
      <c r="H47" s="50">
        <v>0</v>
      </c>
      <c r="I47" s="57">
        <f t="shared" si="6"/>
        <v>0</v>
      </c>
      <c r="J47" s="34"/>
      <c r="K47" s="34"/>
      <c r="L47" s="50">
        <v>0</v>
      </c>
      <c r="M47" s="50"/>
      <c r="N47" s="57">
        <f t="shared" si="7"/>
        <v>0</v>
      </c>
      <c r="O47" s="50">
        <v>0</v>
      </c>
      <c r="P47" s="50">
        <v>0</v>
      </c>
      <c r="Q47" s="50">
        <v>0</v>
      </c>
      <c r="R47" s="34"/>
      <c r="S47" s="34"/>
      <c r="T47" s="34"/>
    </row>
    <row r="48" spans="1:20" x14ac:dyDescent="0.2">
      <c r="A48" s="57">
        <v>18</v>
      </c>
      <c r="B48" s="217" t="s">
        <v>1</v>
      </c>
      <c r="C48" s="84" t="s">
        <v>1255</v>
      </c>
      <c r="D48" s="57">
        <f>SUM(F48:I48)+K48</f>
        <v>139509219.16</v>
      </c>
      <c r="E48" s="34"/>
      <c r="F48" s="292">
        <f>PIS!L18+PIS!L120</f>
        <v>139509219.16</v>
      </c>
      <c r="G48" s="50"/>
      <c r="H48" s="50">
        <v>0</v>
      </c>
      <c r="I48" s="57">
        <f>(L48+M48+N48)</f>
        <v>0</v>
      </c>
      <c r="J48" s="34"/>
      <c r="K48" s="34"/>
      <c r="L48" s="50">
        <v>0</v>
      </c>
      <c r="M48" s="50"/>
      <c r="N48" s="57">
        <f>SUM(O48:Q48)</f>
        <v>0</v>
      </c>
      <c r="O48" s="50">
        <v>0</v>
      </c>
      <c r="P48" s="50">
        <v>0</v>
      </c>
      <c r="Q48" s="50">
        <v>0</v>
      </c>
      <c r="R48" s="34"/>
      <c r="S48" s="34"/>
      <c r="T48" s="34"/>
    </row>
    <row r="49" spans="1:20" x14ac:dyDescent="0.2">
      <c r="A49" s="57">
        <v>19</v>
      </c>
      <c r="B49" s="217" t="s">
        <v>2</v>
      </c>
      <c r="C49" s="84" t="s">
        <v>635</v>
      </c>
      <c r="D49" s="57">
        <f t="shared" si="5"/>
        <v>273917337.10000002</v>
      </c>
      <c r="E49" s="34"/>
      <c r="F49" s="292">
        <f>PIS!L19+PIS!L121</f>
        <v>273917337.10000002</v>
      </c>
      <c r="G49" s="50"/>
      <c r="H49" s="50">
        <v>0</v>
      </c>
      <c r="I49" s="57">
        <f t="shared" si="6"/>
        <v>0</v>
      </c>
      <c r="J49" s="34"/>
      <c r="K49" s="34"/>
      <c r="L49" s="50">
        <v>0</v>
      </c>
      <c r="M49" s="50"/>
      <c r="N49" s="57">
        <f t="shared" si="7"/>
        <v>0</v>
      </c>
      <c r="O49" s="50">
        <v>0</v>
      </c>
      <c r="P49" s="50">
        <v>0</v>
      </c>
      <c r="Q49" s="50">
        <v>0</v>
      </c>
      <c r="R49" s="34"/>
      <c r="S49" s="34"/>
      <c r="T49" s="34"/>
    </row>
    <row r="50" spans="1:20" x14ac:dyDescent="0.2">
      <c r="A50" s="57">
        <v>20</v>
      </c>
      <c r="B50" s="217" t="s">
        <v>5</v>
      </c>
      <c r="C50" s="84" t="s">
        <v>4</v>
      </c>
      <c r="D50" s="57">
        <f>SUM(F50:I50)+K50</f>
        <v>287375.78999999998</v>
      </c>
      <c r="E50" s="34"/>
      <c r="F50" s="292">
        <f>PIS!L24</f>
        <v>287375.78999999998</v>
      </c>
      <c r="G50" s="50"/>
      <c r="H50" s="50">
        <v>0</v>
      </c>
      <c r="I50" s="57">
        <f>(L50+M50+N50)</f>
        <v>0</v>
      </c>
      <c r="J50" s="34"/>
      <c r="K50" s="34"/>
      <c r="L50" s="50">
        <v>0</v>
      </c>
      <c r="M50" s="50"/>
      <c r="N50" s="57">
        <f>SUM(O50:Q50)</f>
        <v>0</v>
      </c>
      <c r="O50" s="50">
        <v>0</v>
      </c>
      <c r="P50" s="50">
        <v>0</v>
      </c>
      <c r="Q50" s="50">
        <v>0</v>
      </c>
      <c r="R50" s="34"/>
      <c r="S50" s="34"/>
      <c r="T50" s="34"/>
    </row>
    <row r="51" spans="1:20" x14ac:dyDescent="0.2">
      <c r="A51" s="57">
        <v>21</v>
      </c>
      <c r="B51" s="217" t="s">
        <v>12</v>
      </c>
      <c r="C51" s="84" t="s">
        <v>18</v>
      </c>
      <c r="D51" s="57">
        <f t="shared" si="5"/>
        <v>193250.44</v>
      </c>
      <c r="E51" s="34"/>
      <c r="F51" s="50">
        <v>0</v>
      </c>
      <c r="G51" s="50"/>
      <c r="H51" s="292">
        <f>SUM(PIS!L193:L194)</f>
        <v>193250.44</v>
      </c>
      <c r="I51" s="57">
        <f t="shared" si="6"/>
        <v>0</v>
      </c>
      <c r="J51" s="34"/>
      <c r="K51" s="34"/>
      <c r="L51" s="50">
        <v>0</v>
      </c>
      <c r="M51" s="50"/>
      <c r="N51" s="57">
        <f t="shared" si="7"/>
        <v>0</v>
      </c>
      <c r="O51" s="50">
        <v>0</v>
      </c>
      <c r="P51" s="50">
        <v>0</v>
      </c>
      <c r="Q51" s="50">
        <v>0</v>
      </c>
      <c r="R51" s="34"/>
      <c r="S51" s="34"/>
      <c r="T51" s="34"/>
    </row>
    <row r="52" spans="1:20" x14ac:dyDescent="0.2">
      <c r="A52" s="57">
        <v>22</v>
      </c>
      <c r="B52" s="217" t="s">
        <v>10</v>
      </c>
      <c r="C52" s="84" t="s">
        <v>19</v>
      </c>
      <c r="D52" s="57">
        <f>SUM(F52:I52)+K52</f>
        <v>448173.6</v>
      </c>
      <c r="E52" s="34"/>
      <c r="F52" s="50">
        <v>0</v>
      </c>
      <c r="G52" s="50"/>
      <c r="H52" s="292">
        <f>PIS!L195+PIS!L245</f>
        <v>448173.6</v>
      </c>
      <c r="I52" s="57">
        <f>(L52+M52+N52)</f>
        <v>0</v>
      </c>
      <c r="J52" s="34"/>
      <c r="K52" s="34"/>
      <c r="L52" s="50">
        <v>0</v>
      </c>
      <c r="M52" s="50"/>
      <c r="N52" s="57">
        <f>SUM(O52:Q52)</f>
        <v>0</v>
      </c>
      <c r="O52" s="50">
        <v>0</v>
      </c>
      <c r="P52" s="50">
        <v>0</v>
      </c>
      <c r="Q52" s="50">
        <v>0</v>
      </c>
      <c r="R52" s="34"/>
      <c r="S52" s="34"/>
      <c r="T52" s="34"/>
    </row>
    <row r="53" spans="1:20" x14ac:dyDescent="0.2">
      <c r="A53" s="57">
        <v>23</v>
      </c>
      <c r="B53" s="217" t="s">
        <v>11</v>
      </c>
      <c r="C53" s="84" t="s">
        <v>20</v>
      </c>
      <c r="D53" s="57">
        <f>SUM(F53:I53)+K53</f>
        <v>7696928.2699999996</v>
      </c>
      <c r="E53" s="34"/>
      <c r="F53" s="50">
        <v>0</v>
      </c>
      <c r="G53" s="50"/>
      <c r="H53" s="292">
        <f>PIS!L196+PIS!L246</f>
        <v>7696928.2699999996</v>
      </c>
      <c r="I53" s="57">
        <f>(L53+M53+N53)</f>
        <v>0</v>
      </c>
      <c r="J53" s="34"/>
      <c r="K53" s="34"/>
      <c r="L53" s="50">
        <v>0</v>
      </c>
      <c r="M53" s="50"/>
      <c r="N53" s="57">
        <f>SUM(O53:Q53)</f>
        <v>0</v>
      </c>
      <c r="O53" s="50">
        <v>0</v>
      </c>
      <c r="P53" s="50">
        <v>0</v>
      </c>
      <c r="Q53" s="50">
        <v>0</v>
      </c>
      <c r="R53" s="34"/>
      <c r="S53" s="34"/>
      <c r="T53" s="34"/>
    </row>
    <row r="54" spans="1:20" x14ac:dyDescent="0.2">
      <c r="A54" s="57">
        <v>24</v>
      </c>
      <c r="B54" s="217" t="s">
        <v>17</v>
      </c>
      <c r="C54" s="55" t="s">
        <v>637</v>
      </c>
      <c r="D54" s="57">
        <f t="shared" si="5"/>
        <v>0</v>
      </c>
      <c r="E54" s="34"/>
      <c r="F54" s="50">
        <v>0</v>
      </c>
      <c r="G54" s="50"/>
      <c r="H54" s="50">
        <v>0</v>
      </c>
      <c r="I54" s="57">
        <f t="shared" si="6"/>
        <v>0</v>
      </c>
      <c r="J54" s="34"/>
      <c r="K54" s="34"/>
      <c r="L54" s="50">
        <v>0</v>
      </c>
      <c r="M54" s="50"/>
      <c r="N54" s="57">
        <f t="shared" si="7"/>
        <v>0</v>
      </c>
      <c r="O54" s="50">
        <v>0</v>
      </c>
      <c r="P54" s="50">
        <v>0</v>
      </c>
      <c r="Q54" s="50">
        <v>0</v>
      </c>
      <c r="R54" s="34"/>
      <c r="S54" s="34"/>
      <c r="T54" s="34"/>
    </row>
    <row r="55" spans="1:20" x14ac:dyDescent="0.2">
      <c r="A55" s="57">
        <v>25</v>
      </c>
      <c r="B55" s="217" t="s">
        <v>13</v>
      </c>
      <c r="C55" s="84" t="s">
        <v>21</v>
      </c>
      <c r="D55" s="57">
        <f t="shared" si="5"/>
        <v>23371898.899999999</v>
      </c>
      <c r="E55" s="34"/>
      <c r="F55" s="50">
        <v>0</v>
      </c>
      <c r="G55" s="50"/>
      <c r="H55" s="292">
        <f>PIS!L197+PIS!L247</f>
        <v>23371898.899999999</v>
      </c>
      <c r="I55" s="57">
        <f t="shared" si="6"/>
        <v>0</v>
      </c>
      <c r="J55" s="34"/>
      <c r="K55" s="34"/>
      <c r="L55" s="50">
        <v>0</v>
      </c>
      <c r="M55" s="50"/>
      <c r="N55" s="57">
        <f t="shared" si="7"/>
        <v>0</v>
      </c>
      <c r="O55" s="50">
        <v>0</v>
      </c>
      <c r="P55" s="50">
        <v>0</v>
      </c>
      <c r="Q55" s="50">
        <v>0</v>
      </c>
      <c r="R55" s="34"/>
      <c r="S55" s="34"/>
      <c r="T55" s="34"/>
    </row>
    <row r="56" spans="1:20" x14ac:dyDescent="0.2">
      <c r="A56" s="57">
        <v>26</v>
      </c>
      <c r="B56" s="217" t="s">
        <v>14</v>
      </c>
      <c r="C56" s="84" t="s">
        <v>22</v>
      </c>
      <c r="D56" s="57">
        <f>SUM(F56:I56)+K56</f>
        <v>20121982.84</v>
      </c>
      <c r="E56" s="34"/>
      <c r="F56" s="50">
        <v>0</v>
      </c>
      <c r="G56" s="50"/>
      <c r="H56" s="292">
        <f>PIS!L198+PIS!L248</f>
        <v>20121982.84</v>
      </c>
      <c r="I56" s="57">
        <f>(L56+M56+N56)</f>
        <v>0</v>
      </c>
      <c r="J56" s="34"/>
      <c r="K56" s="34"/>
      <c r="L56" s="50">
        <v>0</v>
      </c>
      <c r="M56" s="50"/>
      <c r="N56" s="57">
        <f>SUM(O56:Q56)</f>
        <v>0</v>
      </c>
      <c r="O56" s="50">
        <v>0</v>
      </c>
      <c r="P56" s="50">
        <v>0</v>
      </c>
      <c r="Q56" s="50">
        <v>0</v>
      </c>
      <c r="R56" s="34"/>
      <c r="S56" s="34"/>
      <c r="T56" s="34"/>
    </row>
    <row r="57" spans="1:20" x14ac:dyDescent="0.2">
      <c r="A57" s="57">
        <v>27</v>
      </c>
      <c r="B57" s="217" t="s">
        <v>15</v>
      </c>
      <c r="C57" s="84" t="s">
        <v>23</v>
      </c>
      <c r="D57" s="57">
        <f t="shared" si="5"/>
        <v>2763963.85</v>
      </c>
      <c r="E57" s="34"/>
      <c r="F57" s="50">
        <v>0</v>
      </c>
      <c r="G57" s="50"/>
      <c r="H57" s="292">
        <f>PIS!L200+SUM(PIS!L249:L250)</f>
        <v>2763963.85</v>
      </c>
      <c r="I57" s="57">
        <f t="shared" si="6"/>
        <v>0</v>
      </c>
      <c r="J57" s="34"/>
      <c r="K57" s="34"/>
      <c r="L57" s="50">
        <v>0</v>
      </c>
      <c r="M57" s="50"/>
      <c r="N57" s="57">
        <f t="shared" si="7"/>
        <v>0</v>
      </c>
      <c r="O57" s="50">
        <v>0</v>
      </c>
      <c r="P57" s="50">
        <v>0</v>
      </c>
      <c r="Q57" s="50">
        <v>0</v>
      </c>
      <c r="R57" s="34"/>
      <c r="S57" s="34"/>
      <c r="T57" s="34"/>
    </row>
    <row r="58" spans="1:20" x14ac:dyDescent="0.2">
      <c r="A58" s="57">
        <v>28</v>
      </c>
      <c r="B58" s="217" t="s">
        <v>16</v>
      </c>
      <c r="C58" s="55" t="s">
        <v>646</v>
      </c>
      <c r="D58" s="57">
        <f t="shared" si="5"/>
        <v>14023456.059999999</v>
      </c>
      <c r="E58" s="34"/>
      <c r="F58" s="50">
        <v>0</v>
      </c>
      <c r="G58" s="50"/>
      <c r="H58" s="292">
        <f>PIS!L201+PIS!L251</f>
        <v>14023456.059999999</v>
      </c>
      <c r="I58" s="57">
        <f t="shared" si="6"/>
        <v>0</v>
      </c>
      <c r="J58" s="34"/>
      <c r="K58" s="34"/>
      <c r="L58" s="50">
        <v>0</v>
      </c>
      <c r="M58" s="50"/>
      <c r="N58" s="57">
        <f t="shared" si="7"/>
        <v>0</v>
      </c>
      <c r="O58" s="50">
        <v>0</v>
      </c>
      <c r="P58" s="50">
        <v>0</v>
      </c>
      <c r="Q58" s="50">
        <v>0</v>
      </c>
      <c r="R58" s="34"/>
      <c r="S58" s="34"/>
      <c r="T58" s="34"/>
    </row>
    <row r="59" spans="1:20" x14ac:dyDescent="0.2">
      <c r="A59" s="57">
        <v>29</v>
      </c>
      <c r="B59" s="217" t="s">
        <v>35</v>
      </c>
      <c r="C59" s="84" t="s">
        <v>26</v>
      </c>
      <c r="D59" s="57">
        <f t="shared" si="5"/>
        <v>5040.2299999999996</v>
      </c>
      <c r="E59" s="34"/>
      <c r="F59" s="50">
        <v>0</v>
      </c>
      <c r="G59" s="50"/>
      <c r="H59" s="50">
        <v>0</v>
      </c>
      <c r="I59" s="57">
        <f t="shared" si="6"/>
        <v>5040.2299999999996</v>
      </c>
      <c r="J59" s="34"/>
      <c r="K59" s="34"/>
      <c r="L59" s="292">
        <f>PIS!L284+PIS!L285</f>
        <v>5040.2299999999996</v>
      </c>
      <c r="M59" s="50"/>
      <c r="N59" s="57">
        <f t="shared" si="7"/>
        <v>0</v>
      </c>
      <c r="O59" s="50">
        <v>0</v>
      </c>
      <c r="P59" s="50">
        <v>0</v>
      </c>
      <c r="Q59" s="50">
        <v>0</v>
      </c>
      <c r="R59" s="34"/>
      <c r="S59" s="34"/>
      <c r="T59" s="34"/>
    </row>
    <row r="60" spans="1:20" x14ac:dyDescent="0.2">
      <c r="A60" s="57">
        <v>30</v>
      </c>
      <c r="B60" s="217" t="s">
        <v>36</v>
      </c>
      <c r="C60" s="84" t="s">
        <v>27</v>
      </c>
      <c r="D60" s="57">
        <f t="shared" ref="D60:D67" si="8">SUM(F60:I60)+K60</f>
        <v>2621.29</v>
      </c>
      <c r="E60" s="34"/>
      <c r="F60" s="50">
        <v>0</v>
      </c>
      <c r="G60" s="50"/>
      <c r="H60" s="50">
        <v>0</v>
      </c>
      <c r="I60" s="57">
        <f t="shared" ref="I60:I67" si="9">(L60+M60+N60)</f>
        <v>2621.29</v>
      </c>
      <c r="J60" s="34"/>
      <c r="K60" s="34"/>
      <c r="L60" s="292">
        <f>PIS!L286</f>
        <v>2621.29</v>
      </c>
      <c r="M60" s="50"/>
      <c r="N60" s="57">
        <f t="shared" ref="N60:N67" si="10">SUM(O60:Q60)</f>
        <v>0</v>
      </c>
      <c r="O60" s="50">
        <v>0</v>
      </c>
      <c r="P60" s="50">
        <v>0</v>
      </c>
      <c r="Q60" s="50">
        <v>0</v>
      </c>
      <c r="R60" s="34"/>
      <c r="S60" s="34"/>
      <c r="T60" s="34"/>
    </row>
    <row r="61" spans="1:20" x14ac:dyDescent="0.2">
      <c r="A61" s="57">
        <v>31</v>
      </c>
      <c r="B61" s="217" t="s">
        <v>37</v>
      </c>
      <c r="C61" s="84" t="s">
        <v>28</v>
      </c>
      <c r="D61" s="57">
        <f t="shared" si="8"/>
        <v>56019.76</v>
      </c>
      <c r="E61" s="34"/>
      <c r="F61" s="50">
        <v>0</v>
      </c>
      <c r="G61" s="50"/>
      <c r="H61" s="50">
        <v>0</v>
      </c>
      <c r="I61" s="57">
        <f t="shared" si="9"/>
        <v>56019.76</v>
      </c>
      <c r="J61" s="34"/>
      <c r="K61" s="34"/>
      <c r="L61" s="292">
        <f>PIS!L287</f>
        <v>56019.76</v>
      </c>
      <c r="M61" s="50"/>
      <c r="N61" s="57">
        <f t="shared" si="10"/>
        <v>0</v>
      </c>
      <c r="O61" s="50">
        <v>0</v>
      </c>
      <c r="P61" s="50">
        <v>0</v>
      </c>
      <c r="Q61" s="50">
        <v>0</v>
      </c>
      <c r="R61" s="34"/>
      <c r="S61" s="34"/>
      <c r="T61" s="34"/>
    </row>
    <row r="62" spans="1:20" x14ac:dyDescent="0.2">
      <c r="A62" s="57">
        <v>32</v>
      </c>
      <c r="B62" s="217" t="s">
        <v>38</v>
      </c>
      <c r="C62" s="84" t="s">
        <v>29</v>
      </c>
      <c r="D62" s="57">
        <f t="shared" si="8"/>
        <v>48114.2</v>
      </c>
      <c r="E62" s="34"/>
      <c r="F62" s="50">
        <v>0</v>
      </c>
      <c r="G62" s="50"/>
      <c r="H62" s="50">
        <v>0</v>
      </c>
      <c r="I62" s="57">
        <f t="shared" si="9"/>
        <v>48114.2</v>
      </c>
      <c r="J62" s="34"/>
      <c r="K62" s="34"/>
      <c r="L62" s="292">
        <f>PIS!L288</f>
        <v>48114.2</v>
      </c>
      <c r="M62" s="50"/>
      <c r="N62" s="57">
        <f t="shared" si="10"/>
        <v>0</v>
      </c>
      <c r="O62" s="50">
        <v>0</v>
      </c>
      <c r="P62" s="50">
        <v>0</v>
      </c>
      <c r="Q62" s="50">
        <v>0</v>
      </c>
      <c r="R62" s="34"/>
      <c r="S62" s="34"/>
      <c r="T62" s="34"/>
    </row>
    <row r="63" spans="1:20" x14ac:dyDescent="0.2">
      <c r="A63" s="57">
        <v>33</v>
      </c>
      <c r="B63" s="217" t="s">
        <v>39</v>
      </c>
      <c r="C63" s="84" t="s">
        <v>30</v>
      </c>
      <c r="D63" s="57">
        <f t="shared" si="8"/>
        <v>46763.22</v>
      </c>
      <c r="E63" s="34"/>
      <c r="F63" s="50">
        <v>0</v>
      </c>
      <c r="G63" s="50"/>
      <c r="H63" s="50">
        <v>0</v>
      </c>
      <c r="I63" s="57">
        <f t="shared" si="9"/>
        <v>46763.22</v>
      </c>
      <c r="J63" s="34"/>
      <c r="K63" s="34"/>
      <c r="L63" s="292">
        <f>PIS!L289</f>
        <v>46763.22</v>
      </c>
      <c r="M63" s="50"/>
      <c r="N63" s="57">
        <f t="shared" si="10"/>
        <v>0</v>
      </c>
      <c r="O63" s="50">
        <v>0</v>
      </c>
      <c r="P63" s="50">
        <v>0</v>
      </c>
      <c r="Q63" s="50">
        <v>0</v>
      </c>
      <c r="R63" s="34"/>
      <c r="S63" s="34"/>
      <c r="T63" s="34"/>
    </row>
    <row r="64" spans="1:20" x14ac:dyDescent="0.2">
      <c r="A64" s="57">
        <v>34</v>
      </c>
      <c r="B64" s="217" t="s">
        <v>40</v>
      </c>
      <c r="C64" s="84" t="s">
        <v>31</v>
      </c>
      <c r="D64" s="57">
        <f t="shared" si="8"/>
        <v>3118.28</v>
      </c>
      <c r="E64" s="34"/>
      <c r="F64" s="50">
        <v>0</v>
      </c>
      <c r="G64" s="50"/>
      <c r="H64" s="50">
        <v>0</v>
      </c>
      <c r="I64" s="57">
        <f t="shared" si="9"/>
        <v>3118.28</v>
      </c>
      <c r="J64" s="34"/>
      <c r="K64" s="34"/>
      <c r="L64" s="292">
        <f>PIS!L292</f>
        <v>3118.28</v>
      </c>
      <c r="M64" s="50"/>
      <c r="N64" s="57">
        <f t="shared" si="10"/>
        <v>0</v>
      </c>
      <c r="O64" s="50">
        <v>0</v>
      </c>
      <c r="P64" s="50">
        <v>0</v>
      </c>
      <c r="Q64" s="50">
        <v>0</v>
      </c>
      <c r="R64" s="34"/>
      <c r="S64" s="34"/>
      <c r="T64" s="34"/>
    </row>
    <row r="65" spans="1:20" x14ac:dyDescent="0.2">
      <c r="A65" s="57">
        <v>35</v>
      </c>
      <c r="B65" s="217" t="s">
        <v>41</v>
      </c>
      <c r="C65" s="84" t="s">
        <v>34</v>
      </c>
      <c r="D65" s="57">
        <f t="shared" si="8"/>
        <v>254.62</v>
      </c>
      <c r="E65" s="34"/>
      <c r="F65" s="50">
        <v>0</v>
      </c>
      <c r="G65" s="50"/>
      <c r="H65" s="50">
        <v>0</v>
      </c>
      <c r="I65" s="57">
        <f t="shared" si="9"/>
        <v>254.62</v>
      </c>
      <c r="J65" s="34"/>
      <c r="K65" s="34"/>
      <c r="L65" s="292">
        <f>PIS!L293</f>
        <v>254.62</v>
      </c>
      <c r="M65" s="50"/>
      <c r="N65" s="57">
        <f t="shared" si="10"/>
        <v>0</v>
      </c>
      <c r="O65" s="50">
        <v>0</v>
      </c>
      <c r="P65" s="50">
        <v>0</v>
      </c>
      <c r="Q65" s="50">
        <v>0</v>
      </c>
      <c r="R65" s="34"/>
      <c r="S65" s="34"/>
      <c r="T65" s="34"/>
    </row>
    <row r="66" spans="1:20" x14ac:dyDescent="0.2">
      <c r="A66" s="57">
        <v>36</v>
      </c>
      <c r="B66" s="217" t="s">
        <v>42</v>
      </c>
      <c r="C66" s="84" t="s">
        <v>33</v>
      </c>
      <c r="D66" s="57">
        <f t="shared" si="8"/>
        <v>111.07999999999993</v>
      </c>
      <c r="E66" s="34"/>
      <c r="F66" s="50">
        <v>0</v>
      </c>
      <c r="G66" s="50"/>
      <c r="H66" s="50">
        <v>0</v>
      </c>
      <c r="I66" s="57">
        <f t="shared" si="9"/>
        <v>111.07999999999993</v>
      </c>
      <c r="J66" s="34"/>
      <c r="K66" s="34"/>
      <c r="L66" s="292">
        <f>PIS!L294</f>
        <v>111.07999999999993</v>
      </c>
      <c r="M66" s="50"/>
      <c r="N66" s="57">
        <f t="shared" si="10"/>
        <v>0</v>
      </c>
      <c r="O66" s="50">
        <v>0</v>
      </c>
      <c r="P66" s="50">
        <v>0</v>
      </c>
      <c r="Q66" s="50">
        <v>0</v>
      </c>
      <c r="R66" s="34"/>
      <c r="S66" s="34"/>
      <c r="T66" s="34"/>
    </row>
    <row r="67" spans="1:20" x14ac:dyDescent="0.2">
      <c r="A67" s="57">
        <v>37</v>
      </c>
      <c r="B67" s="217" t="s">
        <v>43</v>
      </c>
      <c r="C67" s="84" t="s">
        <v>32</v>
      </c>
      <c r="D67" s="57">
        <f t="shared" si="8"/>
        <v>0</v>
      </c>
      <c r="E67" s="34"/>
      <c r="F67" s="50">
        <v>0</v>
      </c>
      <c r="G67" s="50"/>
      <c r="H67" s="50">
        <v>0</v>
      </c>
      <c r="I67" s="57">
        <f t="shared" si="9"/>
        <v>0</v>
      </c>
      <c r="J67" s="34"/>
      <c r="K67" s="34"/>
      <c r="L67" s="292">
        <f>PIS!L295</f>
        <v>0</v>
      </c>
      <c r="M67" s="50"/>
      <c r="N67" s="57">
        <f t="shared" si="10"/>
        <v>0</v>
      </c>
      <c r="O67" s="50">
        <v>0</v>
      </c>
      <c r="P67" s="50">
        <v>0</v>
      </c>
      <c r="Q67" s="50">
        <v>0</v>
      </c>
      <c r="R67" s="34"/>
      <c r="S67" s="34"/>
      <c r="T67" s="34"/>
    </row>
    <row r="68" spans="1:20" x14ac:dyDescent="0.2">
      <c r="A68" s="57">
        <v>38</v>
      </c>
      <c r="B68" s="49" t="s">
        <v>671</v>
      </c>
      <c r="C68" s="55" t="s">
        <v>672</v>
      </c>
      <c r="D68" s="57">
        <f t="shared" si="5"/>
        <v>37401886.039999999</v>
      </c>
      <c r="E68" s="34"/>
      <c r="F68" s="50">
        <v>0</v>
      </c>
      <c r="G68" s="50"/>
      <c r="H68" s="292">
        <f>'RWIP Allocation'!B74+'RWIP Allocation'!B75</f>
        <v>37260617.079999998</v>
      </c>
      <c r="I68" s="57">
        <f t="shared" si="6"/>
        <v>141268.96</v>
      </c>
      <c r="J68" s="34"/>
      <c r="K68" s="34"/>
      <c r="L68" s="292">
        <f>'RWIP Allocation'!B76</f>
        <v>141268.96</v>
      </c>
      <c r="M68" s="50"/>
      <c r="N68" s="57">
        <f t="shared" si="7"/>
        <v>0</v>
      </c>
      <c r="O68" s="50">
        <v>0</v>
      </c>
      <c r="P68" s="50">
        <v>0</v>
      </c>
      <c r="Q68" s="50">
        <v>0</v>
      </c>
      <c r="R68" s="34"/>
      <c r="S68" s="34"/>
      <c r="T68" s="34"/>
    </row>
    <row r="69" spans="1:20" x14ac:dyDescent="0.2">
      <c r="A69" s="57">
        <v>39</v>
      </c>
      <c r="B69" s="49" t="s">
        <v>673</v>
      </c>
      <c r="C69" s="55" t="s">
        <v>674</v>
      </c>
      <c r="D69" s="57">
        <f t="shared" si="5"/>
        <v>1166386.3899999994</v>
      </c>
      <c r="E69" s="34"/>
      <c r="F69" s="50">
        <v>0</v>
      </c>
      <c r="G69" s="50"/>
      <c r="H69" s="292">
        <f>'CWIP and AFUDC'!K20</f>
        <v>1166386.3899999994</v>
      </c>
      <c r="I69" s="57">
        <f t="shared" si="6"/>
        <v>0</v>
      </c>
      <c r="J69" s="34"/>
      <c r="K69" s="34"/>
      <c r="L69" s="50">
        <v>0</v>
      </c>
      <c r="M69" s="50"/>
      <c r="N69" s="57">
        <f t="shared" si="7"/>
        <v>0</v>
      </c>
      <c r="O69" s="50">
        <v>0</v>
      </c>
      <c r="P69" s="50">
        <v>0</v>
      </c>
      <c r="Q69" s="50">
        <v>0</v>
      </c>
      <c r="R69" s="34"/>
      <c r="S69" s="34"/>
      <c r="T69" s="34"/>
    </row>
    <row r="70" spans="1:20" x14ac:dyDescent="0.2">
      <c r="A70" s="57">
        <v>40</v>
      </c>
      <c r="B70" s="49" t="s">
        <v>675</v>
      </c>
      <c r="C70" s="55" t="s">
        <v>676</v>
      </c>
      <c r="D70" s="57">
        <f t="shared" si="5"/>
        <v>5364985</v>
      </c>
      <c r="E70" s="34"/>
      <c r="F70" s="50">
        <v>0</v>
      </c>
      <c r="G70" s="50"/>
      <c r="H70" s="325">
        <v>5364985</v>
      </c>
      <c r="I70" s="57">
        <f t="shared" si="6"/>
        <v>0</v>
      </c>
      <c r="J70" s="34"/>
      <c r="K70" s="34"/>
      <c r="L70" s="50">
        <v>0</v>
      </c>
      <c r="M70" s="50"/>
      <c r="N70" s="57">
        <f t="shared" si="7"/>
        <v>0</v>
      </c>
      <c r="O70" s="50">
        <v>0</v>
      </c>
      <c r="P70" s="50">
        <v>0</v>
      </c>
      <c r="Q70" s="50">
        <v>0</v>
      </c>
      <c r="R70" s="34"/>
      <c r="S70" s="34"/>
      <c r="T70" s="34"/>
    </row>
    <row r="71" spans="1:20" x14ac:dyDescent="0.2">
      <c r="A71" s="57">
        <v>41</v>
      </c>
      <c r="B71" s="49" t="s">
        <v>677</v>
      </c>
      <c r="C71" s="55" t="s">
        <v>678</v>
      </c>
      <c r="D71" s="57">
        <f t="shared" si="5"/>
        <v>0</v>
      </c>
      <c r="E71" s="34"/>
      <c r="F71" s="50">
        <v>0</v>
      </c>
      <c r="G71" s="50"/>
      <c r="H71" s="50">
        <v>0</v>
      </c>
      <c r="I71" s="57">
        <f t="shared" si="6"/>
        <v>0</v>
      </c>
      <c r="J71" s="34"/>
      <c r="K71" s="34"/>
      <c r="L71" s="50">
        <v>0</v>
      </c>
      <c r="M71" s="50"/>
      <c r="N71" s="57">
        <f t="shared" si="7"/>
        <v>0</v>
      </c>
      <c r="O71" s="50">
        <v>0</v>
      </c>
      <c r="P71" s="50">
        <v>0</v>
      </c>
      <c r="Q71" s="50">
        <v>0</v>
      </c>
      <c r="R71" s="34"/>
      <c r="S71" s="34"/>
      <c r="T71" s="34"/>
    </row>
    <row r="72" spans="1:20" x14ac:dyDescent="0.2">
      <c r="A72" s="57">
        <v>42</v>
      </c>
      <c r="B72" s="217" t="s">
        <v>1420</v>
      </c>
      <c r="C72" s="84" t="s">
        <v>1419</v>
      </c>
      <c r="D72" s="57">
        <f t="shared" si="5"/>
        <v>2338708.0299999998</v>
      </c>
      <c r="E72" s="34"/>
      <c r="F72" s="50">
        <f>2154349.46-359</f>
        <v>2153990.46</v>
      </c>
      <c r="G72" s="50"/>
      <c r="H72" s="50">
        <v>184358.57</v>
      </c>
      <c r="I72" s="57">
        <f t="shared" si="6"/>
        <v>359</v>
      </c>
      <c r="J72" s="34"/>
      <c r="K72" s="34"/>
      <c r="L72" s="50">
        <v>359</v>
      </c>
      <c r="M72" s="50"/>
      <c r="N72" s="57">
        <f t="shared" si="7"/>
        <v>0</v>
      </c>
      <c r="O72" s="50">
        <v>0</v>
      </c>
      <c r="P72" s="50">
        <v>0</v>
      </c>
      <c r="Q72" s="50">
        <v>0</v>
      </c>
      <c r="R72" s="34"/>
      <c r="S72" s="34"/>
      <c r="T72" s="34"/>
    </row>
    <row r="73" spans="1:20" x14ac:dyDescent="0.2">
      <c r="A73" s="57">
        <v>43</v>
      </c>
      <c r="B73" s="217" t="s">
        <v>1428</v>
      </c>
      <c r="C73" s="84" t="s">
        <v>1429</v>
      </c>
      <c r="D73" s="57">
        <f t="shared" si="5"/>
        <v>15192.37</v>
      </c>
      <c r="E73" s="34"/>
      <c r="F73" s="50">
        <v>14276.87</v>
      </c>
      <c r="G73" s="50"/>
      <c r="H73" s="50">
        <v>915.5</v>
      </c>
      <c r="I73" s="57">
        <f t="shared" si="6"/>
        <v>0</v>
      </c>
      <c r="J73" s="34"/>
      <c r="K73" s="34"/>
      <c r="L73" s="50">
        <v>0</v>
      </c>
      <c r="M73" s="50"/>
      <c r="N73" s="57">
        <f t="shared" si="7"/>
        <v>0</v>
      </c>
      <c r="O73" s="50">
        <v>0</v>
      </c>
      <c r="P73" s="50">
        <v>0</v>
      </c>
      <c r="Q73" s="50">
        <v>0</v>
      </c>
      <c r="R73" s="34"/>
      <c r="S73" s="34"/>
      <c r="T73" s="34"/>
    </row>
    <row r="74" spans="1:20" x14ac:dyDescent="0.2">
      <c r="A74" s="57">
        <v>44</v>
      </c>
      <c r="B74" s="217" t="s">
        <v>1427</v>
      </c>
      <c r="C74" s="84" t="s">
        <v>1426</v>
      </c>
      <c r="D74" s="57">
        <f t="shared" si="5"/>
        <v>22525.48</v>
      </c>
      <c r="E74" s="34"/>
      <c r="F74" s="50">
        <v>22525.48</v>
      </c>
      <c r="G74" s="50"/>
      <c r="H74" s="50">
        <v>0</v>
      </c>
      <c r="I74" s="57">
        <f t="shared" si="6"/>
        <v>0</v>
      </c>
      <c r="J74" s="34"/>
      <c r="K74" s="34"/>
      <c r="L74" s="50">
        <v>0</v>
      </c>
      <c r="M74" s="50"/>
      <c r="N74" s="57">
        <f t="shared" si="7"/>
        <v>0</v>
      </c>
      <c r="O74" s="50">
        <v>0</v>
      </c>
      <c r="P74" s="50">
        <v>0</v>
      </c>
      <c r="Q74" s="50">
        <v>0</v>
      </c>
      <c r="R74" s="34"/>
      <c r="S74" s="34"/>
      <c r="T74" s="34"/>
    </row>
    <row r="75" spans="1:20" x14ac:dyDescent="0.2">
      <c r="A75" s="57">
        <v>45</v>
      </c>
      <c r="B75" s="217" t="s">
        <v>1415</v>
      </c>
      <c r="C75" s="84" t="s">
        <v>1416</v>
      </c>
      <c r="D75" s="57">
        <f t="shared" si="5"/>
        <v>1791597.25</v>
      </c>
      <c r="E75" s="34"/>
      <c r="F75" s="50">
        <v>1659612.5</v>
      </c>
      <c r="G75" s="50"/>
      <c r="H75" s="50">
        <v>131984.75</v>
      </c>
      <c r="I75" s="57">
        <f t="shared" si="6"/>
        <v>0</v>
      </c>
      <c r="J75" s="34"/>
      <c r="K75" s="34"/>
      <c r="L75" s="50">
        <v>0</v>
      </c>
      <c r="M75" s="50"/>
      <c r="N75" s="57">
        <f t="shared" si="7"/>
        <v>0</v>
      </c>
      <c r="O75" s="50">
        <v>0</v>
      </c>
      <c r="P75" s="50">
        <v>0</v>
      </c>
      <c r="Q75" s="50">
        <v>0</v>
      </c>
      <c r="R75" s="34"/>
      <c r="S75" s="34"/>
      <c r="T75" s="34"/>
    </row>
    <row r="76" spans="1:20" x14ac:dyDescent="0.2">
      <c r="A76" s="57">
        <v>46</v>
      </c>
      <c r="B76" s="217" t="s">
        <v>1417</v>
      </c>
      <c r="C76" s="84" t="s">
        <v>1418</v>
      </c>
      <c r="D76" s="57">
        <f t="shared" ref="D76" si="11">SUM(F76:I76)+K76</f>
        <v>559379.78999999992</v>
      </c>
      <c r="E76" s="34"/>
      <c r="F76" s="50">
        <f>43450.7+503573.77</f>
        <v>547024.47</v>
      </c>
      <c r="G76" s="50"/>
      <c r="H76" s="50">
        <f>200+12155.32</f>
        <v>12355.32</v>
      </c>
      <c r="I76" s="57">
        <f t="shared" ref="I76" si="12">(L76+M76+N76)</f>
        <v>0</v>
      </c>
      <c r="J76" s="34"/>
      <c r="K76" s="34"/>
      <c r="L76" s="50">
        <v>0</v>
      </c>
      <c r="M76" s="50"/>
      <c r="N76" s="57">
        <f t="shared" ref="N76" si="13">SUM(O76:Q76)</f>
        <v>0</v>
      </c>
      <c r="O76" s="50">
        <v>0</v>
      </c>
      <c r="P76" s="50">
        <v>0</v>
      </c>
      <c r="Q76" s="50">
        <v>0</v>
      </c>
      <c r="R76" s="34"/>
      <c r="S76" s="34"/>
      <c r="T76" s="34"/>
    </row>
    <row r="77" spans="1:20" x14ac:dyDescent="0.2">
      <c r="A77" s="57">
        <v>47</v>
      </c>
      <c r="B77" s="217" t="s">
        <v>1424</v>
      </c>
      <c r="C77" s="84" t="s">
        <v>1423</v>
      </c>
      <c r="D77" s="57">
        <f t="shared" ref="D77" si="14">SUM(F77:I77)+K77</f>
        <v>139731.85</v>
      </c>
      <c r="E77" s="34"/>
      <c r="F77" s="50">
        <v>130861.85</v>
      </c>
      <c r="G77" s="50"/>
      <c r="H77" s="50">
        <v>8870</v>
      </c>
      <c r="I77" s="57">
        <f t="shared" ref="I77" si="15">(L77+M77+N77)</f>
        <v>0</v>
      </c>
      <c r="J77" s="34"/>
      <c r="K77" s="34"/>
      <c r="L77" s="50">
        <v>0</v>
      </c>
      <c r="M77" s="50"/>
      <c r="N77" s="57">
        <f t="shared" ref="N77" si="16">SUM(O77:Q77)</f>
        <v>0</v>
      </c>
      <c r="O77" s="50">
        <v>0</v>
      </c>
      <c r="P77" s="50">
        <v>0</v>
      </c>
      <c r="Q77" s="50">
        <v>0</v>
      </c>
      <c r="R77" s="34"/>
      <c r="S77" s="34"/>
      <c r="T77" s="34"/>
    </row>
    <row r="78" spans="1:20" x14ac:dyDescent="0.2">
      <c r="A78" s="57">
        <v>48</v>
      </c>
      <c r="B78" s="49" t="s">
        <v>679</v>
      </c>
      <c r="C78" s="55" t="s">
        <v>680</v>
      </c>
      <c r="D78" s="57">
        <f t="shared" si="5"/>
        <v>21847</v>
      </c>
      <c r="E78" s="34"/>
      <c r="F78" s="50">
        <v>0</v>
      </c>
      <c r="G78" s="292"/>
      <c r="H78" s="325">
        <v>21847</v>
      </c>
      <c r="I78" s="57">
        <f t="shared" si="6"/>
        <v>0</v>
      </c>
      <c r="J78" s="34"/>
      <c r="K78" s="34"/>
      <c r="L78" s="50">
        <v>0</v>
      </c>
      <c r="M78" s="50"/>
      <c r="N78" s="57">
        <f t="shared" si="7"/>
        <v>0</v>
      </c>
      <c r="O78" s="50">
        <v>0</v>
      </c>
      <c r="P78" s="50">
        <v>0</v>
      </c>
      <c r="Q78" s="50">
        <v>0</v>
      </c>
      <c r="R78" s="34"/>
      <c r="S78" s="34"/>
      <c r="T78" s="34"/>
    </row>
    <row r="79" spans="1:20" x14ac:dyDescent="0.2">
      <c r="A79" s="57">
        <v>49</v>
      </c>
      <c r="B79" s="49" t="s">
        <v>681</v>
      </c>
      <c r="C79" s="55" t="s">
        <v>682</v>
      </c>
      <c r="D79" s="57">
        <f t="shared" si="5"/>
        <v>0</v>
      </c>
      <c r="E79" s="34"/>
      <c r="F79" s="50">
        <v>0</v>
      </c>
      <c r="G79" s="292"/>
      <c r="H79" s="50">
        <v>0</v>
      </c>
      <c r="I79" s="57">
        <f t="shared" si="6"/>
        <v>0</v>
      </c>
      <c r="J79" s="34"/>
      <c r="K79" s="34"/>
      <c r="L79" s="50">
        <v>0</v>
      </c>
      <c r="M79" s="50"/>
      <c r="N79" s="57">
        <f t="shared" si="7"/>
        <v>0</v>
      </c>
      <c r="O79" s="50">
        <v>0</v>
      </c>
      <c r="P79" s="50">
        <v>0</v>
      </c>
      <c r="Q79" s="50">
        <v>0</v>
      </c>
      <c r="R79" s="34"/>
      <c r="S79" s="34"/>
      <c r="T79" s="34"/>
    </row>
    <row r="80" spans="1:20" x14ac:dyDescent="0.2">
      <c r="A80" s="57">
        <v>50</v>
      </c>
      <c r="B80" s="49" t="s">
        <v>743</v>
      </c>
      <c r="C80" s="55" t="s">
        <v>744</v>
      </c>
      <c r="D80" s="57">
        <f t="shared" si="5"/>
        <v>-2824747</v>
      </c>
      <c r="E80" s="34"/>
      <c r="F80" s="50">
        <v>0</v>
      </c>
      <c r="G80" s="292"/>
      <c r="H80" s="325">
        <v>-2824747</v>
      </c>
      <c r="I80" s="57">
        <f>(L80+M80+N80)</f>
        <v>0</v>
      </c>
      <c r="J80" s="34"/>
      <c r="K80" s="34"/>
      <c r="L80" s="50">
        <v>0</v>
      </c>
      <c r="M80" s="57"/>
      <c r="N80" s="57">
        <f>SUM(O80:Q80)</f>
        <v>0</v>
      </c>
      <c r="O80" s="50">
        <v>0</v>
      </c>
      <c r="P80" s="50">
        <v>0</v>
      </c>
      <c r="Q80" s="50">
        <v>0</v>
      </c>
      <c r="R80" s="34"/>
      <c r="S80" s="34"/>
      <c r="T80" s="34"/>
    </row>
    <row r="81" spans="1:20" x14ac:dyDescent="0.2">
      <c r="A81" s="57"/>
      <c r="B81" s="34"/>
      <c r="C81" s="50"/>
      <c r="D81" s="34"/>
      <c r="E81" s="34"/>
      <c r="F81" s="50"/>
      <c r="G81" s="50"/>
      <c r="H81" s="50"/>
      <c r="I81" s="50"/>
      <c r="J81" s="34"/>
      <c r="K81" s="34"/>
      <c r="L81" s="50"/>
      <c r="M81" s="50"/>
      <c r="N81" s="34"/>
      <c r="O81" s="50"/>
      <c r="P81" s="50"/>
      <c r="Q81" s="50"/>
      <c r="R81" s="34"/>
      <c r="S81" s="34"/>
      <c r="T81" s="34"/>
    </row>
    <row r="82" spans="1:20" x14ac:dyDescent="0.2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</row>
    <row r="83" spans="1:20" x14ac:dyDescent="0.2">
      <c r="A83" s="34"/>
      <c r="B83" s="97" t="s">
        <v>683</v>
      </c>
      <c r="C83" s="50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spans="1:20" x14ac:dyDescent="0.2">
      <c r="A84" s="34"/>
      <c r="B84" s="219" t="s">
        <v>493</v>
      </c>
      <c r="C84" s="50"/>
      <c r="D84" s="50"/>
      <c r="E84" s="34"/>
      <c r="F84" s="50"/>
      <c r="G84" s="220"/>
      <c r="H84" s="50"/>
      <c r="I84" s="57"/>
      <c r="J84" s="50"/>
      <c r="K84" s="50"/>
      <c r="L84" s="50"/>
      <c r="M84" s="50"/>
      <c r="N84" s="57"/>
      <c r="O84" s="50"/>
      <c r="P84" s="50"/>
      <c r="Q84" s="50"/>
      <c r="R84" s="50"/>
      <c r="S84" s="50"/>
      <c r="T84" s="50"/>
    </row>
    <row r="85" spans="1:20" x14ac:dyDescent="0.2">
      <c r="A85" s="57">
        <v>1</v>
      </c>
      <c r="B85" s="49" t="s">
        <v>684</v>
      </c>
      <c r="C85" s="55" t="s">
        <v>683</v>
      </c>
      <c r="D85" s="57">
        <f>SUM(F85:I85)+K85</f>
        <v>21597286</v>
      </c>
      <c r="E85" s="34"/>
      <c r="F85" s="325">
        <v>18737090</v>
      </c>
      <c r="G85" s="292"/>
      <c r="H85" s="325">
        <v>990712</v>
      </c>
      <c r="I85" s="57">
        <f>(L85+M85+N85)</f>
        <v>1869484</v>
      </c>
      <c r="J85" s="34"/>
      <c r="K85" s="34"/>
      <c r="L85" s="325">
        <v>103</v>
      </c>
      <c r="M85" s="57"/>
      <c r="N85" s="57">
        <f>SUM(O85:Q85)</f>
        <v>1869381</v>
      </c>
      <c r="O85" s="325">
        <v>610253</v>
      </c>
      <c r="P85" s="325">
        <v>1259128</v>
      </c>
      <c r="Q85" s="34">
        <v>0</v>
      </c>
      <c r="R85" s="34"/>
      <c r="S85" s="34"/>
      <c r="T85" s="34"/>
    </row>
    <row r="86" spans="1:20" ht="12.75" customHeight="1" x14ac:dyDescent="0.2">
      <c r="A86" s="57">
        <v>2</v>
      </c>
      <c r="B86" s="49" t="s">
        <v>685</v>
      </c>
      <c r="C86" s="55" t="s">
        <v>686</v>
      </c>
      <c r="D86" s="57">
        <f>SUM(F86:I86)+K86</f>
        <v>19727905</v>
      </c>
      <c r="E86" s="34"/>
      <c r="F86" s="85">
        <f>F85</f>
        <v>18737090</v>
      </c>
      <c r="G86" s="50"/>
      <c r="H86" s="85">
        <f>H85</f>
        <v>990712</v>
      </c>
      <c r="I86" s="57">
        <f>(L86+M86+N86)</f>
        <v>103</v>
      </c>
      <c r="J86" s="34"/>
      <c r="K86" s="34"/>
      <c r="L86" s="50">
        <f>L85</f>
        <v>103</v>
      </c>
      <c r="M86" s="50"/>
      <c r="N86" s="57">
        <f>SUM(O86:Q86)</f>
        <v>0</v>
      </c>
      <c r="O86" s="50">
        <v>0</v>
      </c>
      <c r="P86" s="50">
        <v>0</v>
      </c>
      <c r="Q86" s="50">
        <v>0</v>
      </c>
      <c r="R86" s="34"/>
      <c r="S86" s="34"/>
      <c r="T86" s="34"/>
    </row>
    <row r="87" spans="1:20" x14ac:dyDescent="0.2">
      <c r="A87" s="60">
        <v>3</v>
      </c>
      <c r="C87" s="58"/>
      <c r="F87" s="58"/>
      <c r="G87" s="58"/>
      <c r="H87" s="58"/>
      <c r="I87" s="58"/>
      <c r="L87" s="58"/>
      <c r="M87" s="58"/>
      <c r="O87" s="58"/>
      <c r="P87" s="58"/>
      <c r="Q87" s="58"/>
    </row>
    <row r="88" spans="1:20" x14ac:dyDescent="0.2">
      <c r="A88" s="60">
        <v>4</v>
      </c>
      <c r="C88" s="58"/>
    </row>
    <row r="89" spans="1:20" x14ac:dyDescent="0.2">
      <c r="C89" s="58"/>
    </row>
    <row r="90" spans="1:20" x14ac:dyDescent="0.2">
      <c r="B90" s="64" t="s">
        <v>687</v>
      </c>
      <c r="C90" s="58"/>
    </row>
    <row r="91" spans="1:20" x14ac:dyDescent="0.2">
      <c r="B91" s="67" t="s">
        <v>493</v>
      </c>
      <c r="C91" s="58"/>
      <c r="P91" s="60"/>
    </row>
    <row r="92" spans="1:20" x14ac:dyDescent="0.2">
      <c r="A92" s="57">
        <v>1</v>
      </c>
      <c r="B92" s="217" t="s">
        <v>6</v>
      </c>
      <c r="C92" s="55" t="s">
        <v>689</v>
      </c>
      <c r="D92" s="57">
        <f t="shared" ref="D92:D110" si="17">SUM(F92:I92)+K92</f>
        <v>84507617.649999991</v>
      </c>
      <c r="E92" s="34"/>
      <c r="F92" s="293">
        <f>PIS!L20+PIS!L122</f>
        <v>84507617.649999991</v>
      </c>
      <c r="G92" s="220"/>
      <c r="H92" s="218">
        <v>0</v>
      </c>
      <c r="I92" s="57">
        <f t="shared" ref="I92:I109" si="18">(L92+M92+N92)</f>
        <v>0</v>
      </c>
      <c r="J92" s="34"/>
      <c r="K92" s="34"/>
      <c r="L92" s="50">
        <v>0</v>
      </c>
      <c r="M92" s="57"/>
      <c r="N92" s="57">
        <f t="shared" ref="N92:N109" si="19">SUM(O92:Q92)</f>
        <v>0</v>
      </c>
      <c r="O92" s="80">
        <v>0</v>
      </c>
      <c r="P92" s="80">
        <v>0</v>
      </c>
      <c r="Q92" s="80">
        <v>0</v>
      </c>
      <c r="R92" s="34"/>
      <c r="S92" s="34"/>
      <c r="T92" s="34"/>
    </row>
    <row r="93" spans="1:20" x14ac:dyDescent="0.2">
      <c r="A93" s="57">
        <v>2</v>
      </c>
      <c r="B93" s="217" t="s">
        <v>7</v>
      </c>
      <c r="C93" s="55" t="s">
        <v>691</v>
      </c>
      <c r="D93" s="57">
        <f t="shared" si="17"/>
        <v>67284794.690000013</v>
      </c>
      <c r="E93" s="34"/>
      <c r="F93" s="293">
        <f>PIS!L21-N93</f>
        <v>66969752.690000013</v>
      </c>
      <c r="G93" s="220"/>
      <c r="H93" s="218">
        <v>0</v>
      </c>
      <c r="I93" s="57">
        <f>(L93+M93+N93)</f>
        <v>315042</v>
      </c>
      <c r="J93" s="34"/>
      <c r="K93" s="34"/>
      <c r="L93" s="50">
        <v>0</v>
      </c>
      <c r="M93" s="57"/>
      <c r="N93" s="57">
        <f t="shared" si="19"/>
        <v>315042</v>
      </c>
      <c r="O93" s="325">
        <v>66911</v>
      </c>
      <c r="P93" s="325">
        <f>215863+32268</f>
        <v>248131</v>
      </c>
      <c r="Q93" s="80">
        <v>0</v>
      </c>
      <c r="R93" s="34"/>
      <c r="S93" s="34"/>
      <c r="T93" s="34"/>
    </row>
    <row r="94" spans="1:20" x14ac:dyDescent="0.2">
      <c r="A94" s="57">
        <v>3</v>
      </c>
      <c r="B94" s="217" t="s">
        <v>8</v>
      </c>
      <c r="C94" s="55" t="s">
        <v>693</v>
      </c>
      <c r="D94" s="57">
        <f t="shared" si="17"/>
        <v>17384575.219999999</v>
      </c>
      <c r="E94" s="34"/>
      <c r="F94" s="293">
        <f>PIS!L22</f>
        <v>17384575.219999999</v>
      </c>
      <c r="G94" s="220"/>
      <c r="H94" s="218">
        <v>0</v>
      </c>
      <c r="I94" s="57">
        <f t="shared" si="18"/>
        <v>0</v>
      </c>
      <c r="J94" s="34"/>
      <c r="K94" s="34"/>
      <c r="L94" s="50">
        <v>0</v>
      </c>
      <c r="M94" s="57"/>
      <c r="N94" s="57">
        <f t="shared" si="19"/>
        <v>0</v>
      </c>
      <c r="O94" s="80">
        <v>0</v>
      </c>
      <c r="P94" s="80">
        <v>0</v>
      </c>
      <c r="Q94" s="80">
        <v>0</v>
      </c>
      <c r="R94" s="34"/>
      <c r="S94" s="34"/>
      <c r="T94" s="34"/>
    </row>
    <row r="95" spans="1:20" x14ac:dyDescent="0.2">
      <c r="A95" s="57">
        <v>4</v>
      </c>
      <c r="B95" s="217" t="s">
        <v>9</v>
      </c>
      <c r="C95" s="55" t="s">
        <v>695</v>
      </c>
      <c r="D95" s="57">
        <f t="shared" si="17"/>
        <v>80975589.62000002</v>
      </c>
      <c r="E95" s="34"/>
      <c r="F95" s="293">
        <f>PIS!L23+PIS!L123</f>
        <v>80975589.62000002</v>
      </c>
      <c r="G95" s="220"/>
      <c r="H95" s="218">
        <v>0</v>
      </c>
      <c r="I95" s="57">
        <f t="shared" si="18"/>
        <v>0</v>
      </c>
      <c r="J95" s="34"/>
      <c r="K95" s="34"/>
      <c r="L95" s="50">
        <v>0</v>
      </c>
      <c r="M95" s="57"/>
      <c r="N95" s="57">
        <f t="shared" si="19"/>
        <v>0</v>
      </c>
      <c r="O95" s="80">
        <v>0</v>
      </c>
      <c r="P95" s="80">
        <v>0</v>
      </c>
      <c r="Q95" s="80">
        <v>0</v>
      </c>
      <c r="R95" s="34"/>
      <c r="S95" s="34"/>
      <c r="T95" s="34"/>
    </row>
    <row r="96" spans="1:20" x14ac:dyDescent="0.2">
      <c r="A96" s="57">
        <v>5</v>
      </c>
      <c r="B96" s="49" t="s">
        <v>696</v>
      </c>
      <c r="C96" s="55" t="s">
        <v>697</v>
      </c>
      <c r="D96" s="57">
        <f t="shared" si="17"/>
        <v>3147887.17</v>
      </c>
      <c r="E96" s="34"/>
      <c r="F96" s="325">
        <v>2936188.79</v>
      </c>
      <c r="G96" s="220"/>
      <c r="H96" s="325">
        <f>3147887.17-F96</f>
        <v>211698.37999999989</v>
      </c>
      <c r="I96" s="57">
        <f t="shared" si="18"/>
        <v>0</v>
      </c>
      <c r="J96" s="34"/>
      <c r="K96" s="34"/>
      <c r="L96" s="50">
        <v>0</v>
      </c>
      <c r="M96" s="57"/>
      <c r="N96" s="57">
        <f t="shared" si="19"/>
        <v>0</v>
      </c>
      <c r="O96" s="80">
        <v>0</v>
      </c>
      <c r="P96" s="80">
        <v>0</v>
      </c>
      <c r="Q96" s="80">
        <v>0</v>
      </c>
      <c r="R96" s="34"/>
      <c r="S96" s="34"/>
      <c r="T96" s="34"/>
    </row>
    <row r="97" spans="1:20" x14ac:dyDescent="0.2">
      <c r="A97" s="57">
        <v>6</v>
      </c>
      <c r="B97" s="49" t="s">
        <v>698</v>
      </c>
      <c r="C97" s="55" t="s">
        <v>699</v>
      </c>
      <c r="D97" s="57">
        <f t="shared" si="17"/>
        <v>23057677.960000001</v>
      </c>
      <c r="E97" s="34"/>
      <c r="F97" s="325">
        <f>22522316.69+10000</f>
        <v>22532316.690000001</v>
      </c>
      <c r="G97" s="220"/>
      <c r="H97" s="325">
        <v>525361.27</v>
      </c>
      <c r="I97" s="57">
        <f t="shared" si="18"/>
        <v>0</v>
      </c>
      <c r="J97" s="34"/>
      <c r="K97" s="34"/>
      <c r="L97" s="50">
        <v>0</v>
      </c>
      <c r="M97" s="57"/>
      <c r="N97" s="57">
        <f t="shared" si="19"/>
        <v>0</v>
      </c>
      <c r="O97" s="80">
        <v>0</v>
      </c>
      <c r="P97" s="80">
        <v>0</v>
      </c>
      <c r="Q97" s="80">
        <v>0</v>
      </c>
      <c r="R97" s="34"/>
      <c r="S97" s="34"/>
      <c r="T97" s="34"/>
    </row>
    <row r="98" spans="1:20" x14ac:dyDescent="0.2">
      <c r="A98" s="57">
        <v>7</v>
      </c>
      <c r="B98" s="49" t="s">
        <v>700</v>
      </c>
      <c r="C98" s="55" t="s">
        <v>701</v>
      </c>
      <c r="D98" s="57">
        <f t="shared" si="17"/>
        <v>747403</v>
      </c>
      <c r="E98" s="34"/>
      <c r="F98" s="325">
        <v>707124</v>
      </c>
      <c r="G98" s="220"/>
      <c r="H98" s="325">
        <v>39349</v>
      </c>
      <c r="I98" s="57">
        <f t="shared" si="18"/>
        <v>930</v>
      </c>
      <c r="J98" s="34"/>
      <c r="K98" s="34"/>
      <c r="L98" s="325">
        <v>7</v>
      </c>
      <c r="M98" s="57"/>
      <c r="N98" s="57">
        <f t="shared" si="19"/>
        <v>923</v>
      </c>
      <c r="O98" s="325">
        <v>494</v>
      </c>
      <c r="P98" s="325">
        <v>429</v>
      </c>
      <c r="Q98" s="80">
        <v>0</v>
      </c>
      <c r="R98" s="34"/>
      <c r="S98" s="34"/>
      <c r="T98" s="34"/>
    </row>
    <row r="99" spans="1:20" x14ac:dyDescent="0.2">
      <c r="A99" s="57">
        <v>8</v>
      </c>
      <c r="B99" s="49" t="s">
        <v>702</v>
      </c>
      <c r="C99" s="55" t="s">
        <v>703</v>
      </c>
      <c r="D99" s="57">
        <f t="shared" si="17"/>
        <v>747403</v>
      </c>
      <c r="E99" s="34"/>
      <c r="F99" s="34">
        <f>F98</f>
        <v>707124</v>
      </c>
      <c r="G99" s="220"/>
      <c r="H99" s="57">
        <f>H98</f>
        <v>39349</v>
      </c>
      <c r="I99" s="57">
        <f t="shared" si="18"/>
        <v>930</v>
      </c>
      <c r="J99" s="34"/>
      <c r="K99" s="34"/>
      <c r="L99" s="85">
        <f>L98</f>
        <v>7</v>
      </c>
      <c r="M99" s="57"/>
      <c r="N99" s="57">
        <f t="shared" si="19"/>
        <v>923</v>
      </c>
      <c r="O99" s="34">
        <f>O98</f>
        <v>494</v>
      </c>
      <c r="P99" s="34">
        <f>P98</f>
        <v>429</v>
      </c>
      <c r="Q99" s="34">
        <v>0</v>
      </c>
      <c r="R99" s="34"/>
      <c r="S99" s="34"/>
      <c r="T99" s="34"/>
    </row>
    <row r="100" spans="1:20" x14ac:dyDescent="0.2">
      <c r="A100" s="57">
        <v>9</v>
      </c>
      <c r="B100" s="49" t="s">
        <v>704</v>
      </c>
      <c r="C100" s="55" t="s">
        <v>705</v>
      </c>
      <c r="D100" s="57">
        <f t="shared" si="17"/>
        <v>747403</v>
      </c>
      <c r="E100" s="34"/>
      <c r="F100" s="34">
        <f>F98</f>
        <v>707124</v>
      </c>
      <c r="G100" s="220"/>
      <c r="H100" s="57">
        <f>H98</f>
        <v>39349</v>
      </c>
      <c r="I100" s="57">
        <f t="shared" si="18"/>
        <v>930</v>
      </c>
      <c r="J100" s="34"/>
      <c r="K100" s="34"/>
      <c r="L100" s="85">
        <f>L98</f>
        <v>7</v>
      </c>
      <c r="M100" s="57"/>
      <c r="N100" s="57">
        <f t="shared" si="19"/>
        <v>923</v>
      </c>
      <c r="O100" s="34">
        <f>O98</f>
        <v>494</v>
      </c>
      <c r="P100" s="34">
        <f>P98</f>
        <v>429</v>
      </c>
      <c r="Q100" s="34">
        <v>0</v>
      </c>
      <c r="R100" s="34"/>
      <c r="S100" s="34"/>
      <c r="T100" s="34"/>
    </row>
    <row r="101" spans="1:20" x14ac:dyDescent="0.2">
      <c r="A101" s="57">
        <v>10</v>
      </c>
      <c r="B101" s="49" t="s">
        <v>706</v>
      </c>
      <c r="C101" s="55" t="s">
        <v>707</v>
      </c>
      <c r="D101" s="57">
        <f t="shared" si="17"/>
        <v>5175445.7300000004</v>
      </c>
      <c r="E101" s="34"/>
      <c r="F101" s="80">
        <v>0</v>
      </c>
      <c r="G101" s="220"/>
      <c r="H101" s="326">
        <f>PIS!L202+PIS!L252</f>
        <v>5175445.7300000004</v>
      </c>
      <c r="I101" s="57">
        <f t="shared" si="18"/>
        <v>0</v>
      </c>
      <c r="J101" s="34"/>
      <c r="K101" s="34"/>
      <c r="L101" s="50">
        <v>0</v>
      </c>
      <c r="M101" s="57"/>
      <c r="N101" s="57">
        <f t="shared" si="19"/>
        <v>0</v>
      </c>
      <c r="O101" s="80">
        <v>0</v>
      </c>
      <c r="P101" s="80">
        <v>0</v>
      </c>
      <c r="Q101" s="80">
        <v>0</v>
      </c>
      <c r="R101" s="34"/>
      <c r="S101" s="34"/>
      <c r="T101" s="34"/>
    </row>
    <row r="102" spans="1:20" x14ac:dyDescent="0.2">
      <c r="A102" s="57">
        <v>11</v>
      </c>
      <c r="B102" s="49" t="s">
        <v>708</v>
      </c>
      <c r="C102" s="55" t="s">
        <v>709</v>
      </c>
      <c r="D102" s="57">
        <f t="shared" si="17"/>
        <v>3637511.5</v>
      </c>
      <c r="E102" s="34"/>
      <c r="F102" s="80">
        <v>0</v>
      </c>
      <c r="G102" s="220"/>
      <c r="H102" s="326">
        <f>PIS!L203</f>
        <v>3637511.5</v>
      </c>
      <c r="I102" s="57">
        <f t="shared" si="18"/>
        <v>0</v>
      </c>
      <c r="J102" s="34"/>
      <c r="K102" s="34"/>
      <c r="L102" s="50">
        <v>0</v>
      </c>
      <c r="M102" s="57"/>
      <c r="N102" s="57">
        <f t="shared" si="19"/>
        <v>0</v>
      </c>
      <c r="O102" s="80">
        <v>0</v>
      </c>
      <c r="P102" s="80">
        <v>0</v>
      </c>
      <c r="Q102" s="80">
        <v>0</v>
      </c>
      <c r="R102" s="34"/>
      <c r="S102" s="34"/>
      <c r="T102" s="34"/>
    </row>
    <row r="103" spans="1:20" x14ac:dyDescent="0.2">
      <c r="A103" s="57">
        <v>12</v>
      </c>
      <c r="B103" s="217" t="s">
        <v>59</v>
      </c>
      <c r="C103" s="55" t="s">
        <v>711</v>
      </c>
      <c r="D103" s="57">
        <f t="shared" si="17"/>
        <v>856340.66</v>
      </c>
      <c r="E103" s="34"/>
      <c r="F103" s="80">
        <v>0</v>
      </c>
      <c r="G103" s="220"/>
      <c r="H103" s="326">
        <f>PIS!L204</f>
        <v>856340.66</v>
      </c>
      <c r="I103" s="57">
        <f t="shared" si="18"/>
        <v>0</v>
      </c>
      <c r="J103" s="34"/>
      <c r="K103" s="34"/>
      <c r="L103" s="50">
        <v>0</v>
      </c>
      <c r="M103" s="57"/>
      <c r="N103" s="57">
        <f t="shared" si="19"/>
        <v>0</v>
      </c>
      <c r="O103" s="80">
        <v>0</v>
      </c>
      <c r="P103" s="80">
        <v>0</v>
      </c>
      <c r="Q103" s="80">
        <v>0</v>
      </c>
      <c r="R103" s="34"/>
      <c r="S103" s="34"/>
      <c r="T103" s="34"/>
    </row>
    <row r="104" spans="1:20" x14ac:dyDescent="0.2">
      <c r="A104" s="57">
        <v>13</v>
      </c>
      <c r="B104" s="49" t="s">
        <v>712</v>
      </c>
      <c r="C104" s="55" t="s">
        <v>713</v>
      </c>
      <c r="D104" s="57">
        <f t="shared" si="17"/>
        <v>2038653.7300000002</v>
      </c>
      <c r="E104" s="34"/>
      <c r="F104" s="80">
        <v>0</v>
      </c>
      <c r="G104" s="220"/>
      <c r="H104" s="326">
        <f>PIS!L205+PIS!L253</f>
        <v>2038653.7300000002</v>
      </c>
      <c r="I104" s="57">
        <f t="shared" si="18"/>
        <v>0</v>
      </c>
      <c r="J104" s="34"/>
      <c r="K104" s="34"/>
      <c r="L104" s="50">
        <v>0</v>
      </c>
      <c r="M104" s="57"/>
      <c r="N104" s="57">
        <f t="shared" si="19"/>
        <v>0</v>
      </c>
      <c r="O104" s="80">
        <v>0</v>
      </c>
      <c r="P104" s="80">
        <v>0</v>
      </c>
      <c r="Q104" s="80">
        <v>0</v>
      </c>
      <c r="R104" s="34"/>
      <c r="S104" s="34"/>
      <c r="T104" s="34"/>
    </row>
    <row r="105" spans="1:20" x14ac:dyDescent="0.2">
      <c r="A105" s="57">
        <v>14</v>
      </c>
      <c r="B105" s="49" t="s">
        <v>714</v>
      </c>
      <c r="C105" s="55" t="s">
        <v>715</v>
      </c>
      <c r="D105" s="57">
        <f t="shared" si="17"/>
        <v>510585</v>
      </c>
      <c r="E105" s="34"/>
      <c r="F105" s="34">
        <f>F106</f>
        <v>510585</v>
      </c>
      <c r="G105" s="218"/>
      <c r="H105" s="218">
        <v>0</v>
      </c>
      <c r="I105" s="57">
        <f t="shared" si="18"/>
        <v>0</v>
      </c>
      <c r="J105" s="34"/>
      <c r="K105" s="34"/>
      <c r="L105" s="218">
        <v>0</v>
      </c>
      <c r="M105" s="57"/>
      <c r="N105" s="57">
        <f t="shared" si="19"/>
        <v>0</v>
      </c>
      <c r="O105" s="80">
        <v>0</v>
      </c>
      <c r="P105" s="80">
        <v>0</v>
      </c>
      <c r="Q105" s="80">
        <v>0</v>
      </c>
      <c r="R105" s="34"/>
      <c r="S105" s="34"/>
      <c r="T105" s="34"/>
    </row>
    <row r="106" spans="1:20" x14ac:dyDescent="0.2">
      <c r="A106" s="57">
        <v>15</v>
      </c>
      <c r="B106" s="49" t="s">
        <v>716</v>
      </c>
      <c r="C106" s="55" t="s">
        <v>717</v>
      </c>
      <c r="D106" s="57">
        <f t="shared" si="17"/>
        <v>539748</v>
      </c>
      <c r="E106" s="34"/>
      <c r="F106" s="325">
        <f>510589-L106</f>
        <v>510585</v>
      </c>
      <c r="G106" s="218"/>
      <c r="H106" s="325">
        <v>29159</v>
      </c>
      <c r="I106" s="57">
        <f t="shared" si="18"/>
        <v>4</v>
      </c>
      <c r="J106" s="34"/>
      <c r="K106" s="34"/>
      <c r="L106" s="360">
        <v>4</v>
      </c>
      <c r="M106" s="57"/>
      <c r="N106" s="57">
        <f t="shared" si="19"/>
        <v>0</v>
      </c>
      <c r="O106" s="80">
        <v>0</v>
      </c>
      <c r="P106" s="80">
        <v>0</v>
      </c>
      <c r="Q106" s="80">
        <v>0</v>
      </c>
      <c r="R106" s="34"/>
      <c r="S106" s="34"/>
      <c r="T106" s="34"/>
    </row>
    <row r="107" spans="1:20" x14ac:dyDescent="0.2">
      <c r="A107" s="57">
        <v>16</v>
      </c>
      <c r="B107" s="49" t="s">
        <v>718</v>
      </c>
      <c r="C107" s="55" t="s">
        <v>719</v>
      </c>
      <c r="D107" s="57">
        <f t="shared" si="17"/>
        <v>539748</v>
      </c>
      <c r="E107" s="34"/>
      <c r="F107" s="34">
        <f>F106</f>
        <v>510585</v>
      </c>
      <c r="G107" s="220"/>
      <c r="H107" s="57">
        <f>H106</f>
        <v>29159</v>
      </c>
      <c r="I107" s="57">
        <f t="shared" si="18"/>
        <v>4</v>
      </c>
      <c r="J107" s="34"/>
      <c r="K107" s="34"/>
      <c r="L107" s="85">
        <f>L106</f>
        <v>4</v>
      </c>
      <c r="M107" s="57"/>
      <c r="N107" s="57">
        <f t="shared" si="19"/>
        <v>0</v>
      </c>
      <c r="O107" s="80">
        <v>0</v>
      </c>
      <c r="P107" s="80">
        <v>0</v>
      </c>
      <c r="Q107" s="80">
        <v>0</v>
      </c>
      <c r="R107" s="34"/>
      <c r="S107" s="34"/>
      <c r="T107" s="34"/>
    </row>
    <row r="108" spans="1:20" x14ac:dyDescent="0.2">
      <c r="A108" s="57">
        <v>17</v>
      </c>
      <c r="B108" s="49" t="s">
        <v>720</v>
      </c>
      <c r="C108" s="55" t="s">
        <v>721</v>
      </c>
      <c r="D108" s="57">
        <f t="shared" si="17"/>
        <v>539748</v>
      </c>
      <c r="E108" s="34"/>
      <c r="F108" s="34">
        <f>F106</f>
        <v>510585</v>
      </c>
      <c r="G108" s="220"/>
      <c r="H108" s="57">
        <f>H106</f>
        <v>29159</v>
      </c>
      <c r="I108" s="57">
        <f t="shared" si="18"/>
        <v>4</v>
      </c>
      <c r="J108" s="34"/>
      <c r="K108" s="34"/>
      <c r="L108" s="85">
        <f>L106</f>
        <v>4</v>
      </c>
      <c r="M108" s="57"/>
      <c r="N108" s="57">
        <f t="shared" si="19"/>
        <v>0</v>
      </c>
      <c r="O108" s="80">
        <v>0</v>
      </c>
      <c r="P108" s="80">
        <v>0</v>
      </c>
      <c r="Q108" s="80">
        <v>0</v>
      </c>
      <c r="R108" s="34"/>
      <c r="S108" s="34"/>
      <c r="T108" s="34"/>
    </row>
    <row r="109" spans="1:20" x14ac:dyDescent="0.2">
      <c r="A109" s="57">
        <v>18</v>
      </c>
      <c r="B109" s="49" t="s">
        <v>722</v>
      </c>
      <c r="C109" s="55" t="s">
        <v>723</v>
      </c>
      <c r="D109" s="57">
        <f t="shared" si="17"/>
        <v>0</v>
      </c>
      <c r="E109" s="34"/>
      <c r="F109" s="80">
        <v>0</v>
      </c>
      <c r="G109" s="220"/>
      <c r="H109" s="218">
        <v>0</v>
      </c>
      <c r="I109" s="57">
        <f t="shared" si="18"/>
        <v>0</v>
      </c>
      <c r="J109" s="34"/>
      <c r="K109" s="34"/>
      <c r="L109" s="50">
        <v>0</v>
      </c>
      <c r="M109" s="57"/>
      <c r="N109" s="57">
        <f t="shared" si="19"/>
        <v>0</v>
      </c>
      <c r="O109" s="80">
        <v>0</v>
      </c>
      <c r="P109" s="80">
        <v>0</v>
      </c>
      <c r="Q109" s="80">
        <v>0</v>
      </c>
      <c r="R109" s="34"/>
      <c r="S109" s="34"/>
      <c r="T109" s="34"/>
    </row>
    <row r="110" spans="1:20" x14ac:dyDescent="0.2">
      <c r="A110" s="57">
        <v>19</v>
      </c>
      <c r="B110" s="49" t="s">
        <v>745</v>
      </c>
      <c r="C110" s="55" t="s">
        <v>746</v>
      </c>
      <c r="D110" s="57">
        <f t="shared" si="17"/>
        <v>1373105.57</v>
      </c>
      <c r="E110" s="34"/>
      <c r="F110" s="325">
        <f>1371335.37+50.75</f>
        <v>1371386.12</v>
      </c>
      <c r="G110" s="220"/>
      <c r="H110" s="325">
        <v>1719.45</v>
      </c>
      <c r="I110" s="57">
        <f>(L110+M110+N110)</f>
        <v>0</v>
      </c>
      <c r="J110" s="34"/>
      <c r="K110" s="34"/>
      <c r="L110" s="50">
        <v>0</v>
      </c>
      <c r="M110" s="57"/>
      <c r="N110" s="57">
        <f>SUM(O110:Q110)</f>
        <v>0</v>
      </c>
      <c r="O110" s="80">
        <v>0</v>
      </c>
      <c r="P110" s="80">
        <v>0</v>
      </c>
      <c r="Q110" s="80">
        <v>0</v>
      </c>
      <c r="R110" s="34"/>
      <c r="S110" s="34"/>
      <c r="T110" s="34"/>
    </row>
    <row r="111" spans="1:20" x14ac:dyDescent="0.2">
      <c r="A111" s="57">
        <v>20</v>
      </c>
      <c r="B111" s="49" t="s">
        <v>1308</v>
      </c>
      <c r="C111" s="84" t="s">
        <v>1414</v>
      </c>
      <c r="D111" s="57">
        <f>SUM(F111:I111)+K111</f>
        <v>7125785.6200000001</v>
      </c>
      <c r="E111" s="34"/>
      <c r="F111" s="50">
        <v>6910623.6100000003</v>
      </c>
      <c r="G111" s="50"/>
      <c r="H111" s="50">
        <v>213936.54</v>
      </c>
      <c r="I111" s="57">
        <f>(L111+M111+N111)</f>
        <v>1225.47</v>
      </c>
      <c r="J111" s="34"/>
      <c r="K111" s="34"/>
      <c r="L111" s="50">
        <v>0</v>
      </c>
      <c r="M111" s="50"/>
      <c r="N111" s="57">
        <f>SUM(O111:Q111)</f>
        <v>1225.47</v>
      </c>
      <c r="O111" s="325">
        <v>1198.6500000000001</v>
      </c>
      <c r="P111" s="325">
        <v>26.82</v>
      </c>
      <c r="Q111" s="50">
        <v>0</v>
      </c>
      <c r="R111" s="34"/>
      <c r="S111" s="34"/>
      <c r="T111" s="34"/>
    </row>
    <row r="112" spans="1:20" x14ac:dyDescent="0.2">
      <c r="A112" s="60">
        <v>21</v>
      </c>
    </row>
    <row r="113" spans="1:17" x14ac:dyDescent="0.2">
      <c r="A113" s="60">
        <v>22</v>
      </c>
    </row>
    <row r="114" spans="1:17" x14ac:dyDescent="0.2">
      <c r="A114" s="60">
        <v>23</v>
      </c>
    </row>
    <row r="115" spans="1:17" x14ac:dyDescent="0.2">
      <c r="A115" s="60">
        <v>24</v>
      </c>
    </row>
    <row r="116" spans="1:17" x14ac:dyDescent="0.2">
      <c r="A116" s="60">
        <v>25</v>
      </c>
    </row>
    <row r="117" spans="1:17" x14ac:dyDescent="0.2">
      <c r="C117" s="58"/>
    </row>
    <row r="118" spans="1:17" x14ac:dyDescent="0.2">
      <c r="B118" s="69" t="s">
        <v>724</v>
      </c>
      <c r="C118" s="58"/>
    </row>
    <row r="119" spans="1:17" x14ac:dyDescent="0.2">
      <c r="B119" s="67" t="s">
        <v>493</v>
      </c>
      <c r="C119" s="58"/>
    </row>
    <row r="120" spans="1:17" x14ac:dyDescent="0.2">
      <c r="A120" s="60">
        <v>1</v>
      </c>
      <c r="B120" s="48" t="s">
        <v>725</v>
      </c>
      <c r="C120" s="51" t="s">
        <v>726</v>
      </c>
      <c r="D120" s="60">
        <f t="shared" ref="D120:D163" ca="1" si="20">SUM(F120:I120)+K120</f>
        <v>6432365889.4400005</v>
      </c>
      <c r="F120" s="60">
        <f ca="1">F637+F676+F729+F744+F751</f>
        <v>5600621961.9331312</v>
      </c>
      <c r="H120" s="60">
        <f ca="1">H637+H676+H729+H744+H751</f>
        <v>382047373.28013313</v>
      </c>
      <c r="I120" s="60">
        <f t="shared" ref="I120:I162" ca="1" si="21">(L120+M120+N120)</f>
        <v>449696554.22673637</v>
      </c>
      <c r="L120" s="60">
        <f ca="1">L637+L676+L729+L744+L751</f>
        <v>202827.6617100786</v>
      </c>
      <c r="M120" s="60"/>
      <c r="N120" s="60">
        <f t="shared" ref="N120:N162" ca="1" si="22">SUM(O120:Q120)</f>
        <v>449493726.56502628</v>
      </c>
      <c r="O120" s="60">
        <f ca="1">O637+O676+O729+O744+O751</f>
        <v>142719287.58349487</v>
      </c>
      <c r="P120" s="60">
        <f ca="1">P637+P676+P729+P744+P751</f>
        <v>306774438.98153138</v>
      </c>
      <c r="Q120" s="60">
        <f ca="1">Q637+Q676+Q729+Q744+Q751</f>
        <v>8.7668504397596189E-12</v>
      </c>
    </row>
    <row r="121" spans="1:17" x14ac:dyDescent="0.2">
      <c r="A121" s="60">
        <v>2</v>
      </c>
      <c r="B121" s="48" t="s">
        <v>727</v>
      </c>
      <c r="C121" s="51" t="s">
        <v>728</v>
      </c>
      <c r="D121" s="60">
        <f t="shared" ca="1" si="20"/>
        <v>5600621961.9331312</v>
      </c>
      <c r="F121" s="60">
        <f ca="1">F120</f>
        <v>5600621961.9331312</v>
      </c>
      <c r="G121" s="68"/>
      <c r="H121" s="68">
        <v>0</v>
      </c>
      <c r="I121" s="60">
        <f t="shared" si="21"/>
        <v>0</v>
      </c>
      <c r="L121" s="68">
        <v>0</v>
      </c>
      <c r="M121" s="68"/>
      <c r="N121" s="60">
        <f t="shared" si="22"/>
        <v>0</v>
      </c>
      <c r="O121" s="68">
        <v>0</v>
      </c>
      <c r="P121" s="68">
        <v>0</v>
      </c>
      <c r="Q121" s="68">
        <v>0</v>
      </c>
    </row>
    <row r="122" spans="1:17" x14ac:dyDescent="0.2">
      <c r="A122" s="60">
        <v>3</v>
      </c>
      <c r="B122" s="48" t="s">
        <v>729</v>
      </c>
      <c r="C122" s="51" t="s">
        <v>730</v>
      </c>
      <c r="D122" s="60">
        <f t="shared" ca="1" si="20"/>
        <v>152351955.20000002</v>
      </c>
      <c r="F122" s="60">
        <f ca="1">F1435</f>
        <v>135498603.05840206</v>
      </c>
      <c r="H122" s="60">
        <f ca="1">H1435</f>
        <v>8347818.5386006702</v>
      </c>
      <c r="I122" s="60">
        <f t="shared" ca="1" si="21"/>
        <v>8505533.6029972769</v>
      </c>
      <c r="L122" s="60">
        <f ca="1">L1435</f>
        <v>4676.9964247401913</v>
      </c>
      <c r="M122" s="60"/>
      <c r="N122" s="60">
        <f t="shared" ca="1" si="22"/>
        <v>8500856.6065725368</v>
      </c>
      <c r="O122" s="60">
        <f ca="1">O1435</f>
        <v>2761610.0696142744</v>
      </c>
      <c r="P122" s="60">
        <f ca="1">P1435</f>
        <v>5739246.5369582623</v>
      </c>
      <c r="Q122" s="60">
        <v>9.533895433979988E-12</v>
      </c>
    </row>
    <row r="123" spans="1:17" x14ac:dyDescent="0.2">
      <c r="A123" s="60">
        <v>4</v>
      </c>
      <c r="B123" s="48" t="s">
        <v>731</v>
      </c>
      <c r="C123" s="51" t="s">
        <v>732</v>
      </c>
      <c r="D123" s="60">
        <f t="shared" ca="1" si="20"/>
        <v>3588357601.6400008</v>
      </c>
      <c r="F123" s="60">
        <f ca="1">SUM(F600:F606)</f>
        <v>3105688241.9405155</v>
      </c>
      <c r="H123" s="60">
        <f ca="1">SUM(H600:H606)</f>
        <v>182387851.30895427</v>
      </c>
      <c r="I123" s="60">
        <f t="shared" ca="1" si="21"/>
        <v>300281508.390531</v>
      </c>
      <c r="L123" s="60">
        <f ca="1">SUM(L600:L606)</f>
        <v>27459.77887819245</v>
      </c>
      <c r="M123" s="60"/>
      <c r="N123" s="60">
        <f t="shared" ca="1" si="22"/>
        <v>300254048.61165279</v>
      </c>
      <c r="O123" s="60">
        <f ca="1">SUM(O600:O606)</f>
        <v>93686881.294061586</v>
      </c>
      <c r="P123" s="60">
        <f ca="1">SUM(P600:P606)</f>
        <v>206567167.31759122</v>
      </c>
      <c r="Q123" s="60">
        <f ca="1">SUM(Q600:Q606)</f>
        <v>0</v>
      </c>
    </row>
    <row r="124" spans="1:17" x14ac:dyDescent="0.2">
      <c r="A124" s="60">
        <v>5</v>
      </c>
      <c r="B124" s="70" t="s">
        <v>740</v>
      </c>
      <c r="C124" s="56" t="s">
        <v>741</v>
      </c>
      <c r="D124" s="60">
        <f t="shared" ca="1" si="20"/>
        <v>86705625.650000006</v>
      </c>
      <c r="F124" s="60">
        <f ca="1">F1417</f>
        <v>77114147.550367326</v>
      </c>
      <c r="H124" s="60">
        <f ca="1">H1417</f>
        <v>4750860.1268153582</v>
      </c>
      <c r="I124" s="60">
        <f t="shared" ca="1" si="21"/>
        <v>4840617.9728173101</v>
      </c>
      <c r="L124" s="60">
        <f ca="1">L1417</f>
        <v>2661.7439903384416</v>
      </c>
      <c r="M124" s="60"/>
      <c r="N124" s="60">
        <f t="shared" ca="1" si="22"/>
        <v>4837956.2288269717</v>
      </c>
      <c r="O124" s="60">
        <f ca="1">O1417</f>
        <v>1571670.8628577269</v>
      </c>
      <c r="P124" s="60">
        <f ca="1">P1417</f>
        <v>3266285.3659692449</v>
      </c>
      <c r="Q124" s="60">
        <f>Q1417</f>
        <v>0</v>
      </c>
    </row>
    <row r="125" spans="1:17" x14ac:dyDescent="0.2">
      <c r="A125" s="60">
        <v>6</v>
      </c>
      <c r="B125" s="48" t="s">
        <v>1026</v>
      </c>
      <c r="C125" s="51" t="s">
        <v>1027</v>
      </c>
      <c r="D125" s="60">
        <f t="shared" ca="1" si="20"/>
        <v>28696483.460000005</v>
      </c>
      <c r="F125" s="60">
        <f ca="1">SUM(F612:F619)</f>
        <v>24836524.438375533</v>
      </c>
      <c r="H125" s="60">
        <f ca="1">SUM(H612:H619)</f>
        <v>1458575.353805396</v>
      </c>
      <c r="I125" s="60">
        <f t="shared" ca="1" si="21"/>
        <v>2401383.6678190748</v>
      </c>
      <c r="L125" s="60">
        <f ca="1">SUM(L612:L619)</f>
        <v>219.59881869999941</v>
      </c>
      <c r="M125" s="60"/>
      <c r="N125" s="60">
        <f t="shared" ca="1" si="22"/>
        <v>2401164.069000375</v>
      </c>
      <c r="O125" s="60">
        <f ca="1">SUM(O612:O619)</f>
        <v>749224.11251467641</v>
      </c>
      <c r="P125" s="60">
        <f ca="1">SUM(P612:P619)</f>
        <v>1651939.9564856987</v>
      </c>
      <c r="Q125" s="60">
        <f ca="1">SUM(Q612:Q619)</f>
        <v>0</v>
      </c>
    </row>
    <row r="126" spans="1:17" x14ac:dyDescent="0.2">
      <c r="A126" s="60">
        <v>7</v>
      </c>
      <c r="B126" s="48" t="s">
        <v>1028</v>
      </c>
      <c r="C126" s="51" t="s">
        <v>1029</v>
      </c>
      <c r="D126" s="60">
        <f t="shared" ca="1" si="20"/>
        <v>531291429.65999997</v>
      </c>
      <c r="F126" s="60">
        <f ca="1">SUM(F625:F632)</f>
        <v>459827511.44554573</v>
      </c>
      <c r="H126" s="60">
        <f ca="1">SUM(H625:H632)</f>
        <v>27004304.763344299</v>
      </c>
      <c r="I126" s="60">
        <f t="shared" ca="1" si="21"/>
        <v>44459613.451109976</v>
      </c>
      <c r="L126" s="60">
        <f ca="1">SUM(L625:L632)</f>
        <v>4065.6887629244661</v>
      </c>
      <c r="M126" s="60"/>
      <c r="N126" s="60">
        <f t="shared" ca="1" si="22"/>
        <v>44455547.76234705</v>
      </c>
      <c r="O126" s="60">
        <f ca="1">SUM(O625:O632)</f>
        <v>13871258.840077652</v>
      </c>
      <c r="P126" s="60">
        <f ca="1">SUM(P625:P632)</f>
        <v>30584288.9222694</v>
      </c>
      <c r="Q126" s="60">
        <f ca="1">SUM(Q625:Q632)</f>
        <v>0</v>
      </c>
    </row>
    <row r="127" spans="1:17" x14ac:dyDescent="0.2">
      <c r="A127" s="60">
        <v>8</v>
      </c>
      <c r="B127" s="48" t="s">
        <v>1030</v>
      </c>
      <c r="C127" s="51" t="s">
        <v>1031</v>
      </c>
      <c r="D127" s="60">
        <f t="shared" ca="1" si="20"/>
        <v>615216199.21999991</v>
      </c>
      <c r="F127" s="60">
        <f ca="1">F654</f>
        <v>528497002.23105335</v>
      </c>
      <c r="H127" s="60">
        <f ca="1">H654</f>
        <v>32231464.425849125</v>
      </c>
      <c r="I127" s="60">
        <f t="shared" ca="1" si="21"/>
        <v>54487732.563097522</v>
      </c>
      <c r="L127" s="60">
        <f ca="1">L654</f>
        <v>4672.8485567452108</v>
      </c>
      <c r="M127" s="60"/>
      <c r="N127" s="60">
        <f t="shared" ca="1" si="22"/>
        <v>54483059.71454078</v>
      </c>
      <c r="O127" s="60">
        <f ca="1">O654</f>
        <v>17000096.98991733</v>
      </c>
      <c r="P127" s="60">
        <f ca="1">P654</f>
        <v>37482962.724623449</v>
      </c>
      <c r="Q127" s="60">
        <f ca="1">Q654</f>
        <v>0</v>
      </c>
    </row>
    <row r="128" spans="1:17" x14ac:dyDescent="0.2">
      <c r="A128" s="60">
        <v>9</v>
      </c>
      <c r="B128" s="48" t="s">
        <v>1032</v>
      </c>
      <c r="C128" s="51" t="s">
        <v>1033</v>
      </c>
      <c r="D128" s="60">
        <f t="shared" ca="1" si="20"/>
        <v>44499355.719999999</v>
      </c>
      <c r="F128" s="60">
        <f ca="1">F665</f>
        <v>0</v>
      </c>
      <c r="H128" s="60">
        <f ca="1">H665</f>
        <v>44494822.285232827</v>
      </c>
      <c r="I128" s="60">
        <f t="shared" ca="1" si="21"/>
        <v>4533.4347671684909</v>
      </c>
      <c r="L128" s="60">
        <f ca="1">L665</f>
        <v>0</v>
      </c>
      <c r="M128" s="60"/>
      <c r="N128" s="60">
        <f t="shared" ca="1" si="22"/>
        <v>4533.4347671684909</v>
      </c>
      <c r="O128" s="60">
        <f ca="1">O665</f>
        <v>1414.5466708940914</v>
      </c>
      <c r="P128" s="60">
        <f ca="1">P665</f>
        <v>3118.8880962743997</v>
      </c>
      <c r="Q128" s="60">
        <f ca="1">Q665</f>
        <v>0</v>
      </c>
    </row>
    <row r="129" spans="1:17" x14ac:dyDescent="0.2">
      <c r="A129" s="60">
        <v>10</v>
      </c>
      <c r="B129" s="48" t="s">
        <v>1034</v>
      </c>
      <c r="C129" s="51" t="s">
        <v>1035</v>
      </c>
      <c r="D129" s="60">
        <f t="shared" ca="1" si="20"/>
        <v>52729785.129999995</v>
      </c>
      <c r="F129" s="60">
        <f ca="1">F665+F674</f>
        <v>7504807.6519980747</v>
      </c>
      <c r="H129" s="60">
        <f ca="1">H665+H674</f>
        <v>44494822.285232827</v>
      </c>
      <c r="I129" s="60">
        <f t="shared" ca="1" si="21"/>
        <v>730155.19276909239</v>
      </c>
      <c r="L129" s="60">
        <f ca="1">L665+L674</f>
        <v>66.355777719166497</v>
      </c>
      <c r="M129" s="60"/>
      <c r="N129" s="60">
        <f t="shared" ca="1" si="22"/>
        <v>730088.83699137322</v>
      </c>
      <c r="O129" s="60">
        <f ca="1">O665+O674</f>
        <v>227806.24115346465</v>
      </c>
      <c r="P129" s="60">
        <f ca="1">P665+P674</f>
        <v>502282.59583790862</v>
      </c>
      <c r="Q129" s="60">
        <f ca="1">Q665+Q674</f>
        <v>0</v>
      </c>
    </row>
    <row r="130" spans="1:17" x14ac:dyDescent="0.2">
      <c r="A130" s="60">
        <v>11</v>
      </c>
      <c r="B130" s="48" t="s">
        <v>1036</v>
      </c>
      <c r="C130" s="51" t="s">
        <v>1037</v>
      </c>
      <c r="D130" s="60">
        <f t="shared" ca="1" si="20"/>
        <v>1433759656.6499999</v>
      </c>
      <c r="F130" s="60">
        <f ca="1">F729</f>
        <v>1348948019.5461249</v>
      </c>
      <c r="H130" s="60">
        <f ca="1">H729</f>
        <v>80327605.579999998</v>
      </c>
      <c r="I130" s="60">
        <f t="shared" ca="1" si="21"/>
        <v>4484031.5238750307</v>
      </c>
      <c r="L130" s="60">
        <f ca="1">L729</f>
        <v>162042.68</v>
      </c>
      <c r="M130" s="60"/>
      <c r="N130" s="60">
        <f t="shared" ca="1" si="22"/>
        <v>4321988.843875031</v>
      </c>
      <c r="O130" s="60">
        <f ca="1">O729</f>
        <v>3714063.0443994557</v>
      </c>
      <c r="P130" s="60">
        <f ca="1">P729</f>
        <v>607925.79947557533</v>
      </c>
      <c r="Q130" s="60">
        <f ca="1">Q729</f>
        <v>0</v>
      </c>
    </row>
    <row r="131" spans="1:17" x14ac:dyDescent="0.2">
      <c r="A131" s="60">
        <v>12</v>
      </c>
      <c r="B131" s="48" t="s">
        <v>1038</v>
      </c>
      <c r="C131" s="51" t="s">
        <v>1039</v>
      </c>
      <c r="D131" s="60">
        <f t="shared" ca="1" si="20"/>
        <v>1353270008.3899999</v>
      </c>
      <c r="F131" s="60">
        <f ca="1">F698</f>
        <v>1348948019.5461249</v>
      </c>
      <c r="H131" s="60">
        <f ca="1">H698</f>
        <v>0</v>
      </c>
      <c r="I131" s="60">
        <f t="shared" ca="1" si="21"/>
        <v>4321988.843875031</v>
      </c>
      <c r="L131" s="60">
        <f ca="1">L698</f>
        <v>0</v>
      </c>
      <c r="M131" s="60"/>
      <c r="N131" s="60">
        <f t="shared" ca="1" si="22"/>
        <v>4321988.843875031</v>
      </c>
      <c r="O131" s="60">
        <f ca="1">O698</f>
        <v>3714063.0443994557</v>
      </c>
      <c r="P131" s="60">
        <f ca="1">P698</f>
        <v>607925.79947557533</v>
      </c>
      <c r="Q131" s="60">
        <f ca="1">Q698</f>
        <v>0</v>
      </c>
    </row>
    <row r="132" spans="1:17" x14ac:dyDescent="0.2">
      <c r="A132" s="60">
        <v>13</v>
      </c>
      <c r="B132" s="48" t="s">
        <v>1040</v>
      </c>
      <c r="C132" s="51" t="s">
        <v>1041</v>
      </c>
      <c r="D132" s="60">
        <f t="shared" ca="1" si="20"/>
        <v>140094551.55999997</v>
      </c>
      <c r="F132" s="60">
        <f ca="1">F744</f>
        <v>124597127.79894324</v>
      </c>
      <c r="H132" s="60">
        <f ca="1">H744</f>
        <v>7676198.7933418741</v>
      </c>
      <c r="I132" s="60">
        <f t="shared" ca="1" si="21"/>
        <v>7821224.9677148508</v>
      </c>
      <c r="L132" s="60">
        <f ca="1">L744</f>
        <v>4300.7109157972936</v>
      </c>
      <c r="M132" s="60"/>
      <c r="N132" s="60">
        <f t="shared" ca="1" si="22"/>
        <v>7816924.2567990534</v>
      </c>
      <c r="O132" s="60">
        <f ca="1">O744</f>
        <v>2539426.0531694978</v>
      </c>
      <c r="P132" s="60">
        <f ca="1">P744</f>
        <v>5277498.2036295561</v>
      </c>
      <c r="Q132" s="60">
        <f ca="1">Q744</f>
        <v>8.7668504397596189E-12</v>
      </c>
    </row>
    <row r="133" spans="1:17" x14ac:dyDescent="0.2">
      <c r="A133" s="60">
        <v>14</v>
      </c>
      <c r="B133" s="48" t="s">
        <v>1042</v>
      </c>
      <c r="C133" s="56" t="s">
        <v>1318</v>
      </c>
      <c r="D133" s="60">
        <f t="shared" ca="1" si="20"/>
        <v>55918.829999999994</v>
      </c>
      <c r="F133" s="60">
        <f ca="1">F594</f>
        <v>55918.829999999994</v>
      </c>
      <c r="H133" s="60">
        <f ca="1">H594</f>
        <v>0</v>
      </c>
      <c r="I133" s="60">
        <f t="shared" ca="1" si="21"/>
        <v>0</v>
      </c>
      <c r="L133" s="60">
        <f ca="1">L594</f>
        <v>0</v>
      </c>
      <c r="M133" s="60"/>
      <c r="N133" s="60">
        <f t="shared" ca="1" si="22"/>
        <v>0</v>
      </c>
      <c r="O133" s="60">
        <f t="shared" ref="O133:Q134" ca="1" si="23">O594</f>
        <v>0</v>
      </c>
      <c r="P133" s="60">
        <f t="shared" ca="1" si="23"/>
        <v>0</v>
      </c>
      <c r="Q133" s="60">
        <f t="shared" ca="1" si="23"/>
        <v>0</v>
      </c>
    </row>
    <row r="134" spans="1:17" x14ac:dyDescent="0.2">
      <c r="A134" s="60">
        <v>15</v>
      </c>
      <c r="B134" s="48" t="s">
        <v>751</v>
      </c>
      <c r="C134" s="56" t="s">
        <v>1319</v>
      </c>
      <c r="D134" s="60">
        <f t="shared" ca="1" si="20"/>
        <v>60103758.670000002</v>
      </c>
      <c r="F134" s="60">
        <f ca="1">F595</f>
        <v>52331978.0913826</v>
      </c>
      <c r="H134" s="60">
        <f ca="1">H595</f>
        <v>3569834.7262605163</v>
      </c>
      <c r="I134" s="60">
        <f ca="1">(L134+M134+N134)</f>
        <v>4201945.8523568874</v>
      </c>
      <c r="L134" s="60">
        <f ca="1">L595</f>
        <v>1895.2132140114129</v>
      </c>
      <c r="M134" s="60"/>
      <c r="N134" s="60">
        <f ca="1">SUM(O134:Q134)</f>
        <v>4200050.6391428756</v>
      </c>
      <c r="O134" s="60">
        <f t="shared" ca="1" si="23"/>
        <v>1333563.072423341</v>
      </c>
      <c r="P134" s="60">
        <f t="shared" ca="1" si="23"/>
        <v>2866487.5667195348</v>
      </c>
      <c r="Q134" s="60">
        <f t="shared" ca="1" si="23"/>
        <v>8.1917084970607769E-14</v>
      </c>
    </row>
    <row r="135" spans="1:17" x14ac:dyDescent="0.2">
      <c r="A135" s="60">
        <v>16</v>
      </c>
      <c r="B135" s="48" t="s">
        <v>1043</v>
      </c>
      <c r="C135" s="51" t="s">
        <v>1044</v>
      </c>
      <c r="D135" s="60">
        <f t="shared" ca="1" si="20"/>
        <v>4148345514.7600012</v>
      </c>
      <c r="F135" s="60">
        <f ca="1">SUM(F600:F606,F612:F619,F625:F632)</f>
        <v>3590352277.8244371</v>
      </c>
      <c r="H135" s="60">
        <f ca="1">SUM(H600:H606,H612:H619,H625:H632)</f>
        <v>210850731.42610395</v>
      </c>
      <c r="I135" s="60">
        <f t="shared" ca="1" si="21"/>
        <v>347142505.50946003</v>
      </c>
      <c r="L135" s="60">
        <f ca="1">SUM(L600:L606,L612:L619,L625:L632)</f>
        <v>31745.066459816921</v>
      </c>
      <c r="M135" s="60"/>
      <c r="N135" s="60">
        <f t="shared" ca="1" si="22"/>
        <v>347110760.4430002</v>
      </c>
      <c r="O135" s="60">
        <f ca="1">SUM(O600:O606,O612:O619,O625:O632)</f>
        <v>108307364.24665391</v>
      </c>
      <c r="P135" s="60">
        <f ca="1">SUM(P600:P606,P612:P619,P625:P632)</f>
        <v>238803396.19634631</v>
      </c>
      <c r="Q135" s="60">
        <f ca="1">SUM(Q600:Q606,Q612:Q619,Q625:Q632)</f>
        <v>0</v>
      </c>
    </row>
    <row r="136" spans="1:17" x14ac:dyDescent="0.2">
      <c r="A136" s="60">
        <v>17</v>
      </c>
      <c r="B136" s="48" t="s">
        <v>1045</v>
      </c>
      <c r="C136" s="51" t="s">
        <v>1046</v>
      </c>
      <c r="D136" s="60">
        <f t="shared" ca="1" si="20"/>
        <v>4189773097.6700006</v>
      </c>
      <c r="F136" s="60">
        <f ca="1">F637+F747</f>
        <v>3590352277.8244367</v>
      </c>
      <c r="H136" s="60">
        <f ca="1">H637+H747</f>
        <v>217317282.19570932</v>
      </c>
      <c r="I136" s="60">
        <f t="shared" ca="1" si="21"/>
        <v>382103537.64985466</v>
      </c>
      <c r="L136" s="60">
        <f ca="1">L637+L747</f>
        <v>31745.066459816917</v>
      </c>
      <c r="M136" s="60"/>
      <c r="N136" s="60">
        <f t="shared" ca="1" si="22"/>
        <v>382071792.58339483</v>
      </c>
      <c r="O136" s="60">
        <f ca="1">O637+O747</f>
        <v>119216093.31525475</v>
      </c>
      <c r="P136" s="60">
        <f ca="1">P637+P747</f>
        <v>262855699.26814008</v>
      </c>
      <c r="Q136" s="60">
        <f ca="1">Q637+Q747</f>
        <v>0</v>
      </c>
    </row>
    <row r="137" spans="1:17" x14ac:dyDescent="0.2">
      <c r="A137" s="60">
        <v>18</v>
      </c>
      <c r="B137" s="48" t="s">
        <v>1047</v>
      </c>
      <c r="C137" s="51" t="s">
        <v>1048</v>
      </c>
      <c r="D137" s="60">
        <f t="shared" ca="1" si="20"/>
        <v>667945984.35000002</v>
      </c>
      <c r="F137" s="60">
        <f ca="1">F676</f>
        <v>536001809.88305146</v>
      </c>
      <c r="H137" s="60">
        <f ca="1">H676</f>
        <v>76726286.711081952</v>
      </c>
      <c r="I137" s="60">
        <f t="shared" ca="1" si="21"/>
        <v>55217887.755866617</v>
      </c>
      <c r="L137" s="60">
        <f ca="1">L676</f>
        <v>4739.2043344643771</v>
      </c>
      <c r="M137" s="60"/>
      <c r="N137" s="60">
        <f t="shared" ca="1" si="22"/>
        <v>55213148.551532149</v>
      </c>
      <c r="O137" s="60">
        <f ca="1">O676</f>
        <v>17227903.231070798</v>
      </c>
      <c r="P137" s="60">
        <f ca="1">P676</f>
        <v>37985245.320461355</v>
      </c>
      <c r="Q137" s="60">
        <f ca="1">Q676</f>
        <v>0</v>
      </c>
    </row>
    <row r="138" spans="1:17" x14ac:dyDescent="0.2">
      <c r="A138" s="60">
        <v>19</v>
      </c>
      <c r="B138" s="48" t="s">
        <v>1055</v>
      </c>
      <c r="C138" s="56" t="s">
        <v>636</v>
      </c>
      <c r="D138" s="60">
        <f t="shared" ca="1" si="20"/>
        <v>33590544.902089998</v>
      </c>
      <c r="F138" s="60">
        <f ca="1">SUM(F831:F834)</f>
        <v>29111109.374611676</v>
      </c>
      <c r="H138" s="60">
        <f ca="1">SUM(H831:H834)</f>
        <v>1980950.5748781229</v>
      </c>
      <c r="I138" s="60">
        <f t="shared" ca="1" si="21"/>
        <v>2498484.9526002025</v>
      </c>
      <c r="L138" s="60">
        <f ca="1">SUM(L831:L834)</f>
        <v>894.65912688039043</v>
      </c>
      <c r="M138" s="60"/>
      <c r="N138" s="60">
        <f t="shared" ca="1" si="22"/>
        <v>2497590.2934733219</v>
      </c>
      <c r="O138" s="60">
        <f ca="1">SUM(O831:O834)</f>
        <v>789353.44789765088</v>
      </c>
      <c r="P138" s="60">
        <f ca="1">SUM(P831:P834)</f>
        <v>1708236.8455756712</v>
      </c>
      <c r="Q138" s="60">
        <f ca="1">SUM(Q831:Q834)</f>
        <v>0</v>
      </c>
    </row>
    <row r="139" spans="1:17" x14ac:dyDescent="0.2">
      <c r="A139" s="60">
        <v>20</v>
      </c>
      <c r="B139" s="48" t="s">
        <v>1057</v>
      </c>
      <c r="C139" s="56" t="s">
        <v>1320</v>
      </c>
      <c r="D139" s="60">
        <f t="shared" ca="1" si="20"/>
        <v>7836209.5800000001</v>
      </c>
      <c r="F139" s="60">
        <f ca="1">F1072+F1080</f>
        <v>6889472.5456418619</v>
      </c>
      <c r="H139" s="60">
        <f ca="1">H1072+H1080</f>
        <v>449041.99706130149</v>
      </c>
      <c r="I139" s="60">
        <f t="shared" ca="1" si="21"/>
        <v>497695.03729683679</v>
      </c>
      <c r="L139" s="60">
        <f ca="1">L1072+L1080</f>
        <v>244.12451392463612</v>
      </c>
      <c r="M139" s="60"/>
      <c r="N139" s="60">
        <f t="shared" ca="1" si="22"/>
        <v>497450.91278291214</v>
      </c>
      <c r="O139" s="60">
        <f ca="1">O1072+O1080</f>
        <v>159406.70776084487</v>
      </c>
      <c r="P139" s="60">
        <f ca="1">P1072+P1080</f>
        <v>338044.2050220673</v>
      </c>
      <c r="Q139" s="60">
        <f ca="1">Q1072+Q1080</f>
        <v>2.2863700491011242E-13</v>
      </c>
    </row>
    <row r="140" spans="1:17" s="34" customFormat="1" x14ac:dyDescent="0.2">
      <c r="A140" s="95">
        <v>21</v>
      </c>
      <c r="B140" s="49" t="s">
        <v>1060</v>
      </c>
      <c r="C140" s="84" t="s">
        <v>1409</v>
      </c>
      <c r="D140" s="57">
        <f t="shared" ca="1" si="20"/>
        <v>1320135670.366627</v>
      </c>
      <c r="F140" s="57">
        <f ca="1">F917</f>
        <v>1320135670.366627</v>
      </c>
      <c r="G140" s="85"/>
      <c r="H140" s="85">
        <v>0</v>
      </c>
      <c r="I140" s="57">
        <f t="shared" si="21"/>
        <v>0</v>
      </c>
      <c r="L140" s="85">
        <v>0</v>
      </c>
      <c r="M140" s="85"/>
      <c r="N140" s="57">
        <f t="shared" si="22"/>
        <v>0</v>
      </c>
      <c r="O140" s="85">
        <v>0</v>
      </c>
      <c r="P140" s="85">
        <v>0</v>
      </c>
      <c r="Q140" s="85">
        <v>0</v>
      </c>
    </row>
    <row r="141" spans="1:17" x14ac:dyDescent="0.2">
      <c r="A141" s="66">
        <v>22</v>
      </c>
      <c r="B141" s="48" t="s">
        <v>1061</v>
      </c>
      <c r="C141" s="51" t="s">
        <v>1062</v>
      </c>
      <c r="D141" s="60">
        <f t="shared" ca="1" si="20"/>
        <v>22217263.145792887</v>
      </c>
      <c r="F141" s="68">
        <v>0</v>
      </c>
      <c r="G141" s="68"/>
      <c r="H141" s="68">
        <v>0</v>
      </c>
      <c r="I141" s="60">
        <f t="shared" ca="1" si="21"/>
        <v>22217263.145792887</v>
      </c>
      <c r="L141" s="68">
        <v>0</v>
      </c>
      <c r="M141" s="68"/>
      <c r="N141" s="60">
        <f t="shared" ca="1" si="22"/>
        <v>22217263.145792887</v>
      </c>
      <c r="O141" s="60">
        <f ca="1">O806+O807</f>
        <v>6932349.8039188348</v>
      </c>
      <c r="P141" s="60">
        <f ca="1">P806+P807</f>
        <v>15284913.34187405</v>
      </c>
      <c r="Q141" s="60">
        <f ca="1">Q806+Q807</f>
        <v>0</v>
      </c>
    </row>
    <row r="142" spans="1:17" x14ac:dyDescent="0.2">
      <c r="A142" s="60">
        <v>23</v>
      </c>
      <c r="B142" s="48" t="s">
        <v>1063</v>
      </c>
      <c r="C142" s="51" t="s">
        <v>1064</v>
      </c>
      <c r="D142" s="60">
        <f t="shared" ca="1" si="20"/>
        <v>3730581.5202978086</v>
      </c>
      <c r="F142" s="68">
        <v>0</v>
      </c>
      <c r="G142" s="68"/>
      <c r="H142" s="68">
        <v>0</v>
      </c>
      <c r="I142" s="60">
        <f t="shared" ca="1" si="21"/>
        <v>3730581.5202978086</v>
      </c>
      <c r="L142" s="68">
        <v>0</v>
      </c>
      <c r="M142" s="68"/>
      <c r="N142" s="60">
        <f t="shared" ca="1" si="22"/>
        <v>3730581.5202978086</v>
      </c>
      <c r="O142" s="60">
        <f ca="1">SUM(O812:O815)</f>
        <v>1164036.0876599227</v>
      </c>
      <c r="P142" s="60">
        <f ca="1">SUM(P812:P815)</f>
        <v>2566545.4326378861</v>
      </c>
      <c r="Q142" s="60">
        <f ca="1">SUM(Q812:Q815)</f>
        <v>0</v>
      </c>
    </row>
    <row r="143" spans="1:17" x14ac:dyDescent="0.2">
      <c r="A143" s="60">
        <v>24</v>
      </c>
      <c r="B143" s="48" t="s">
        <v>1065</v>
      </c>
      <c r="C143" s="51" t="s">
        <v>1066</v>
      </c>
      <c r="D143" s="60">
        <f t="shared" ca="1" si="20"/>
        <v>971424.20798680035</v>
      </c>
      <c r="F143" s="68">
        <v>0</v>
      </c>
      <c r="G143" s="68"/>
      <c r="H143" s="68">
        <v>0</v>
      </c>
      <c r="I143" s="60">
        <f t="shared" ca="1" si="21"/>
        <v>971424.20798680035</v>
      </c>
      <c r="L143" s="68">
        <v>0</v>
      </c>
      <c r="M143" s="68"/>
      <c r="N143" s="60">
        <f t="shared" ca="1" si="22"/>
        <v>971424.20798680035</v>
      </c>
      <c r="O143" s="60">
        <f ca="1">O860+O859</f>
        <v>303109.00013058179</v>
      </c>
      <c r="P143" s="60">
        <f ca="1">P860+P859</f>
        <v>668315.20785621856</v>
      </c>
      <c r="Q143" s="60">
        <f ca="1">Q860+Q859</f>
        <v>0</v>
      </c>
    </row>
    <row r="144" spans="1:17" x14ac:dyDescent="0.2">
      <c r="A144" s="60">
        <v>25</v>
      </c>
      <c r="B144" s="48" t="s">
        <v>1067</v>
      </c>
      <c r="C144" s="51" t="s">
        <v>1068</v>
      </c>
      <c r="D144" s="60">
        <f t="shared" ca="1" si="20"/>
        <v>3614550.9721758543</v>
      </c>
      <c r="F144" s="68">
        <v>0</v>
      </c>
      <c r="G144" s="68"/>
      <c r="H144" s="68">
        <v>0</v>
      </c>
      <c r="I144" s="60">
        <f t="shared" ca="1" si="21"/>
        <v>3614550.9721758543</v>
      </c>
      <c r="L144" s="68">
        <v>0</v>
      </c>
      <c r="M144" s="68"/>
      <c r="N144" s="60">
        <f t="shared" ca="1" si="22"/>
        <v>3614550.9721758543</v>
      </c>
      <c r="O144" s="60">
        <f ca="1">SUM(O864:O867)</f>
        <v>1127831.612687309</v>
      </c>
      <c r="P144" s="60">
        <f ca="1">SUM(P864:P867)</f>
        <v>2486719.3594885455</v>
      </c>
      <c r="Q144" s="60">
        <f ca="1">SUM(Q864:Q867)</f>
        <v>0</v>
      </c>
    </row>
    <row r="145" spans="1:17" x14ac:dyDescent="0.2">
      <c r="A145" s="60">
        <v>26</v>
      </c>
      <c r="B145" s="48" t="s">
        <v>1069</v>
      </c>
      <c r="C145" s="51" t="s">
        <v>1070</v>
      </c>
      <c r="D145" s="60">
        <f t="shared" ca="1" si="20"/>
        <v>615216199.21999991</v>
      </c>
      <c r="F145" s="60">
        <f ca="1">F654</f>
        <v>528497002.23105335</v>
      </c>
      <c r="H145" s="60">
        <f ca="1">H654</f>
        <v>32231464.425849125</v>
      </c>
      <c r="I145" s="60">
        <f t="shared" ca="1" si="21"/>
        <v>54487732.563097522</v>
      </c>
      <c r="L145" s="60">
        <f ca="1">L654</f>
        <v>4672.8485567452108</v>
      </c>
      <c r="M145" s="60"/>
      <c r="N145" s="60">
        <f t="shared" ca="1" si="22"/>
        <v>54483059.71454078</v>
      </c>
      <c r="O145" s="60">
        <f ca="1">O654</f>
        <v>17000096.98991733</v>
      </c>
      <c r="P145" s="60">
        <f ca="1">P654</f>
        <v>37482962.724623449</v>
      </c>
      <c r="Q145" s="60">
        <f ca="1">Q654</f>
        <v>0</v>
      </c>
    </row>
    <row r="146" spans="1:17" x14ac:dyDescent="0.2">
      <c r="A146" s="60">
        <v>27</v>
      </c>
      <c r="B146" s="48" t="s">
        <v>1071</v>
      </c>
      <c r="C146" s="51" t="s">
        <v>1072</v>
      </c>
      <c r="D146" s="60">
        <f t="shared" ca="1" si="20"/>
        <v>52729785.129999995</v>
      </c>
      <c r="F146" s="60">
        <f ca="1">F665+F674</f>
        <v>7504807.6519980747</v>
      </c>
      <c r="H146" s="60">
        <f ca="1">H665+H674</f>
        <v>44494822.285232827</v>
      </c>
      <c r="I146" s="60">
        <f t="shared" ca="1" si="21"/>
        <v>730155.19276909239</v>
      </c>
      <c r="L146" s="60">
        <f ca="1">L665+L674</f>
        <v>66.355777719166497</v>
      </c>
      <c r="M146" s="60"/>
      <c r="N146" s="60">
        <f t="shared" ca="1" si="22"/>
        <v>730088.83699137322</v>
      </c>
      <c r="O146" s="60">
        <f ca="1">O665+O674</f>
        <v>227806.24115346465</v>
      </c>
      <c r="P146" s="60">
        <f ca="1">P665+P674</f>
        <v>502282.59583790862</v>
      </c>
      <c r="Q146" s="60">
        <f ca="1">Q665+Q674</f>
        <v>0</v>
      </c>
    </row>
    <row r="147" spans="1:17" x14ac:dyDescent="0.2">
      <c r="A147" s="60">
        <v>28</v>
      </c>
      <c r="B147" s="48" t="s">
        <v>1073</v>
      </c>
      <c r="C147" s="56" t="s">
        <v>1321</v>
      </c>
      <c r="D147" s="60">
        <f t="shared" ca="1" si="20"/>
        <v>580724064.02999985</v>
      </c>
      <c r="F147" s="60">
        <f ca="1">F685+F686+F704+F705+F721+F722</f>
        <v>537135304.86999989</v>
      </c>
      <c r="H147" s="60">
        <f ca="1">H685+H686+H704+H705+H721+H722</f>
        <v>43493881.739999995</v>
      </c>
      <c r="I147" s="60">
        <f t="shared" ca="1" si="21"/>
        <v>94877.42</v>
      </c>
      <c r="L147" s="60">
        <f ca="1">L685+L686+L704+L705+L721+L722</f>
        <v>94877.42</v>
      </c>
      <c r="M147" s="60"/>
      <c r="N147" s="60">
        <f t="shared" ca="1" si="22"/>
        <v>0</v>
      </c>
      <c r="O147" s="60">
        <f ca="1">O685+O686+O704+O705+O721+O722</f>
        <v>0</v>
      </c>
      <c r="P147" s="60">
        <f ca="1">P685+P686+P704+P705+P721+P722</f>
        <v>0</v>
      </c>
      <c r="Q147" s="60">
        <f ca="1">Q685+Q686+Q704+Q705+Q721+Q722</f>
        <v>0</v>
      </c>
    </row>
    <row r="148" spans="1:17" x14ac:dyDescent="0.2">
      <c r="A148" s="60">
        <v>29</v>
      </c>
      <c r="B148" s="48" t="s">
        <v>1074</v>
      </c>
      <c r="C148" s="51" t="s">
        <v>1075</v>
      </c>
      <c r="D148" s="60">
        <f t="shared" ca="1" si="20"/>
        <v>6492570022.5200014</v>
      </c>
      <c r="F148" s="60">
        <f ca="1">F753</f>
        <v>5653048566.0583582</v>
      </c>
      <c r="H148" s="60">
        <f ca="1">H753</f>
        <v>385619848.42484289</v>
      </c>
      <c r="I148" s="60">
        <f t="shared" ca="1" si="21"/>
        <v>453901608.03680044</v>
      </c>
      <c r="L148" s="60">
        <f ca="1">L753</f>
        <v>204724.27671333775</v>
      </c>
      <c r="M148" s="60"/>
      <c r="N148" s="60">
        <f t="shared" ca="1" si="22"/>
        <v>453696883.76008713</v>
      </c>
      <c r="O148" s="60">
        <f ca="1">O753</f>
        <v>144053837.02218154</v>
      </c>
      <c r="P148" s="60">
        <f ca="1">P753</f>
        <v>309643046.73790562</v>
      </c>
      <c r="Q148" s="60">
        <f ca="1">Q753</f>
        <v>8.8488281144771059E-12</v>
      </c>
    </row>
    <row r="149" spans="1:17" x14ac:dyDescent="0.2">
      <c r="A149" s="60">
        <v>30</v>
      </c>
      <c r="B149" s="48" t="s">
        <v>1076</v>
      </c>
      <c r="C149" s="51" t="s">
        <v>1077</v>
      </c>
      <c r="D149" s="60">
        <f t="shared" ca="1" si="20"/>
        <v>5653048566.0583582</v>
      </c>
      <c r="F149" s="60">
        <f ca="1">F753</f>
        <v>5653048566.0583582</v>
      </c>
      <c r="G149" s="68"/>
      <c r="H149" s="68">
        <v>0</v>
      </c>
      <c r="I149" s="60">
        <f t="shared" si="21"/>
        <v>0</v>
      </c>
      <c r="L149" s="68">
        <v>0</v>
      </c>
      <c r="M149" s="68"/>
      <c r="N149" s="60">
        <f t="shared" si="22"/>
        <v>0</v>
      </c>
      <c r="O149" s="68">
        <v>0</v>
      </c>
      <c r="P149" s="68">
        <v>0</v>
      </c>
      <c r="Q149" s="68">
        <v>0</v>
      </c>
    </row>
    <row r="150" spans="1:17" x14ac:dyDescent="0.2">
      <c r="A150" s="60">
        <v>31</v>
      </c>
      <c r="B150" s="48" t="s">
        <v>1078</v>
      </c>
      <c r="C150" s="51" t="s">
        <v>1079</v>
      </c>
      <c r="D150" s="60">
        <f t="shared" ca="1" si="20"/>
        <v>6106745449.8184452</v>
      </c>
      <c r="F150" s="60">
        <f ca="1">F753</f>
        <v>5653048566.0583582</v>
      </c>
      <c r="G150" s="68"/>
      <c r="H150" s="68">
        <v>0</v>
      </c>
      <c r="I150" s="60">
        <f t="shared" ca="1" si="21"/>
        <v>453696883.76008713</v>
      </c>
      <c r="L150" s="68">
        <v>0</v>
      </c>
      <c r="M150" s="68"/>
      <c r="N150" s="60">
        <f t="shared" ca="1" si="22"/>
        <v>453696883.76008713</v>
      </c>
      <c r="O150" s="60">
        <f ca="1">O753</f>
        <v>144053837.02218154</v>
      </c>
      <c r="P150" s="60">
        <f ca="1">P753</f>
        <v>309643046.73790562</v>
      </c>
      <c r="Q150" s="60">
        <f ca="1">Q753</f>
        <v>8.8488281144771059E-12</v>
      </c>
    </row>
    <row r="151" spans="1:17" x14ac:dyDescent="0.2">
      <c r="A151" s="60">
        <v>32</v>
      </c>
      <c r="B151" s="48" t="s">
        <v>1080</v>
      </c>
      <c r="C151" s="51" t="s">
        <v>1081</v>
      </c>
      <c r="D151" s="60">
        <f t="shared" ca="1" si="20"/>
        <v>385619848.42484289</v>
      </c>
      <c r="F151" s="68">
        <v>0</v>
      </c>
      <c r="G151" s="68"/>
      <c r="H151" s="60">
        <f ca="1">H753</f>
        <v>385619848.42484289</v>
      </c>
      <c r="I151" s="60">
        <f t="shared" si="21"/>
        <v>0</v>
      </c>
      <c r="L151" s="68">
        <v>0</v>
      </c>
      <c r="M151" s="60"/>
      <c r="N151" s="60">
        <f t="shared" si="22"/>
        <v>0</v>
      </c>
      <c r="O151" s="68">
        <v>0</v>
      </c>
      <c r="P151" s="68">
        <v>0</v>
      </c>
      <c r="Q151" s="68">
        <v>0</v>
      </c>
    </row>
    <row r="152" spans="1:17" x14ac:dyDescent="0.2">
      <c r="A152" s="60">
        <v>33</v>
      </c>
      <c r="B152" s="48" t="s">
        <v>1082</v>
      </c>
      <c r="C152" s="51" t="s">
        <v>1083</v>
      </c>
      <c r="D152" s="60">
        <f t="shared" ca="1" si="20"/>
        <v>3627633482.6900005</v>
      </c>
      <c r="F152" s="60">
        <f ca="1">F609</f>
        <v>3105688241.9405155</v>
      </c>
      <c r="H152" s="60">
        <f ca="1">H609</f>
        <v>188853334.58250955</v>
      </c>
      <c r="I152" s="60">
        <f t="shared" ca="1" si="21"/>
        <v>333091906.16697574</v>
      </c>
      <c r="L152" s="60">
        <f ca="1">L609</f>
        <v>27459.77887819245</v>
      </c>
      <c r="M152" s="60"/>
      <c r="N152" s="60">
        <f t="shared" ca="1" si="22"/>
        <v>333064446.38809752</v>
      </c>
      <c r="O152" s="60">
        <f ca="1">O609</f>
        <v>103924557.87463117</v>
      </c>
      <c r="P152" s="60">
        <f ca="1">P609</f>
        <v>229139888.51346633</v>
      </c>
      <c r="Q152" s="60">
        <f ca="1">Q609</f>
        <v>0</v>
      </c>
    </row>
    <row r="153" spans="1:17" x14ac:dyDescent="0.2">
      <c r="A153" s="60">
        <v>34</v>
      </c>
      <c r="B153" s="48" t="s">
        <v>1084</v>
      </c>
      <c r="C153" s="51" t="s">
        <v>1085</v>
      </c>
      <c r="D153" s="60">
        <f t="shared" ca="1" si="20"/>
        <v>28756470.000000004</v>
      </c>
      <c r="F153" s="60">
        <f ca="1">F622</f>
        <v>24836524.438375533</v>
      </c>
      <c r="H153" s="60">
        <f ca="1">H622</f>
        <v>1458885.2275194228</v>
      </c>
      <c r="I153" s="60">
        <f t="shared" ca="1" si="21"/>
        <v>2461060.3341050483</v>
      </c>
      <c r="L153" s="60">
        <f ca="1">L622</f>
        <v>219.59881869999941</v>
      </c>
      <c r="M153" s="60"/>
      <c r="N153" s="60">
        <f t="shared" ca="1" si="22"/>
        <v>2460840.7352863485</v>
      </c>
      <c r="O153" s="60">
        <f ca="1">O622</f>
        <v>767844.74652847636</v>
      </c>
      <c r="P153" s="60">
        <f ca="1">P622</f>
        <v>1692995.988757872</v>
      </c>
      <c r="Q153" s="60">
        <f ca="1">Q622</f>
        <v>0</v>
      </c>
    </row>
    <row r="154" spans="1:17" x14ac:dyDescent="0.2">
      <c r="A154" s="60">
        <v>35</v>
      </c>
      <c r="B154" s="48" t="s">
        <v>1086</v>
      </c>
      <c r="C154" s="51" t="s">
        <v>1087</v>
      </c>
      <c r="D154" s="60">
        <f t="shared" ca="1" si="20"/>
        <v>533383144.98000002</v>
      </c>
      <c r="F154" s="60">
        <f ca="1">F635</f>
        <v>459827511.44554573</v>
      </c>
      <c r="H154" s="60">
        <f ca="1">H635</f>
        <v>27005062.385680355</v>
      </c>
      <c r="I154" s="60">
        <f t="shared" ca="1" si="21"/>
        <v>46550571.148773916</v>
      </c>
      <c r="L154" s="60">
        <f ca="1">L635</f>
        <v>4065.6887629244661</v>
      </c>
      <c r="M154" s="60"/>
      <c r="N154" s="60">
        <f t="shared" ca="1" si="22"/>
        <v>46546505.460010991</v>
      </c>
      <c r="O154" s="60">
        <f ca="1">O635</f>
        <v>14523690.694095101</v>
      </c>
      <c r="P154" s="60">
        <f ca="1">P635</f>
        <v>32022814.765915893</v>
      </c>
      <c r="Q154" s="60">
        <f ca="1">Q635</f>
        <v>0</v>
      </c>
    </row>
    <row r="155" spans="1:17" x14ac:dyDescent="0.2">
      <c r="A155" s="60">
        <v>36</v>
      </c>
      <c r="B155" s="48" t="s">
        <v>1088</v>
      </c>
      <c r="C155" s="56" t="s">
        <v>1322</v>
      </c>
      <c r="D155" s="60">
        <f t="shared" ca="1" si="20"/>
        <v>158338784.04999998</v>
      </c>
      <c r="F155" s="60">
        <f ca="1">SUM(F682:F684,F701:F703,F718:F720)</f>
        <v>146452780.45999998</v>
      </c>
      <c r="H155" s="60">
        <f ca="1">SUM(H682:H684,H701:H703,H718:H720)</f>
        <v>8338352.3099999996</v>
      </c>
      <c r="I155" s="60">
        <f t="shared" ca="1" si="21"/>
        <v>3547651.28</v>
      </c>
      <c r="L155" s="60">
        <f ca="1">SUM(L682:L684,L701:L703,L718:L720)</f>
        <v>63681.279999999999</v>
      </c>
      <c r="M155" s="60"/>
      <c r="N155" s="60">
        <f t="shared" ca="1" si="22"/>
        <v>3483970</v>
      </c>
      <c r="O155" s="60">
        <f ca="1">SUM(O682:O684,O701:O703,O718:O720)</f>
        <v>3483970</v>
      </c>
      <c r="P155" s="60">
        <f ca="1">SUM(P682:P684,P701:P703,P718:P720)</f>
        <v>0</v>
      </c>
      <c r="Q155" s="60">
        <f ca="1">SUM(Q682:Q684,Q701:Q703,Q718:Q720)</f>
        <v>0</v>
      </c>
    </row>
    <row r="156" spans="1:17" x14ac:dyDescent="0.2">
      <c r="A156" s="60">
        <v>37</v>
      </c>
      <c r="B156" s="48" t="s">
        <v>1089</v>
      </c>
      <c r="C156" s="56" t="s">
        <v>1323</v>
      </c>
      <c r="D156" s="60">
        <f t="shared" ca="1" si="20"/>
        <v>144105048.07999998</v>
      </c>
      <c r="F156" s="60">
        <f ca="1">SUM(F687:F688,F706)</f>
        <v>141341084.22999999</v>
      </c>
      <c r="H156" s="60">
        <f ca="1">SUM(H687:H688,H706)</f>
        <v>2763963.85</v>
      </c>
      <c r="I156" s="60">
        <f t="shared" ca="1" si="21"/>
        <v>0</v>
      </c>
      <c r="L156" s="60">
        <f ca="1">SUM(L687:L688,L706)</f>
        <v>0</v>
      </c>
      <c r="M156" s="60"/>
      <c r="N156" s="60">
        <f t="shared" ca="1" si="22"/>
        <v>0</v>
      </c>
      <c r="O156" s="60">
        <f ca="1">SUM(O687:O688,O706)</f>
        <v>0</v>
      </c>
      <c r="P156" s="60">
        <f ca="1">SUM(P687:P688,P706)</f>
        <v>0</v>
      </c>
      <c r="Q156" s="60">
        <f ca="1">SUM(Q687:Q688,Q706)</f>
        <v>0</v>
      </c>
    </row>
    <row r="157" spans="1:17" x14ac:dyDescent="0.2">
      <c r="A157" s="60">
        <v>38</v>
      </c>
      <c r="B157" s="48" t="s">
        <v>1090</v>
      </c>
      <c r="C157" s="56" t="s">
        <v>1324</v>
      </c>
      <c r="D157" s="60">
        <f t="shared" ca="1" si="20"/>
        <v>83014243.350000024</v>
      </c>
      <c r="F157" s="60">
        <f ca="1">SUM(F696,F714)</f>
        <v>80975589.62000002</v>
      </c>
      <c r="H157" s="60">
        <f ca="1">SUM(H696,H714)</f>
        <v>2038653.7300000002</v>
      </c>
      <c r="I157" s="60">
        <f t="shared" ca="1" si="21"/>
        <v>0</v>
      </c>
      <c r="L157" s="60">
        <f ca="1">SUM(L696,L714)</f>
        <v>0</v>
      </c>
      <c r="M157" s="60"/>
      <c r="N157" s="60">
        <f t="shared" ca="1" si="22"/>
        <v>0</v>
      </c>
      <c r="O157" s="60">
        <f ca="1">SUM(O696,O714)</f>
        <v>0</v>
      </c>
      <c r="P157" s="60">
        <f ca="1">SUM(P696,P714)</f>
        <v>0</v>
      </c>
      <c r="Q157" s="60">
        <f ca="1">SUM(Q696,Q714)</f>
        <v>0</v>
      </c>
    </row>
    <row r="158" spans="1:17" x14ac:dyDescent="0.2">
      <c r="A158" s="60">
        <v>39</v>
      </c>
      <c r="B158" s="48" t="s">
        <v>1091</v>
      </c>
      <c r="C158" s="56" t="s">
        <v>1325</v>
      </c>
      <c r="D158" s="60">
        <f t="shared" ca="1" si="20"/>
        <v>70922417.270000011</v>
      </c>
      <c r="F158" s="60">
        <f ca="1">SUM(F694,F712,F725)</f>
        <v>66969752.690000013</v>
      </c>
      <c r="H158" s="60">
        <f ca="1">SUM(H694,H712,H725)</f>
        <v>3637511.5</v>
      </c>
      <c r="I158" s="60">
        <f t="shared" ca="1" si="21"/>
        <v>315153.08</v>
      </c>
      <c r="L158" s="60">
        <f ca="1">SUM(L694,L712,L725)</f>
        <v>111.07999999999993</v>
      </c>
      <c r="M158" s="60"/>
      <c r="N158" s="60">
        <f t="shared" ca="1" si="22"/>
        <v>315042</v>
      </c>
      <c r="O158" s="60">
        <f t="shared" ref="O158:Q159" ca="1" si="24">SUM(O694,O712,O725)</f>
        <v>66911</v>
      </c>
      <c r="P158" s="60">
        <f t="shared" ca="1" si="24"/>
        <v>248131</v>
      </c>
      <c r="Q158" s="60">
        <f t="shared" ca="1" si="24"/>
        <v>0</v>
      </c>
    </row>
    <row r="159" spans="1:17" x14ac:dyDescent="0.2">
      <c r="A159" s="60">
        <v>40</v>
      </c>
      <c r="B159" s="48" t="s">
        <v>1092</v>
      </c>
      <c r="C159" s="56" t="s">
        <v>1326</v>
      </c>
      <c r="D159" s="60">
        <f t="shared" ca="1" si="20"/>
        <v>18240915.879999999</v>
      </c>
      <c r="F159" s="60">
        <f ca="1">SUM(F695,F713,F726)</f>
        <v>17384575.219999999</v>
      </c>
      <c r="H159" s="60">
        <f ca="1">SUM(H695,H713,H726)</f>
        <v>856340.66</v>
      </c>
      <c r="I159" s="60">
        <f t="shared" ca="1" si="21"/>
        <v>0</v>
      </c>
      <c r="L159" s="60">
        <f ca="1">SUM(L695,L713,L726)</f>
        <v>0</v>
      </c>
      <c r="M159" s="60"/>
      <c r="N159" s="60">
        <f t="shared" ca="1" si="22"/>
        <v>0</v>
      </c>
      <c r="O159" s="60">
        <f t="shared" ca="1" si="24"/>
        <v>0</v>
      </c>
      <c r="P159" s="60">
        <f t="shared" ca="1" si="24"/>
        <v>0</v>
      </c>
      <c r="Q159" s="60">
        <f t="shared" ca="1" si="24"/>
        <v>0</v>
      </c>
    </row>
    <row r="160" spans="1:17" x14ac:dyDescent="0.2">
      <c r="A160" s="60">
        <v>41</v>
      </c>
      <c r="B160" s="48" t="s">
        <v>1093</v>
      </c>
      <c r="C160" s="56" t="s">
        <v>1327</v>
      </c>
      <c r="D160" s="60">
        <f t="shared" ca="1" si="20"/>
        <v>287943911.44</v>
      </c>
      <c r="F160" s="60">
        <f ca="1">SUM(F692,F710,F723)</f>
        <v>273394360.25612497</v>
      </c>
      <c r="H160" s="60">
        <f ca="1">SUM(H692,H710,H723)</f>
        <v>14023456.059999999</v>
      </c>
      <c r="I160" s="60">
        <f t="shared" ca="1" si="21"/>
        <v>526095.12387503078</v>
      </c>
      <c r="L160" s="60">
        <f ca="1">SUM(L692,L710,L723)</f>
        <v>3118.28</v>
      </c>
      <c r="M160" s="60"/>
      <c r="N160" s="60">
        <f t="shared" ca="1" si="22"/>
        <v>522976.84387503075</v>
      </c>
      <c r="O160" s="60">
        <f ca="1">SUM(O692,O710,O723)</f>
        <v>163182.04439945545</v>
      </c>
      <c r="P160" s="60">
        <f ca="1">SUM(P692,P710,P723)</f>
        <v>359794.79947557527</v>
      </c>
      <c r="Q160" s="60">
        <f ca="1">SUM(Q692,Q710,Q723)</f>
        <v>0</v>
      </c>
    </row>
    <row r="161" spans="1:17" x14ac:dyDescent="0.2">
      <c r="A161" s="60">
        <v>42</v>
      </c>
      <c r="B161" s="48" t="s">
        <v>1094</v>
      </c>
      <c r="C161" s="56" t="s">
        <v>1341</v>
      </c>
      <c r="D161" s="60">
        <f t="shared" ca="1" si="20"/>
        <v>24652741.260000002</v>
      </c>
      <c r="F161" s="60">
        <f ca="1">SUM(F1049:F1051)</f>
        <v>23324157.129067238</v>
      </c>
      <c r="H161" s="60">
        <f ca="1">SUM(H1049:H1051)</f>
        <v>1297908.5123283423</v>
      </c>
      <c r="I161" s="60">
        <f t="shared" ca="1" si="21"/>
        <v>30675.618604420913</v>
      </c>
      <c r="L161" s="60">
        <f ca="1">SUM(L1049:L1051)</f>
        <v>230.89175293650146</v>
      </c>
      <c r="M161" s="60"/>
      <c r="N161" s="60">
        <f t="shared" ca="1" si="22"/>
        <v>30444.726851484411</v>
      </c>
      <c r="O161" s="60">
        <f ca="1">SUM(O1049:O1051)</f>
        <v>16294.360850090248</v>
      </c>
      <c r="P161" s="60">
        <f ca="1">SUM(P1049:P1051)</f>
        <v>14150.366001394163</v>
      </c>
      <c r="Q161" s="60">
        <f ca="1">SUM(Q1049:Q1051)</f>
        <v>0</v>
      </c>
    </row>
    <row r="162" spans="1:17" x14ac:dyDescent="0.2">
      <c r="A162" s="60">
        <v>43</v>
      </c>
      <c r="B162" s="48" t="s">
        <v>1095</v>
      </c>
      <c r="C162" s="56" t="s">
        <v>1342</v>
      </c>
      <c r="D162" s="60">
        <f t="shared" ca="1" si="20"/>
        <v>13821435.550000001</v>
      </c>
      <c r="F162" s="60">
        <f ca="1">F1057+F1058</f>
        <v>13812947.691019921</v>
      </c>
      <c r="H162" s="60">
        <f ca="1">H1057+H1058</f>
        <v>8486.6947844920214</v>
      </c>
      <c r="I162" s="60">
        <f t="shared" ca="1" si="21"/>
        <v>1.1641955875704959</v>
      </c>
      <c r="L162" s="60">
        <f ca="1">L1057+L1058</f>
        <v>1.1641955875704959</v>
      </c>
      <c r="M162" s="60"/>
      <c r="N162" s="60">
        <f t="shared" ca="1" si="22"/>
        <v>0</v>
      </c>
      <c r="O162" s="60">
        <f ca="1">O1057+O1058</f>
        <v>0</v>
      </c>
      <c r="P162" s="60">
        <f ca="1">P1057+P1058</f>
        <v>0</v>
      </c>
      <c r="Q162" s="60">
        <f ca="1">Q1057+Q1058</f>
        <v>0</v>
      </c>
    </row>
    <row r="163" spans="1:17" x14ac:dyDescent="0.2">
      <c r="A163" s="60">
        <v>44</v>
      </c>
      <c r="B163" s="48" t="s">
        <v>747</v>
      </c>
      <c r="C163" s="51" t="s">
        <v>748</v>
      </c>
      <c r="D163" s="60">
        <f t="shared" ca="1" si="20"/>
        <v>2101705641</v>
      </c>
      <c r="F163" s="60">
        <f ca="1">F676+F729</f>
        <v>1884949829.4291763</v>
      </c>
      <c r="H163" s="60">
        <f ca="1">H676+H729</f>
        <v>157053892.29108196</v>
      </c>
      <c r="I163" s="60">
        <f ca="1">(L163+M163+N163)</f>
        <v>59701919.279741652</v>
      </c>
      <c r="L163" s="60">
        <f ca="1">L676+L729</f>
        <v>166781.88433446438</v>
      </c>
      <c r="M163" s="60"/>
      <c r="N163" s="60">
        <f ca="1">SUM(O163:Q163)</f>
        <v>59535137.395407185</v>
      </c>
      <c r="O163" s="60">
        <f ca="1">O676+O729</f>
        <v>20941966.275470253</v>
      </c>
      <c r="P163" s="60">
        <f ca="1">P676+P729</f>
        <v>38593171.119936928</v>
      </c>
      <c r="Q163" s="60">
        <f ca="1">Q676+Q729</f>
        <v>0</v>
      </c>
    </row>
    <row r="164" spans="1:17" x14ac:dyDescent="0.2">
      <c r="C164" s="58"/>
    </row>
    <row r="165" spans="1:17" x14ac:dyDescent="0.2">
      <c r="B165" s="69" t="s">
        <v>1096</v>
      </c>
      <c r="C165" s="58"/>
    </row>
    <row r="166" spans="1:17" x14ac:dyDescent="0.2">
      <c r="B166" s="67" t="s">
        <v>493</v>
      </c>
      <c r="C166" s="58"/>
    </row>
    <row r="167" spans="1:17" x14ac:dyDescent="0.2">
      <c r="A167" s="60">
        <v>1</v>
      </c>
      <c r="B167" s="48" t="s">
        <v>1097</v>
      </c>
      <c r="C167" s="56" t="s">
        <v>1343</v>
      </c>
      <c r="D167" s="60">
        <f t="shared" ref="D167:D206" ca="1" si="25">SUM(F167:I167)+K167</f>
        <v>23966.440000000002</v>
      </c>
      <c r="F167" s="60">
        <f ca="1">F1064+F1065</f>
        <v>22671.514794681963</v>
      </c>
      <c r="H167" s="60">
        <f ca="1">H1064+H1065</f>
        <v>1294.7475932472189</v>
      </c>
      <c r="I167" s="60">
        <f t="shared" ref="I167:I206" ca="1" si="26">(L167+M167+N167)</f>
        <v>0.17761207081823369</v>
      </c>
      <c r="L167" s="60">
        <f ca="1">L1064+L1065</f>
        <v>0.17761207081823369</v>
      </c>
      <c r="M167" s="60"/>
      <c r="N167" s="60">
        <f t="shared" ref="N167:N206" ca="1" si="27">SUM(O167:Q167)</f>
        <v>0</v>
      </c>
      <c r="O167" s="60">
        <f ca="1">O1064+O1065</f>
        <v>0</v>
      </c>
      <c r="P167" s="60">
        <f ca="1">P1064+P1065</f>
        <v>0</v>
      </c>
      <c r="Q167" s="60">
        <f ca="1">Q1064+Q1065</f>
        <v>0</v>
      </c>
    </row>
    <row r="168" spans="1:17" x14ac:dyDescent="0.2">
      <c r="A168" s="60">
        <v>2</v>
      </c>
      <c r="B168" s="48" t="s">
        <v>1098</v>
      </c>
      <c r="C168" s="51" t="s">
        <v>1099</v>
      </c>
      <c r="D168" s="60">
        <f t="shared" ca="1" si="25"/>
        <v>101135776.83261403</v>
      </c>
      <c r="F168" s="68">
        <v>0</v>
      </c>
      <c r="G168" s="68"/>
      <c r="H168" s="68">
        <v>0</v>
      </c>
      <c r="I168" s="60">
        <f t="shared" ca="1" si="26"/>
        <v>101135776.83261403</v>
      </c>
      <c r="L168" s="68">
        <v>0</v>
      </c>
      <c r="M168" s="68"/>
      <c r="N168" s="60">
        <f t="shared" ca="1" si="27"/>
        <v>101135776.83261403</v>
      </c>
      <c r="O168" s="60">
        <f ca="1">O917</f>
        <v>32764684.980645575</v>
      </c>
      <c r="P168" s="60">
        <f ca="1">P917</f>
        <v>68371091.851968452</v>
      </c>
      <c r="Q168" s="60">
        <f ca="1">Q917</f>
        <v>0</v>
      </c>
    </row>
    <row r="169" spans="1:17" s="34" customFormat="1" x14ac:dyDescent="0.2">
      <c r="A169" s="57">
        <v>3</v>
      </c>
      <c r="B169" s="49" t="s">
        <v>1100</v>
      </c>
      <c r="C169" s="55" t="s">
        <v>1101</v>
      </c>
      <c r="D169" s="57">
        <f t="shared" ca="1" si="25"/>
        <v>74647937.232403412</v>
      </c>
      <c r="F169" s="85">
        <v>0</v>
      </c>
      <c r="G169" s="85"/>
      <c r="H169" s="57">
        <f ca="1">H917</f>
        <v>74647937.232403412</v>
      </c>
      <c r="I169" s="57">
        <f t="shared" si="26"/>
        <v>0</v>
      </c>
      <c r="L169" s="85">
        <v>0</v>
      </c>
      <c r="M169" s="57"/>
      <c r="N169" s="57">
        <f t="shared" si="27"/>
        <v>0</v>
      </c>
      <c r="O169" s="85">
        <v>0</v>
      </c>
      <c r="P169" s="85">
        <v>0</v>
      </c>
      <c r="Q169" s="85">
        <v>0</v>
      </c>
    </row>
    <row r="170" spans="1:17" s="34" customFormat="1" x14ac:dyDescent="0.2">
      <c r="A170" s="57">
        <v>4</v>
      </c>
      <c r="B170" s="49" t="s">
        <v>1102</v>
      </c>
      <c r="C170" s="55" t="s">
        <v>1103</v>
      </c>
      <c r="D170" s="57">
        <f t="shared" ca="1" si="25"/>
        <v>1495925595.7400002</v>
      </c>
      <c r="F170" s="57">
        <f ca="1">F917</f>
        <v>1320135670.366627</v>
      </c>
      <c r="H170" s="57">
        <f ca="1">H917</f>
        <v>74647937.232403412</v>
      </c>
      <c r="I170" s="57">
        <f t="shared" ca="1" si="26"/>
        <v>101141988.14096963</v>
      </c>
      <c r="L170" s="57">
        <f ca="1">L917</f>
        <v>6211.3083555943094</v>
      </c>
      <c r="M170" s="57"/>
      <c r="N170" s="57">
        <f t="shared" ca="1" si="27"/>
        <v>101135776.83261403</v>
      </c>
      <c r="O170" s="57">
        <f ca="1">O917</f>
        <v>32764684.980645575</v>
      </c>
      <c r="P170" s="57">
        <f ca="1">P917</f>
        <v>68371091.851968452</v>
      </c>
      <c r="Q170" s="57">
        <f ca="1">Q917</f>
        <v>0</v>
      </c>
    </row>
    <row r="171" spans="1:17" s="34" customFormat="1" x14ac:dyDescent="0.2">
      <c r="A171" s="57">
        <v>5</v>
      </c>
      <c r="B171" s="49" t="s">
        <v>1104</v>
      </c>
      <c r="C171" s="55" t="s">
        <v>1105</v>
      </c>
      <c r="D171" s="57">
        <f t="shared" si="25"/>
        <v>1</v>
      </c>
      <c r="F171" s="85">
        <v>0</v>
      </c>
      <c r="G171" s="85"/>
      <c r="H171" s="85">
        <v>1</v>
      </c>
      <c r="I171" s="57">
        <f t="shared" si="26"/>
        <v>0</v>
      </c>
      <c r="L171" s="85">
        <v>0</v>
      </c>
      <c r="M171" s="85"/>
      <c r="N171" s="57">
        <f t="shared" si="27"/>
        <v>0</v>
      </c>
      <c r="O171" s="85">
        <v>0</v>
      </c>
      <c r="P171" s="85">
        <v>0</v>
      </c>
      <c r="Q171" s="85">
        <v>0</v>
      </c>
    </row>
    <row r="172" spans="1:17" s="34" customFormat="1" x14ac:dyDescent="0.2">
      <c r="A172" s="57">
        <v>6</v>
      </c>
      <c r="B172" s="49" t="s">
        <v>1106</v>
      </c>
      <c r="C172" s="55" t="s">
        <v>1107</v>
      </c>
      <c r="D172" s="57">
        <f t="shared" ca="1" si="25"/>
        <v>1394789818.9073861</v>
      </c>
      <c r="F172" s="57">
        <f ca="1">F917</f>
        <v>1320135670.366627</v>
      </c>
      <c r="H172" s="57">
        <f ca="1">H917</f>
        <v>74647937.232403412</v>
      </c>
      <c r="I172" s="57">
        <f t="shared" ca="1" si="26"/>
        <v>6211.3083555943094</v>
      </c>
      <c r="L172" s="57">
        <f ca="1">L917</f>
        <v>6211.3083555943094</v>
      </c>
      <c r="M172" s="57"/>
      <c r="N172" s="57">
        <f t="shared" si="27"/>
        <v>0</v>
      </c>
      <c r="O172" s="85">
        <v>0</v>
      </c>
      <c r="P172" s="85">
        <v>0</v>
      </c>
      <c r="Q172" s="85">
        <v>0</v>
      </c>
    </row>
    <row r="173" spans="1:17" x14ac:dyDescent="0.2">
      <c r="A173" s="60">
        <v>7</v>
      </c>
      <c r="B173" s="48" t="s">
        <v>1108</v>
      </c>
      <c r="C173" s="51" t="s">
        <v>1109</v>
      </c>
      <c r="D173" s="60">
        <f t="shared" ca="1" si="25"/>
        <v>1353270008.3899999</v>
      </c>
      <c r="F173" s="60">
        <f ca="1">F698</f>
        <v>1348948019.5461249</v>
      </c>
      <c r="H173" s="60">
        <f ca="1">H698</f>
        <v>0</v>
      </c>
      <c r="I173" s="60">
        <f t="shared" ca="1" si="26"/>
        <v>4321988.843875031</v>
      </c>
      <c r="L173" s="60">
        <f ca="1">L698</f>
        <v>0</v>
      </c>
      <c r="M173" s="60"/>
      <c r="N173" s="60">
        <f t="shared" ca="1" si="27"/>
        <v>4321988.843875031</v>
      </c>
      <c r="O173" s="60">
        <f ca="1">O698</f>
        <v>3714063.0443994557</v>
      </c>
      <c r="P173" s="60">
        <f ca="1">P698</f>
        <v>607925.79947557533</v>
      </c>
      <c r="Q173" s="60">
        <f ca="1">Q698</f>
        <v>0</v>
      </c>
    </row>
    <row r="174" spans="1:17" x14ac:dyDescent="0.2">
      <c r="A174" s="60">
        <v>8</v>
      </c>
      <c r="B174" s="48" t="s">
        <v>1110</v>
      </c>
      <c r="C174" s="51" t="s">
        <v>1111</v>
      </c>
      <c r="D174" s="60">
        <f t="shared" ca="1" si="25"/>
        <v>80327605.579999998</v>
      </c>
      <c r="F174" s="60">
        <f ca="1">F715</f>
        <v>0</v>
      </c>
      <c r="H174" s="60">
        <f ca="1">H715</f>
        <v>80327605.579999998</v>
      </c>
      <c r="I174" s="60">
        <f t="shared" ca="1" si="26"/>
        <v>0</v>
      </c>
      <c r="L174" s="60">
        <f ca="1">L715</f>
        <v>0</v>
      </c>
      <c r="M174" s="60"/>
      <c r="N174" s="60">
        <f t="shared" ca="1" si="27"/>
        <v>0</v>
      </c>
      <c r="O174" s="60">
        <f ca="1">O715</f>
        <v>0</v>
      </c>
      <c r="P174" s="60">
        <f ca="1">P715</f>
        <v>0</v>
      </c>
      <c r="Q174" s="60">
        <f ca="1">Q715</f>
        <v>0</v>
      </c>
    </row>
    <row r="175" spans="1:17" x14ac:dyDescent="0.2">
      <c r="A175" s="60">
        <v>9</v>
      </c>
      <c r="B175" s="48" t="s">
        <v>1112</v>
      </c>
      <c r="C175" s="51" t="s">
        <v>1113</v>
      </c>
      <c r="D175" s="60">
        <f t="shared" ca="1" si="25"/>
        <v>162042.68</v>
      </c>
      <c r="F175" s="60">
        <f ca="1">F727</f>
        <v>0</v>
      </c>
      <c r="H175" s="60">
        <f ca="1">H727</f>
        <v>0</v>
      </c>
      <c r="I175" s="60">
        <f t="shared" ca="1" si="26"/>
        <v>162042.68</v>
      </c>
      <c r="L175" s="60">
        <f ca="1">L727</f>
        <v>162042.68</v>
      </c>
      <c r="M175" s="60"/>
      <c r="N175" s="60">
        <f t="shared" ca="1" si="27"/>
        <v>0</v>
      </c>
      <c r="O175" s="60">
        <f ca="1">O727</f>
        <v>0</v>
      </c>
      <c r="P175" s="60">
        <f ca="1">P727</f>
        <v>0</v>
      </c>
      <c r="Q175" s="60">
        <f ca="1">Q727</f>
        <v>0</v>
      </c>
    </row>
    <row r="176" spans="1:17" x14ac:dyDescent="0.2">
      <c r="A176" s="60">
        <v>10</v>
      </c>
      <c r="B176" s="48" t="s">
        <v>1114</v>
      </c>
      <c r="C176" s="51" t="s">
        <v>1115</v>
      </c>
      <c r="D176" s="60">
        <f t="shared" ca="1" si="25"/>
        <v>4073283819.250001</v>
      </c>
      <c r="F176" s="60">
        <f ca="1">F798</f>
        <v>3561520105.9314809</v>
      </c>
      <c r="H176" s="60">
        <f ca="1">H798</f>
        <v>225955270.45836845</v>
      </c>
      <c r="I176" s="60">
        <f t="shared" ca="1" si="26"/>
        <v>285808442.86015201</v>
      </c>
      <c r="L176" s="60">
        <f ca="1">L798</f>
        <v>47886.199905867747</v>
      </c>
      <c r="M176" s="60"/>
      <c r="N176" s="60">
        <f t="shared" ca="1" si="27"/>
        <v>285760556.66024613</v>
      </c>
      <c r="O176" s="60">
        <f ca="1">O798</f>
        <v>90684732.211932525</v>
      </c>
      <c r="P176" s="60">
        <f ca="1">P798</f>
        <v>195075824.44831359</v>
      </c>
      <c r="Q176" s="60">
        <f ca="1">Q798</f>
        <v>5.3432076903705236E-12</v>
      </c>
    </row>
    <row r="177" spans="1:17" x14ac:dyDescent="0.2">
      <c r="A177" s="60">
        <v>11</v>
      </c>
      <c r="B177" s="48" t="s">
        <v>1116</v>
      </c>
      <c r="C177" s="51" t="s">
        <v>1117</v>
      </c>
      <c r="D177" s="60">
        <f t="shared" ca="1" si="25"/>
        <v>4056092315.1598926</v>
      </c>
      <c r="F177" s="60">
        <f ca="1">F894</f>
        <v>3550375898.9468842</v>
      </c>
      <c r="H177" s="60">
        <f ca="1">H894</f>
        <v>216540257.81030622</v>
      </c>
      <c r="I177" s="60">
        <f t="shared" ca="1" si="26"/>
        <v>289176158.40270245</v>
      </c>
      <c r="L177" s="60">
        <f ca="1">L894</f>
        <v>37845.191210532408</v>
      </c>
      <c r="M177" s="60"/>
      <c r="N177" s="60">
        <f t="shared" ca="1" si="27"/>
        <v>289138313.21149194</v>
      </c>
      <c r="O177" s="60">
        <f ca="1">O894</f>
        <v>91830469.28928861</v>
      </c>
      <c r="P177" s="60">
        <f ca="1">P894</f>
        <v>197307843.92220336</v>
      </c>
      <c r="Q177" s="60">
        <f ca="1">Q894</f>
        <v>6.3497674745248559E-12</v>
      </c>
    </row>
    <row r="178" spans="1:17" x14ac:dyDescent="0.2">
      <c r="A178" s="60">
        <v>12</v>
      </c>
      <c r="B178" s="48" t="s">
        <v>1118</v>
      </c>
      <c r="C178" s="51" t="s">
        <v>1119</v>
      </c>
      <c r="D178" s="60">
        <f t="shared" ca="1" si="25"/>
        <v>340829.69000000128</v>
      </c>
      <c r="F178" s="60">
        <f ca="1">F808+F816</f>
        <v>0</v>
      </c>
      <c r="H178" s="60">
        <f ca="1">H808+H816</f>
        <v>0</v>
      </c>
      <c r="I178" s="60">
        <f t="shared" ca="1" si="26"/>
        <v>340829.69000000128</v>
      </c>
      <c r="L178" s="60">
        <f ca="1">L808+L816</f>
        <v>0</v>
      </c>
      <c r="M178" s="60"/>
      <c r="N178" s="60">
        <f t="shared" ca="1" si="27"/>
        <v>340829.69000000128</v>
      </c>
      <c r="O178" s="60">
        <f ca="1">O808+O816</f>
        <v>106347.51090341398</v>
      </c>
      <c r="P178" s="60">
        <f ca="1">P808+P816</f>
        <v>234482.17909658732</v>
      </c>
      <c r="Q178" s="60">
        <f ca="1">Q808+Q816</f>
        <v>0</v>
      </c>
    </row>
    <row r="179" spans="1:17" x14ac:dyDescent="0.2">
      <c r="A179" s="60">
        <v>13</v>
      </c>
      <c r="B179" s="48" t="s">
        <v>1120</v>
      </c>
      <c r="C179" s="51" t="s">
        <v>1121</v>
      </c>
      <c r="D179" s="60">
        <f t="shared" ca="1" si="25"/>
        <v>-1256557</v>
      </c>
      <c r="F179" s="60">
        <f ca="1">F1230</f>
        <v>-1104028.4242857145</v>
      </c>
      <c r="H179" s="60">
        <f ca="1">H1230</f>
        <v>-70030.651345793449</v>
      </c>
      <c r="I179" s="60">
        <f t="shared" ca="1" si="26"/>
        <v>-82497.924368492197</v>
      </c>
      <c r="L179" s="60">
        <f ca="1">L1230</f>
        <v>-38.956291710910499</v>
      </c>
      <c r="M179" s="60"/>
      <c r="N179" s="60">
        <f t="shared" ca="1" si="27"/>
        <v>-82458.968076781282</v>
      </c>
      <c r="O179" s="60">
        <f ca="1">O1230</f>
        <v>-26198.727363966747</v>
      </c>
      <c r="P179" s="60">
        <f ca="1">P1230</f>
        <v>-56260.240712814535</v>
      </c>
      <c r="Q179" s="60">
        <f ca="1">Q1230</f>
        <v>-1.6488702784297363E-15</v>
      </c>
    </row>
    <row r="180" spans="1:17" x14ac:dyDescent="0.2">
      <c r="A180" s="60">
        <v>14</v>
      </c>
      <c r="B180" s="48" t="s">
        <v>1122</v>
      </c>
      <c r="C180" s="56" t="s">
        <v>1328</v>
      </c>
      <c r="D180" s="60">
        <f t="shared" ca="1" si="25"/>
        <v>534792106.07999998</v>
      </c>
      <c r="F180" s="60">
        <f ca="1">SUM(F939:F944)</f>
        <v>463397849.09036309</v>
      </c>
      <c r="H180" s="60">
        <f ca="1">SUM(H939:H944)</f>
        <v>24839290.186724</v>
      </c>
      <c r="I180" s="60">
        <f t="shared" ca="1" si="26"/>
        <v>46554966.802912913</v>
      </c>
      <c r="L180" s="60">
        <f ca="1">SUM(L939:L944)</f>
        <v>2689.5854231370736</v>
      </c>
      <c r="M180" s="60"/>
      <c r="N180" s="60">
        <f t="shared" ca="1" si="27"/>
        <v>46552277.217489779</v>
      </c>
      <c r="O180" s="60">
        <f ca="1">SUM(O939:O944)</f>
        <v>15131037.791955026</v>
      </c>
      <c r="P180" s="60">
        <f ca="1">SUM(P939:P944)</f>
        <v>31421239.425534755</v>
      </c>
      <c r="Q180" s="60">
        <f ca="1">SUM(Q939:Q944)</f>
        <v>0</v>
      </c>
    </row>
    <row r="181" spans="1:17" x14ac:dyDescent="0.2">
      <c r="A181" s="60">
        <v>15</v>
      </c>
      <c r="B181" s="48" t="s">
        <v>1123</v>
      </c>
      <c r="C181" s="56" t="s">
        <v>1329</v>
      </c>
      <c r="D181" s="60">
        <f t="shared" ca="1" si="25"/>
        <v>61471225.079999998</v>
      </c>
      <c r="F181" s="60">
        <f ca="1">SUM(F947:F950)</f>
        <v>52949729.186260365</v>
      </c>
      <c r="H181" s="60">
        <f ca="1">SUM(H947:H950)</f>
        <v>2855156.0926620504</v>
      </c>
      <c r="I181" s="60">
        <f t="shared" ca="1" si="26"/>
        <v>5666339.8010775829</v>
      </c>
      <c r="L181" s="60">
        <f ca="1">SUM(L947:L950)</f>
        <v>314.45428272004301</v>
      </c>
      <c r="M181" s="60"/>
      <c r="N181" s="60">
        <f t="shared" ca="1" si="27"/>
        <v>5666025.3467948632</v>
      </c>
      <c r="O181" s="60">
        <f ca="1">SUM(O947:O950)</f>
        <v>1838709.0984152134</v>
      </c>
      <c r="P181" s="60">
        <f ca="1">SUM(P947:P950)</f>
        <v>3827316.2483796496</v>
      </c>
      <c r="Q181" s="60">
        <f ca="1">SUM(Q947:Q950)</f>
        <v>0</v>
      </c>
    </row>
    <row r="182" spans="1:17" x14ac:dyDescent="0.2">
      <c r="A182" s="60">
        <v>16</v>
      </c>
      <c r="B182" s="48" t="s">
        <v>1124</v>
      </c>
      <c r="C182" s="56" t="s">
        <v>1330</v>
      </c>
      <c r="D182" s="60">
        <f t="shared" ca="1" si="25"/>
        <v>44637.38</v>
      </c>
      <c r="F182" s="60">
        <f ca="1">SUM(F957:F961)</f>
        <v>38552.624130675809</v>
      </c>
      <c r="H182" s="60">
        <f ca="1">SUM(H957:H961)</f>
        <v>2264.562175996251</v>
      </c>
      <c r="I182" s="60">
        <f t="shared" ca="1" si="26"/>
        <v>3820.1936933279358</v>
      </c>
      <c r="L182" s="60">
        <f ca="1">SUM(L957:L961)</f>
        <v>0.34087340754491002</v>
      </c>
      <c r="M182" s="60"/>
      <c r="N182" s="60">
        <f t="shared" ca="1" si="27"/>
        <v>3819.8528199203906</v>
      </c>
      <c r="O182" s="60">
        <f ca="1">SUM(O957:O961)</f>
        <v>1191.8909981578154</v>
      </c>
      <c r="P182" s="60">
        <f ca="1">SUM(P957:P961)</f>
        <v>2627.9618217625753</v>
      </c>
      <c r="Q182" s="60">
        <f ca="1">SUM(Q957:Q961)</f>
        <v>0</v>
      </c>
    </row>
    <row r="183" spans="1:17" x14ac:dyDescent="0.2">
      <c r="A183" s="60">
        <v>17</v>
      </c>
      <c r="B183" s="48" t="s">
        <v>1125</v>
      </c>
      <c r="C183" s="56" t="s">
        <v>1331</v>
      </c>
      <c r="D183" s="60">
        <f t="shared" ca="1" si="25"/>
        <v>311632.33</v>
      </c>
      <c r="F183" s="60">
        <f ca="1">SUM(F964:F967)</f>
        <v>269509.95653301617</v>
      </c>
      <c r="H183" s="60">
        <f ca="1">SUM(H964:H967)</f>
        <v>15361.818398594227</v>
      </c>
      <c r="I183" s="60">
        <f t="shared" ca="1" si="26"/>
        <v>26760.555068389607</v>
      </c>
      <c r="L183" s="60">
        <f ca="1">SUM(L964:L967)</f>
        <v>2.1154562885264738</v>
      </c>
      <c r="M183" s="60"/>
      <c r="N183" s="60">
        <f t="shared" ca="1" si="27"/>
        <v>26758.43961210108</v>
      </c>
      <c r="O183" s="60">
        <f ca="1">SUM(O964:O967)</f>
        <v>8464.3791838560173</v>
      </c>
      <c r="P183" s="60">
        <f ca="1">SUM(P964:P967)</f>
        <v>18294.060428245062</v>
      </c>
      <c r="Q183" s="60">
        <f ca="1">SUM(Q964:Q967)</f>
        <v>0</v>
      </c>
    </row>
    <row r="184" spans="1:17" x14ac:dyDescent="0.2">
      <c r="A184" s="60">
        <v>18</v>
      </c>
      <c r="B184" s="48" t="s">
        <v>1126</v>
      </c>
      <c r="C184" s="56" t="s">
        <v>1332</v>
      </c>
      <c r="D184" s="60">
        <f t="shared" ca="1" si="25"/>
        <v>32008989.09</v>
      </c>
      <c r="F184" s="60">
        <f ca="1">SUM(F974:F975)</f>
        <v>27768243.948622026</v>
      </c>
      <c r="H184" s="60">
        <f ca="1">SUM(H974:H975)</f>
        <v>1469792.1570223963</v>
      </c>
      <c r="I184" s="60">
        <f t="shared" ca="1" si="26"/>
        <v>2770952.9843555759</v>
      </c>
      <c r="L184" s="60">
        <f ca="1">SUM(L974:L975)</f>
        <v>153.53857254838701</v>
      </c>
      <c r="M184" s="60"/>
      <c r="N184" s="60">
        <f t="shared" ca="1" si="27"/>
        <v>2770799.4457830274</v>
      </c>
      <c r="O184" s="60">
        <f ca="1">SUM(O974:O975)</f>
        <v>904128.0857736133</v>
      </c>
      <c r="P184" s="60">
        <f ca="1">SUM(P974:P975)</f>
        <v>1866671.3600094139</v>
      </c>
      <c r="Q184" s="60">
        <f ca="1">SUM(Q974:Q975)</f>
        <v>0</v>
      </c>
    </row>
    <row r="185" spans="1:17" x14ac:dyDescent="0.2">
      <c r="A185" s="60">
        <v>19</v>
      </c>
      <c r="B185" s="48" t="s">
        <v>1127</v>
      </c>
      <c r="C185" s="56" t="s">
        <v>1333</v>
      </c>
      <c r="D185" s="60">
        <f t="shared" ca="1" si="25"/>
        <v>2075188.38</v>
      </c>
      <c r="F185" s="60">
        <f ca="1">SUM(F979:F981)</f>
        <v>1789011.7405038993</v>
      </c>
      <c r="H185" s="60">
        <f ca="1">SUM(H979:H981)</f>
        <v>105066.29651006365</v>
      </c>
      <c r="I185" s="60">
        <f t="shared" ca="1" si="26"/>
        <v>181110.34298603699</v>
      </c>
      <c r="L185" s="60">
        <f ca="1">SUM(L979:L981)</f>
        <v>15.818029041457221</v>
      </c>
      <c r="M185" s="60"/>
      <c r="N185" s="60">
        <f t="shared" ca="1" si="27"/>
        <v>181094.52495699553</v>
      </c>
      <c r="O185" s="60">
        <f ca="1">SUM(O979:O981)</f>
        <v>56506.08656602828</v>
      </c>
      <c r="P185" s="60">
        <f ca="1">SUM(P979:P981)</f>
        <v>124588.43839096725</v>
      </c>
      <c r="Q185" s="60">
        <f ca="1">SUM(Q979:Q981)</f>
        <v>0</v>
      </c>
    </row>
    <row r="186" spans="1:17" x14ac:dyDescent="0.2">
      <c r="A186" s="60">
        <v>20</v>
      </c>
      <c r="B186" s="48" t="s">
        <v>1128</v>
      </c>
      <c r="C186" s="51" t="s">
        <v>1129</v>
      </c>
      <c r="D186" s="60">
        <f t="shared" ca="1" si="25"/>
        <v>0</v>
      </c>
      <c r="F186" s="60">
        <f ca="1">F1360</f>
        <v>0</v>
      </c>
      <c r="H186" s="60">
        <f ca="1">H1360</f>
        <v>0</v>
      </c>
      <c r="I186" s="60">
        <f t="shared" ca="1" si="26"/>
        <v>0</v>
      </c>
      <c r="L186" s="60">
        <f ca="1">L1360</f>
        <v>0</v>
      </c>
      <c r="M186" s="60"/>
      <c r="N186" s="60">
        <f t="shared" ca="1" si="27"/>
        <v>0</v>
      </c>
      <c r="O186" s="60">
        <f ca="1">O1360</f>
        <v>0</v>
      </c>
      <c r="P186" s="60">
        <f ca="1">P1360</f>
        <v>0</v>
      </c>
      <c r="Q186" s="60">
        <f ca="1">Q1360</f>
        <v>0</v>
      </c>
    </row>
    <row r="187" spans="1:17" x14ac:dyDescent="0.2">
      <c r="A187" s="60">
        <v>21</v>
      </c>
      <c r="B187" s="48" t="s">
        <v>1130</v>
      </c>
      <c r="C187" s="51" t="s">
        <v>1131</v>
      </c>
      <c r="D187" s="60">
        <f t="shared" ca="1" si="25"/>
        <v>0</v>
      </c>
      <c r="F187" s="60">
        <f ca="1">F1360</f>
        <v>0</v>
      </c>
      <c r="H187" s="60">
        <f ca="1">H1360</f>
        <v>0</v>
      </c>
      <c r="I187" s="60">
        <f t="shared" ca="1" si="26"/>
        <v>0</v>
      </c>
      <c r="L187" s="60">
        <f ca="1">L1360</f>
        <v>0</v>
      </c>
      <c r="M187" s="60"/>
      <c r="N187" s="60">
        <f t="shared" ca="1" si="27"/>
        <v>0</v>
      </c>
      <c r="O187" s="60">
        <f ca="1">O1360</f>
        <v>0</v>
      </c>
      <c r="P187" s="60">
        <f ca="1">P1360</f>
        <v>0</v>
      </c>
      <c r="Q187" s="60">
        <f ca="1">Q1360</f>
        <v>0</v>
      </c>
    </row>
    <row r="188" spans="1:17" x14ac:dyDescent="0.2">
      <c r="A188" s="60">
        <v>22</v>
      </c>
      <c r="B188" s="48" t="s">
        <v>1132</v>
      </c>
      <c r="C188" s="51" t="s">
        <v>1133</v>
      </c>
      <c r="D188" s="60">
        <f t="shared" ca="1" si="25"/>
        <v>0</v>
      </c>
      <c r="F188" s="60">
        <f ca="1">F1360</f>
        <v>0</v>
      </c>
      <c r="H188" s="60">
        <f ca="1">H1360</f>
        <v>0</v>
      </c>
      <c r="I188" s="60">
        <f t="shared" ca="1" si="26"/>
        <v>0</v>
      </c>
      <c r="L188" s="60">
        <f ca="1">L1360</f>
        <v>0</v>
      </c>
      <c r="M188" s="60"/>
      <c r="N188" s="60">
        <f t="shared" ca="1" si="27"/>
        <v>0</v>
      </c>
      <c r="O188" s="60">
        <f ca="1">O1360</f>
        <v>0</v>
      </c>
      <c r="P188" s="60">
        <f ca="1">P1360</f>
        <v>0</v>
      </c>
      <c r="Q188" s="60">
        <f ca="1">Q1360</f>
        <v>0</v>
      </c>
    </row>
    <row r="189" spans="1:17" x14ac:dyDescent="0.2">
      <c r="A189" s="60">
        <v>23</v>
      </c>
      <c r="B189" s="48" t="s">
        <v>1134</v>
      </c>
      <c r="C189" s="51" t="s">
        <v>1135</v>
      </c>
      <c r="D189" s="60">
        <f t="shared" ca="1" si="25"/>
        <v>0</v>
      </c>
      <c r="F189" s="60">
        <f ca="1">F1360</f>
        <v>0</v>
      </c>
      <c r="H189" s="60">
        <f ca="1">H1360</f>
        <v>0</v>
      </c>
      <c r="I189" s="60">
        <f t="shared" ca="1" si="26"/>
        <v>0</v>
      </c>
      <c r="L189" s="60">
        <f ca="1">L1360</f>
        <v>0</v>
      </c>
      <c r="M189" s="60"/>
      <c r="N189" s="60">
        <f t="shared" ca="1" si="27"/>
        <v>0</v>
      </c>
      <c r="O189" s="60">
        <f ca="1">O1360</f>
        <v>0</v>
      </c>
      <c r="P189" s="60">
        <f ca="1">P1360</f>
        <v>0</v>
      </c>
      <c r="Q189" s="60">
        <f ca="1">Q1360</f>
        <v>0</v>
      </c>
    </row>
    <row r="190" spans="1:17" x14ac:dyDescent="0.2">
      <c r="A190" s="60">
        <v>24</v>
      </c>
      <c r="B190" s="48" t="s">
        <v>1136</v>
      </c>
      <c r="C190" s="51" t="s">
        <v>1137</v>
      </c>
      <c r="D190" s="60">
        <f t="shared" ca="1" si="25"/>
        <v>0</v>
      </c>
      <c r="F190" s="60">
        <f ca="1">F1360</f>
        <v>0</v>
      </c>
      <c r="H190" s="60">
        <f ca="1">H1360</f>
        <v>0</v>
      </c>
      <c r="I190" s="60">
        <f t="shared" ca="1" si="26"/>
        <v>0</v>
      </c>
      <c r="L190" s="60">
        <f ca="1">L1360</f>
        <v>0</v>
      </c>
      <c r="M190" s="60"/>
      <c r="N190" s="60">
        <f t="shared" ca="1" si="27"/>
        <v>0</v>
      </c>
      <c r="O190" s="60">
        <f ca="1">O1360</f>
        <v>0</v>
      </c>
      <c r="P190" s="60">
        <f ca="1">P1360</f>
        <v>0</v>
      </c>
      <c r="Q190" s="60">
        <f ca="1">Q1360</f>
        <v>0</v>
      </c>
    </row>
    <row r="191" spans="1:17" x14ac:dyDescent="0.2">
      <c r="A191" s="60">
        <v>25</v>
      </c>
      <c r="B191" s="48" t="s">
        <v>1138</v>
      </c>
      <c r="C191" s="51" t="s">
        <v>1139</v>
      </c>
      <c r="D191" s="60">
        <f t="shared" ca="1" si="25"/>
        <v>0</v>
      </c>
      <c r="F191" s="60">
        <f ca="1">F1360</f>
        <v>0</v>
      </c>
      <c r="H191" s="60">
        <f ca="1">H1360</f>
        <v>0</v>
      </c>
      <c r="I191" s="60">
        <f t="shared" ca="1" si="26"/>
        <v>0</v>
      </c>
      <c r="L191" s="60">
        <f ca="1">L1360</f>
        <v>0</v>
      </c>
      <c r="M191" s="60"/>
      <c r="N191" s="60">
        <f t="shared" ca="1" si="27"/>
        <v>0</v>
      </c>
      <c r="O191" s="60">
        <f ca="1">O1360</f>
        <v>0</v>
      </c>
      <c r="P191" s="60">
        <f ca="1">P1360</f>
        <v>0</v>
      </c>
      <c r="Q191" s="60">
        <f ca="1">Q1360</f>
        <v>0</v>
      </c>
    </row>
    <row r="192" spans="1:17" x14ac:dyDescent="0.2">
      <c r="A192" s="60">
        <v>26</v>
      </c>
      <c r="B192" s="48" t="s">
        <v>1140</v>
      </c>
      <c r="C192" s="56" t="s">
        <v>1334</v>
      </c>
      <c r="D192" s="60">
        <f t="shared" ca="1" si="25"/>
        <v>15897596.83</v>
      </c>
      <c r="F192" s="60">
        <f ca="1">SUM(F1001:F1006)</f>
        <v>12822591.852505596</v>
      </c>
      <c r="H192" s="60">
        <f ca="1">SUM(H1001:H1006)</f>
        <v>1788132.856144703</v>
      </c>
      <c r="I192" s="60">
        <f t="shared" ca="1" si="26"/>
        <v>1286872.121349701</v>
      </c>
      <c r="L192" s="60">
        <f ca="1">SUM(L1001:L1006)</f>
        <v>110.44880895057254</v>
      </c>
      <c r="M192" s="60"/>
      <c r="N192" s="60">
        <f t="shared" ca="1" si="27"/>
        <v>1286761.6725407504</v>
      </c>
      <c r="O192" s="60">
        <f ca="1">SUM(O1001:O1006)</f>
        <v>401502.28989916376</v>
      </c>
      <c r="P192" s="60">
        <f ca="1">SUM(P1001:P1006)</f>
        <v>885259.38264158648</v>
      </c>
      <c r="Q192" s="60">
        <f ca="1">SUM(Q1001:Q1006)</f>
        <v>0</v>
      </c>
    </row>
    <row r="193" spans="1:17" x14ac:dyDescent="0.2">
      <c r="A193" s="60">
        <v>27</v>
      </c>
      <c r="B193" s="48" t="s">
        <v>1141</v>
      </c>
      <c r="C193" s="56" t="s">
        <v>1335</v>
      </c>
      <c r="D193" s="60">
        <f t="shared" ca="1" si="25"/>
        <v>7296485.7400000012</v>
      </c>
      <c r="F193" s="60">
        <f ca="1">SUM(F1010:F1014)</f>
        <v>5870248.5984464949</v>
      </c>
      <c r="H193" s="60">
        <f ca="1">SUM(H1010:H1014)</f>
        <v>829364.99684751139</v>
      </c>
      <c r="I193" s="60">
        <f t="shared" ca="1" si="26"/>
        <v>596872.14470599475</v>
      </c>
      <c r="L193" s="60">
        <f ca="1">SUM(L1010:L1014)</f>
        <v>51.227947505311171</v>
      </c>
      <c r="M193" s="60"/>
      <c r="N193" s="60">
        <f t="shared" ca="1" si="27"/>
        <v>596820.91675848945</v>
      </c>
      <c r="O193" s="60">
        <f ca="1">SUM(O1010:O1014)</f>
        <v>186223.26873095692</v>
      </c>
      <c r="P193" s="60">
        <f ca="1">SUM(P1010:P1014)</f>
        <v>410597.6480275325</v>
      </c>
      <c r="Q193" s="60">
        <f ca="1">SUM(Q1010:Q1014)</f>
        <v>0</v>
      </c>
    </row>
    <row r="194" spans="1:17" x14ac:dyDescent="0.2">
      <c r="A194" s="60">
        <v>28</v>
      </c>
      <c r="B194" s="48" t="s">
        <v>1142</v>
      </c>
      <c r="C194" s="51" t="s">
        <v>1143</v>
      </c>
      <c r="D194" s="60">
        <f t="shared" ca="1" si="25"/>
        <v>5806037.21</v>
      </c>
      <c r="F194" s="60">
        <f ca="1">F1367</f>
        <v>4659128.9201877248</v>
      </c>
      <c r="H194" s="60">
        <f ca="1">H1367</f>
        <v>666933.68336240132</v>
      </c>
      <c r="I194" s="60">
        <f t="shared" ca="1" si="26"/>
        <v>479974.60644987389</v>
      </c>
      <c r="L194" s="60">
        <f ca="1">L1367</f>
        <v>41.194942939091355</v>
      </c>
      <c r="M194" s="60"/>
      <c r="N194" s="60">
        <f t="shared" ca="1" si="27"/>
        <v>479933.41150693479</v>
      </c>
      <c r="O194" s="60">
        <f t="shared" ref="O194:Q195" ca="1" si="28">O1367</f>
        <v>149751.4013909593</v>
      </c>
      <c r="P194" s="60">
        <f t="shared" ca="1" si="28"/>
        <v>330182.01011597551</v>
      </c>
      <c r="Q194" s="60">
        <f t="shared" ca="1" si="28"/>
        <v>0</v>
      </c>
    </row>
    <row r="195" spans="1:17" x14ac:dyDescent="0.2">
      <c r="A195" s="60">
        <v>29</v>
      </c>
      <c r="B195" s="48" t="s">
        <v>1144</v>
      </c>
      <c r="C195" s="51" t="s">
        <v>1145</v>
      </c>
      <c r="D195" s="60">
        <f t="shared" si="25"/>
        <v>0</v>
      </c>
      <c r="F195" s="60">
        <f>F1368</f>
        <v>0</v>
      </c>
      <c r="H195" s="60">
        <f>H1368</f>
        <v>0</v>
      </c>
      <c r="I195" s="60">
        <f t="shared" si="26"/>
        <v>0</v>
      </c>
      <c r="L195" s="60">
        <f>L1368</f>
        <v>0</v>
      </c>
      <c r="M195" s="60"/>
      <c r="N195" s="60">
        <f t="shared" si="27"/>
        <v>0</v>
      </c>
      <c r="O195" s="60">
        <f t="shared" si="28"/>
        <v>0</v>
      </c>
      <c r="P195" s="60">
        <f t="shared" si="28"/>
        <v>0</v>
      </c>
      <c r="Q195" s="60">
        <f t="shared" si="28"/>
        <v>0</v>
      </c>
    </row>
    <row r="196" spans="1:17" x14ac:dyDescent="0.2">
      <c r="A196" s="60">
        <v>30</v>
      </c>
      <c r="B196" s="48" t="s">
        <v>1146</v>
      </c>
      <c r="C196" s="56" t="s">
        <v>1336</v>
      </c>
      <c r="D196" s="60">
        <f t="shared" ca="1" si="25"/>
        <v>18068319.760000002</v>
      </c>
      <c r="F196" s="60">
        <f ca="1">SUM(F1022:F1029)</f>
        <v>16955464.371824909</v>
      </c>
      <c r="H196" s="60">
        <f ca="1">SUM(H1022:H1029)</f>
        <v>1028083.351331161</v>
      </c>
      <c r="I196" s="60">
        <f t="shared" ca="1" si="26"/>
        <v>84772.036843931797</v>
      </c>
      <c r="L196" s="60">
        <f ca="1">SUM(L1022:L1029)</f>
        <v>1772.0338904307212</v>
      </c>
      <c r="M196" s="60"/>
      <c r="N196" s="60">
        <f t="shared" ca="1" si="27"/>
        <v>83000.002953501069</v>
      </c>
      <c r="O196" s="60">
        <f ca="1">SUM(O1022:O1029)</f>
        <v>53717.879509856204</v>
      </c>
      <c r="P196" s="60">
        <f ca="1">SUM(P1022:P1029)</f>
        <v>29282.123443644872</v>
      </c>
      <c r="Q196" s="60">
        <f ca="1">SUM(Q1022:Q1029)</f>
        <v>0</v>
      </c>
    </row>
    <row r="197" spans="1:17" x14ac:dyDescent="0.2">
      <c r="A197" s="60">
        <v>31</v>
      </c>
      <c r="B197" s="48" t="s">
        <v>1147</v>
      </c>
      <c r="C197" s="56" t="s">
        <v>1337</v>
      </c>
      <c r="D197" s="60">
        <f t="shared" ca="1" si="25"/>
        <v>33827107.82</v>
      </c>
      <c r="F197" s="60">
        <f ca="1">SUM(F1032:F1039)</f>
        <v>31296859.730097093</v>
      </c>
      <c r="H197" s="60">
        <f ca="1">SUM(H1032:H1039)</f>
        <v>2509484.3444370027</v>
      </c>
      <c r="I197" s="60">
        <f t="shared" ca="1" si="26"/>
        <v>20763.745465904463</v>
      </c>
      <c r="L197" s="60">
        <f ca="1">SUM(L1032:L1039)</f>
        <v>4537.4376116084486</v>
      </c>
      <c r="M197" s="60"/>
      <c r="N197" s="60">
        <f t="shared" ca="1" si="27"/>
        <v>16226.307854296016</v>
      </c>
      <c r="O197" s="60">
        <f ca="1">SUM(O1032:O1039)</f>
        <v>15922.876358750889</v>
      </c>
      <c r="P197" s="60">
        <f ca="1">SUM(P1032:P1039)</f>
        <v>303.43149554512587</v>
      </c>
      <c r="Q197" s="60">
        <f ca="1">SUM(Q1032:Q1039)</f>
        <v>0</v>
      </c>
    </row>
    <row r="198" spans="1:17" x14ac:dyDescent="0.2">
      <c r="A198" s="60">
        <v>32</v>
      </c>
      <c r="B198" s="48" t="s">
        <v>1148</v>
      </c>
      <c r="C198" s="51" t="s">
        <v>1149</v>
      </c>
      <c r="D198" s="60">
        <f t="shared" ca="1" si="25"/>
        <v>19510181.420000006</v>
      </c>
      <c r="F198" s="60">
        <f ca="1">F1390</f>
        <v>18356089.505954929</v>
      </c>
      <c r="H198" s="60">
        <f ca="1">H1390</f>
        <v>1093074.5265645182</v>
      </c>
      <c r="I198" s="60">
        <f t="shared" ca="1" si="26"/>
        <v>61017.38748055527</v>
      </c>
      <c r="L198" s="60">
        <f ca="1">L1390</f>
        <v>2205.0293226759177</v>
      </c>
      <c r="M198" s="60"/>
      <c r="N198" s="60">
        <f t="shared" ca="1" si="27"/>
        <v>58812.358157879353</v>
      </c>
      <c r="O198" s="60">
        <f t="shared" ref="O198:Q199" ca="1" si="29">O1390</f>
        <v>50539.881956826372</v>
      </c>
      <c r="P198" s="60">
        <f t="shared" ca="1" si="29"/>
        <v>8272.4762010529794</v>
      </c>
      <c r="Q198" s="60">
        <f t="shared" ca="1" si="29"/>
        <v>0</v>
      </c>
    </row>
    <row r="199" spans="1:17" x14ac:dyDescent="0.2">
      <c r="A199" s="60">
        <v>33</v>
      </c>
      <c r="B199" s="48" t="s">
        <v>1150</v>
      </c>
      <c r="C199" s="51" t="s">
        <v>1151</v>
      </c>
      <c r="D199" s="60">
        <f t="shared" si="25"/>
        <v>0</v>
      </c>
      <c r="F199" s="60">
        <f>F1391</f>
        <v>0</v>
      </c>
      <c r="H199" s="60">
        <f>H1391</f>
        <v>0</v>
      </c>
      <c r="I199" s="60">
        <f t="shared" si="26"/>
        <v>0</v>
      </c>
      <c r="L199" s="60">
        <f>L1391</f>
        <v>0</v>
      </c>
      <c r="M199" s="60"/>
      <c r="N199" s="60">
        <f t="shared" si="27"/>
        <v>0</v>
      </c>
      <c r="O199" s="60">
        <f t="shared" si="29"/>
        <v>0</v>
      </c>
      <c r="P199" s="60">
        <f t="shared" si="29"/>
        <v>0</v>
      </c>
      <c r="Q199" s="60">
        <f t="shared" si="29"/>
        <v>0</v>
      </c>
    </row>
    <row r="200" spans="1:17" x14ac:dyDescent="0.2">
      <c r="A200" s="60">
        <v>34</v>
      </c>
      <c r="B200" s="48" t="s">
        <v>1154</v>
      </c>
      <c r="C200" s="56" t="s">
        <v>1338</v>
      </c>
      <c r="D200" s="60">
        <f t="shared" ca="1" si="25"/>
        <v>19989907.949999999</v>
      </c>
      <c r="F200" s="60">
        <f ca="1">F1049+F1050+F1052</f>
        <v>18912612.966814157</v>
      </c>
      <c r="H200" s="60">
        <f ca="1">H1049+H1050+H1052</f>
        <v>1052421.3682906679</v>
      </c>
      <c r="I200" s="60">
        <f t="shared" ca="1" si="26"/>
        <v>24873.614895177034</v>
      </c>
      <c r="L200" s="60">
        <f ca="1">L1049+L1050+L1052</f>
        <v>187.22075727552607</v>
      </c>
      <c r="M200" s="60"/>
      <c r="N200" s="60">
        <f t="shared" ca="1" si="27"/>
        <v>24686.394137901509</v>
      </c>
      <c r="O200" s="60">
        <f ca="1">O1049+O1050+O1052</f>
        <v>13212.436299158555</v>
      </c>
      <c r="P200" s="60">
        <f ca="1">P1049+P1050+P1052</f>
        <v>11473.957838742954</v>
      </c>
      <c r="Q200" s="60">
        <f ca="1">Q1049+Q1050+Q1052</f>
        <v>0</v>
      </c>
    </row>
    <row r="201" spans="1:17" x14ac:dyDescent="0.2">
      <c r="A201" s="60">
        <v>35</v>
      </c>
      <c r="B201" s="48" t="s">
        <v>1155</v>
      </c>
      <c r="C201" s="51" t="s">
        <v>1156</v>
      </c>
      <c r="D201" s="60">
        <f t="shared" ca="1" si="25"/>
        <v>2455747.42</v>
      </c>
      <c r="F201" s="60">
        <f ca="1">F1398</f>
        <v>2323402.4196050591</v>
      </c>
      <c r="H201" s="60">
        <f ca="1">H1398</f>
        <v>129289.29269695199</v>
      </c>
      <c r="I201" s="60">
        <f t="shared" ca="1" si="26"/>
        <v>3055.7076979889034</v>
      </c>
      <c r="L201" s="60">
        <f ca="1">L1398</f>
        <v>22.999950414970236</v>
      </c>
      <c r="M201" s="60"/>
      <c r="N201" s="60">
        <f t="shared" ca="1" si="27"/>
        <v>3032.7077475739334</v>
      </c>
      <c r="O201" s="60">
        <f ca="1">O1398</f>
        <v>1623.1393578564714</v>
      </c>
      <c r="P201" s="60">
        <f ca="1">P1398</f>
        <v>1409.5683897174617</v>
      </c>
      <c r="Q201" s="60">
        <f ca="1">Q1398</f>
        <v>0</v>
      </c>
    </row>
    <row r="202" spans="1:17" x14ac:dyDescent="0.2">
      <c r="A202" s="60">
        <v>36</v>
      </c>
      <c r="B202" s="48" t="s">
        <v>1157</v>
      </c>
      <c r="C202" s="56" t="s">
        <v>1339</v>
      </c>
      <c r="D202" s="60">
        <f t="shared" ca="1" si="25"/>
        <v>14263008.130000001</v>
      </c>
      <c r="F202" s="60">
        <f ca="1">SUM(F1057:F1059,F1064:F1066)</f>
        <v>14252968.890397022</v>
      </c>
      <c r="H202" s="60">
        <f ca="1">SUM(H1057:H1059,H1064:H1066)</f>
        <v>10037.862619868854</v>
      </c>
      <c r="I202" s="60">
        <f t="shared" ca="1" si="26"/>
        <v>1.3769831091421316</v>
      </c>
      <c r="L202" s="60">
        <f ca="1">SUM(L1057:L1059,L1064:L1066)</f>
        <v>1.3769831091421316</v>
      </c>
      <c r="M202" s="60"/>
      <c r="N202" s="60">
        <f t="shared" ca="1" si="27"/>
        <v>0</v>
      </c>
      <c r="O202" s="60">
        <f ca="1">SUM(O1057:O1059,O1064:O1066)</f>
        <v>0</v>
      </c>
      <c r="P202" s="60">
        <f ca="1">SUM(P1057:P1059,P1064:P1066)</f>
        <v>0</v>
      </c>
      <c r="Q202" s="60">
        <f ca="1">SUM(Q1057:Q1059,Q1064:Q1066)</f>
        <v>0</v>
      </c>
    </row>
    <row r="203" spans="1:17" x14ac:dyDescent="0.2">
      <c r="A203" s="60">
        <v>37</v>
      </c>
      <c r="B203" s="48" t="s">
        <v>1158</v>
      </c>
      <c r="C203" s="51" t="s">
        <v>1159</v>
      </c>
      <c r="D203" s="60">
        <f t="shared" ca="1" si="25"/>
        <v>2455747.42</v>
      </c>
      <c r="F203" s="60">
        <f ca="1">F1398</f>
        <v>2323402.4196050591</v>
      </c>
      <c r="H203" s="60">
        <f ca="1">H1398</f>
        <v>129289.29269695199</v>
      </c>
      <c r="I203" s="60">
        <f t="shared" ca="1" si="26"/>
        <v>3055.7076979889034</v>
      </c>
      <c r="L203" s="60">
        <f ca="1">L1398</f>
        <v>22.999950414970236</v>
      </c>
      <c r="M203" s="60"/>
      <c r="N203" s="60">
        <f t="shared" ca="1" si="27"/>
        <v>3032.7077475739334</v>
      </c>
      <c r="O203" s="60">
        <f ca="1">O1398</f>
        <v>1623.1393578564714</v>
      </c>
      <c r="P203" s="60">
        <f ca="1">P1398</f>
        <v>1409.5683897174617</v>
      </c>
      <c r="Q203" s="60">
        <f ca="1">Q1398</f>
        <v>0</v>
      </c>
    </row>
    <row r="204" spans="1:17" x14ac:dyDescent="0.2">
      <c r="A204" s="60">
        <v>38</v>
      </c>
      <c r="B204" s="48" t="s">
        <v>1160</v>
      </c>
      <c r="C204" s="56" t="s">
        <v>1340</v>
      </c>
      <c r="D204" s="60">
        <f t="shared" ca="1" si="25"/>
        <v>23966.440000000002</v>
      </c>
      <c r="F204" s="60">
        <f ca="1">SUM(F1064:F1066)</f>
        <v>22671.514794681963</v>
      </c>
      <c r="H204" s="60">
        <f ca="1">SUM(H1064:H1066)</f>
        <v>1294.7475932472189</v>
      </c>
      <c r="I204" s="60">
        <f t="shared" ca="1" si="26"/>
        <v>0.17761207081823369</v>
      </c>
      <c r="L204" s="60">
        <f ca="1">SUM(L1064:L1066)</f>
        <v>0.17761207081823369</v>
      </c>
      <c r="M204" s="60"/>
      <c r="N204" s="60">
        <f t="shared" ca="1" si="27"/>
        <v>0</v>
      </c>
      <c r="O204" s="60">
        <f ca="1">SUM(O1064:O1066)</f>
        <v>0</v>
      </c>
      <c r="P204" s="60">
        <f ca="1">SUM(P1064:P1066)</f>
        <v>0</v>
      </c>
      <c r="Q204" s="60">
        <f ca="1">SUM(Q1064:Q1066)</f>
        <v>0</v>
      </c>
    </row>
    <row r="205" spans="1:17" x14ac:dyDescent="0.2">
      <c r="A205" s="60">
        <v>39</v>
      </c>
      <c r="B205" s="48" t="s">
        <v>1161</v>
      </c>
      <c r="C205" s="51" t="s">
        <v>1162</v>
      </c>
      <c r="D205" s="60">
        <f t="shared" ca="1" si="25"/>
        <v>1457202.11</v>
      </c>
      <c r="F205" s="60">
        <f ca="1">F1415</f>
        <v>1456176.4356822884</v>
      </c>
      <c r="H205" s="60">
        <f ca="1">H1415</f>
        <v>1025.5336361196496</v>
      </c>
      <c r="I205" s="60">
        <f t="shared" ca="1" si="26"/>
        <v>0.14068159211490786</v>
      </c>
      <c r="L205" s="60">
        <f ca="1">L1415</f>
        <v>0.14068159211490786</v>
      </c>
      <c r="M205" s="60"/>
      <c r="N205" s="60">
        <f t="shared" ca="1" si="27"/>
        <v>0</v>
      </c>
      <c r="O205" s="60">
        <f ca="1">O1415</f>
        <v>0</v>
      </c>
      <c r="P205" s="60">
        <f ca="1">P1415</f>
        <v>0</v>
      </c>
      <c r="Q205" s="60">
        <f ca="1">Q1415</f>
        <v>0</v>
      </c>
    </row>
    <row r="206" spans="1:17" x14ac:dyDescent="0.2">
      <c r="A206" s="60">
        <v>40</v>
      </c>
      <c r="B206" s="48" t="s">
        <v>1163</v>
      </c>
      <c r="C206" s="51" t="s">
        <v>447</v>
      </c>
      <c r="D206" s="60">
        <f t="shared" ca="1" si="25"/>
        <v>103626522.50999999</v>
      </c>
      <c r="F206" s="60">
        <f ca="1">F1103</f>
        <v>93031575.562712044</v>
      </c>
      <c r="H206" s="60">
        <f ca="1">H1103</f>
        <v>5878223.4390048729</v>
      </c>
      <c r="I206" s="60">
        <f t="shared" ca="1" si="26"/>
        <v>4716723.5082830722</v>
      </c>
      <c r="L206" s="60">
        <f ca="1">L1103</f>
        <v>3118.0683717124462</v>
      </c>
      <c r="M206" s="60"/>
      <c r="N206" s="60">
        <f t="shared" ca="1" si="27"/>
        <v>4713605.4399113599</v>
      </c>
      <c r="O206" s="60">
        <f ca="1">O1103</f>
        <v>1529124.9274605478</v>
      </c>
      <c r="P206" s="60">
        <f ca="1">P1103</f>
        <v>3184480.5124508124</v>
      </c>
      <c r="Q206" s="60">
        <f ca="1">Q1103</f>
        <v>4.8918820642177681E-12</v>
      </c>
    </row>
    <row r="207" spans="1:17" x14ac:dyDescent="0.2">
      <c r="C207" s="58"/>
    </row>
    <row r="208" spans="1:17" x14ac:dyDescent="0.2">
      <c r="B208" s="69" t="s">
        <v>1096</v>
      </c>
    </row>
    <row r="209" spans="1:17" x14ac:dyDescent="0.2">
      <c r="B209" s="67" t="s">
        <v>493</v>
      </c>
    </row>
    <row r="210" spans="1:17" x14ac:dyDescent="0.2">
      <c r="A210" s="60">
        <v>1</v>
      </c>
      <c r="B210" s="48" t="s">
        <v>1164</v>
      </c>
      <c r="C210" s="51" t="s">
        <v>1165</v>
      </c>
      <c r="D210" s="60">
        <f t="shared" ref="D210:D216" ca="1" si="30">SUM(F210:I210)+K210</f>
        <v>1396664.09</v>
      </c>
      <c r="F210" s="60">
        <f ca="1">F1101</f>
        <v>1326517.9832373534</v>
      </c>
      <c r="H210" s="60">
        <f ca="1">H1101</f>
        <v>70138.814736388886</v>
      </c>
      <c r="I210" s="60">
        <f t="shared" ref="I210:I216" ca="1" si="31">(L210+M210+N210)</f>
        <v>7.2920262577298507</v>
      </c>
      <c r="L210" s="60">
        <f ca="1">L1101</f>
        <v>7.2920262577298507</v>
      </c>
      <c r="M210" s="60"/>
      <c r="N210" s="60">
        <f t="shared" ref="N210:N216" ca="1" si="32">SUM(O210:Q210)</f>
        <v>0</v>
      </c>
      <c r="O210" s="60">
        <f ca="1">O1101</f>
        <v>0</v>
      </c>
      <c r="P210" s="60">
        <f ca="1">P1101</f>
        <v>0</v>
      </c>
      <c r="Q210" s="60">
        <f ca="1">Q1101</f>
        <v>0</v>
      </c>
    </row>
    <row r="211" spans="1:17" x14ac:dyDescent="0.2">
      <c r="A211" s="60">
        <v>2</v>
      </c>
      <c r="B211" s="48" t="s">
        <v>1166</v>
      </c>
      <c r="C211" s="51" t="s">
        <v>1167</v>
      </c>
      <c r="D211" s="60">
        <f t="shared" ca="1" si="30"/>
        <v>14444732.700000001</v>
      </c>
      <c r="F211" s="60">
        <f ca="1">F1060</f>
        <v>14435843.606793078</v>
      </c>
      <c r="H211" s="60">
        <f ca="1">H1060</f>
        <v>8887.8739780085671</v>
      </c>
      <c r="I211" s="60">
        <f t="shared" ca="1" si="31"/>
        <v>1.2192289142986477</v>
      </c>
      <c r="L211" s="60">
        <f ca="1">L1060</f>
        <v>1.2192289142986477</v>
      </c>
      <c r="M211" s="60"/>
      <c r="N211" s="60">
        <f t="shared" ca="1" si="32"/>
        <v>0</v>
      </c>
      <c r="O211" s="60">
        <f ca="1">O1060</f>
        <v>0</v>
      </c>
      <c r="P211" s="60">
        <f ca="1">P1060</f>
        <v>0</v>
      </c>
      <c r="Q211" s="60">
        <f ca="1">Q1060</f>
        <v>0</v>
      </c>
    </row>
    <row r="212" spans="1:17" x14ac:dyDescent="0.2">
      <c r="A212" s="60">
        <v>3</v>
      </c>
      <c r="B212" s="48" t="s">
        <v>1168</v>
      </c>
      <c r="C212" s="51" t="s">
        <v>1169</v>
      </c>
      <c r="D212" s="60">
        <f t="shared" ca="1" si="30"/>
        <v>1353432051.0699999</v>
      </c>
      <c r="F212" s="60">
        <f ca="1">F729-F715</f>
        <v>1348948019.5461249</v>
      </c>
      <c r="H212" s="60">
        <f ca="1">H729-H715</f>
        <v>0</v>
      </c>
      <c r="I212" s="60">
        <f t="shared" ca="1" si="31"/>
        <v>4484031.5238750307</v>
      </c>
      <c r="L212" s="60">
        <f ca="1">L729-L715</f>
        <v>162042.68</v>
      </c>
      <c r="M212" s="60"/>
      <c r="N212" s="60">
        <f t="shared" ca="1" si="32"/>
        <v>4321988.843875031</v>
      </c>
      <c r="O212" s="60">
        <f ca="1">O729-O715</f>
        <v>3714063.0443994557</v>
      </c>
      <c r="P212" s="60">
        <f ca="1">P729-P715</f>
        <v>607925.79947557533</v>
      </c>
      <c r="Q212" s="60">
        <f ca="1">Q729-Q715</f>
        <v>0</v>
      </c>
    </row>
    <row r="213" spans="1:17" x14ac:dyDescent="0.2">
      <c r="A213" s="60">
        <v>4</v>
      </c>
      <c r="B213" s="48" t="s">
        <v>1170</v>
      </c>
      <c r="C213" s="51" t="s">
        <v>1171</v>
      </c>
      <c r="D213" s="60">
        <f t="shared" ca="1" si="30"/>
        <v>64434373.699271724</v>
      </c>
      <c r="F213" s="60">
        <f ca="1">F1392</f>
        <v>64434373.699271724</v>
      </c>
      <c r="G213" s="68"/>
      <c r="H213" s="68">
        <v>0</v>
      </c>
      <c r="I213" s="60">
        <f t="shared" si="31"/>
        <v>0</v>
      </c>
      <c r="L213" s="68">
        <v>0</v>
      </c>
      <c r="M213" s="68"/>
      <c r="N213" s="60">
        <f t="shared" si="32"/>
        <v>0</v>
      </c>
      <c r="O213" s="68">
        <v>0</v>
      </c>
      <c r="P213" s="68">
        <v>0</v>
      </c>
      <c r="Q213" s="68">
        <v>0</v>
      </c>
    </row>
    <row r="214" spans="1:17" x14ac:dyDescent="0.2">
      <c r="A214" s="60">
        <v>5</v>
      </c>
      <c r="B214" s="48" t="s">
        <v>1172</v>
      </c>
      <c r="C214" s="51" t="s">
        <v>1173</v>
      </c>
      <c r="D214" s="60">
        <f t="shared" ca="1" si="30"/>
        <v>4125280.2933688816</v>
      </c>
      <c r="F214" s="68">
        <v>0</v>
      </c>
      <c r="G214" s="68"/>
      <c r="H214" s="60">
        <f ca="1">H1392</f>
        <v>4125280.2933688816</v>
      </c>
      <c r="I214" s="60">
        <f t="shared" si="31"/>
        <v>0</v>
      </c>
      <c r="L214" s="68">
        <v>0</v>
      </c>
      <c r="M214" s="60"/>
      <c r="N214" s="60">
        <f t="shared" si="32"/>
        <v>0</v>
      </c>
      <c r="O214" s="68">
        <v>0</v>
      </c>
      <c r="P214" s="68">
        <v>0</v>
      </c>
      <c r="Q214" s="68">
        <v>0</v>
      </c>
    </row>
    <row r="215" spans="1:17" x14ac:dyDescent="0.2">
      <c r="A215" s="60">
        <v>6</v>
      </c>
      <c r="B215" s="48" t="s">
        <v>1174</v>
      </c>
      <c r="C215" s="51" t="s">
        <v>1175</v>
      </c>
      <c r="D215" s="60">
        <f t="shared" si="30"/>
        <v>0</v>
      </c>
      <c r="F215" s="68">
        <v>0</v>
      </c>
      <c r="G215" s="68"/>
      <c r="H215" s="68">
        <v>0</v>
      </c>
      <c r="I215" s="60">
        <f t="shared" si="31"/>
        <v>0</v>
      </c>
      <c r="L215" s="68">
        <v>0</v>
      </c>
      <c r="M215" s="68"/>
      <c r="N215" s="60">
        <f t="shared" si="32"/>
        <v>0</v>
      </c>
      <c r="O215" s="68">
        <v>0</v>
      </c>
      <c r="P215" s="68">
        <v>0</v>
      </c>
      <c r="Q215" s="68">
        <v>0</v>
      </c>
    </row>
    <row r="216" spans="1:17" x14ac:dyDescent="0.2">
      <c r="A216" s="60">
        <v>7</v>
      </c>
      <c r="B216" s="48" t="s">
        <v>1176</v>
      </c>
      <c r="C216" s="51" t="s">
        <v>1177</v>
      </c>
      <c r="D216" s="60">
        <f t="shared" ca="1" si="30"/>
        <v>4823306.2092908984</v>
      </c>
      <c r="F216" s="68">
        <v>0</v>
      </c>
      <c r="G216" s="68"/>
      <c r="H216" s="68">
        <v>0</v>
      </c>
      <c r="I216" s="60">
        <f t="shared" ca="1" si="31"/>
        <v>4823306.2092908984</v>
      </c>
      <c r="L216" s="68">
        <v>0</v>
      </c>
      <c r="M216" s="68"/>
      <c r="N216" s="60">
        <f t="shared" ca="1" si="32"/>
        <v>4823306.2092908984</v>
      </c>
      <c r="O216" s="60">
        <f ca="1">O1392</f>
        <v>1563830.0073313776</v>
      </c>
      <c r="P216" s="60">
        <f ca="1">P1392</f>
        <v>3259476.2019595206</v>
      </c>
      <c r="Q216" s="68">
        <v>0</v>
      </c>
    </row>
    <row r="217" spans="1:17" x14ac:dyDescent="0.2">
      <c r="A217" s="60">
        <v>8</v>
      </c>
      <c r="B217" s="70" t="s">
        <v>1363</v>
      </c>
      <c r="C217" s="51" t="s">
        <v>1364</v>
      </c>
      <c r="D217" s="60">
        <f t="shared" ref="D217:D218" ca="1" si="33">SUM(F217:I217)+K217</f>
        <v>-1256557</v>
      </c>
      <c r="F217" s="68">
        <f ca="1">F1230</f>
        <v>-1104028.4242857145</v>
      </c>
      <c r="G217" s="68"/>
      <c r="H217" s="68">
        <f ca="1">H1230</f>
        <v>-70030.651345793449</v>
      </c>
      <c r="I217" s="60">
        <f t="shared" ref="I217:I218" ca="1" si="34">(L217+M217+N217)</f>
        <v>-82497.924368492197</v>
      </c>
      <c r="L217" s="68">
        <f ca="1">L1230</f>
        <v>-38.956291710910499</v>
      </c>
      <c r="M217" s="68"/>
      <c r="N217" s="60">
        <f t="shared" ref="N217:N218" ca="1" si="35">SUM(O217:Q217)</f>
        <v>-82458.968076781282</v>
      </c>
      <c r="O217" s="68">
        <f t="shared" ref="O217:P217" ca="1" si="36">O1230</f>
        <v>-26198.727363966747</v>
      </c>
      <c r="P217" s="68">
        <f t="shared" ca="1" si="36"/>
        <v>-56260.240712814535</v>
      </c>
      <c r="Q217" s="68">
        <v>0</v>
      </c>
    </row>
    <row r="218" spans="1:17" x14ac:dyDescent="0.2">
      <c r="A218" s="60">
        <v>9</v>
      </c>
      <c r="B218" s="70" t="s">
        <v>1531</v>
      </c>
      <c r="C218" s="56" t="s">
        <v>1532</v>
      </c>
      <c r="D218" s="60">
        <f t="shared" ca="1" si="33"/>
        <v>3839514212.1583762</v>
      </c>
      <c r="F218" s="60">
        <f ca="1">F894</f>
        <v>3550375898.9468842</v>
      </c>
      <c r="H218" s="60">
        <v>0</v>
      </c>
      <c r="I218" s="60">
        <f t="shared" ca="1" si="34"/>
        <v>289138313.21149194</v>
      </c>
      <c r="L218" s="60">
        <v>0</v>
      </c>
      <c r="M218" s="60"/>
      <c r="N218" s="60">
        <f t="shared" ca="1" si="35"/>
        <v>289138313.21149194</v>
      </c>
      <c r="O218" s="60">
        <f t="shared" ref="O218:P218" ca="1" si="37">O894</f>
        <v>91830469.28928861</v>
      </c>
      <c r="P218" s="60">
        <f t="shared" ca="1" si="37"/>
        <v>197307843.92220336</v>
      </c>
      <c r="Q218" s="60">
        <f>Q935</f>
        <v>0</v>
      </c>
    </row>
    <row r="219" spans="1:17" x14ac:dyDescent="0.2">
      <c r="A219" s="60">
        <v>10</v>
      </c>
      <c r="C219" s="58"/>
    </row>
    <row r="220" spans="1:17" x14ac:dyDescent="0.2">
      <c r="A220" s="60">
        <v>11</v>
      </c>
      <c r="C220" s="58"/>
    </row>
    <row r="221" spans="1:17" x14ac:dyDescent="0.2">
      <c r="A221" s="60">
        <v>12</v>
      </c>
    </row>
    <row r="222" spans="1:17" x14ac:dyDescent="0.2">
      <c r="A222" s="60">
        <v>13</v>
      </c>
    </row>
    <row r="223" spans="1:17" x14ac:dyDescent="0.2">
      <c r="A223" s="60">
        <v>14</v>
      </c>
    </row>
    <row r="224" spans="1:17" x14ac:dyDescent="0.2">
      <c r="A224" s="60">
        <v>15</v>
      </c>
    </row>
    <row r="225" spans="1:3" x14ac:dyDescent="0.2">
      <c r="A225" s="60">
        <v>16</v>
      </c>
    </row>
    <row r="226" spans="1:3" x14ac:dyDescent="0.2">
      <c r="A226" s="60">
        <v>17</v>
      </c>
    </row>
    <row r="227" spans="1:3" x14ac:dyDescent="0.2">
      <c r="A227" s="60">
        <v>18</v>
      </c>
      <c r="C227" s="58"/>
    </row>
    <row r="228" spans="1:3" x14ac:dyDescent="0.2">
      <c r="A228" s="60">
        <v>19</v>
      </c>
      <c r="C228" s="58"/>
    </row>
    <row r="229" spans="1:3" x14ac:dyDescent="0.2">
      <c r="A229" s="60">
        <v>20</v>
      </c>
      <c r="C229" s="58"/>
    </row>
    <row r="230" spans="1:3" x14ac:dyDescent="0.2">
      <c r="A230" s="60">
        <v>21</v>
      </c>
      <c r="C230" s="58"/>
    </row>
    <row r="231" spans="1:3" x14ac:dyDescent="0.2">
      <c r="A231" s="60">
        <v>22</v>
      </c>
      <c r="C231" s="58"/>
    </row>
    <row r="232" spans="1:3" x14ac:dyDescent="0.2">
      <c r="A232" s="60">
        <v>23</v>
      </c>
      <c r="C232" s="58"/>
    </row>
    <row r="233" spans="1:3" x14ac:dyDescent="0.2">
      <c r="A233" s="60">
        <v>24</v>
      </c>
      <c r="C233" s="58"/>
    </row>
    <row r="234" spans="1:3" x14ac:dyDescent="0.2">
      <c r="A234" s="60">
        <v>25</v>
      </c>
      <c r="C234" s="58"/>
    </row>
    <row r="235" spans="1:3" x14ac:dyDescent="0.2">
      <c r="A235" s="60">
        <v>26</v>
      </c>
      <c r="C235" s="58"/>
    </row>
    <row r="236" spans="1:3" x14ac:dyDescent="0.2">
      <c r="A236" s="60">
        <v>27</v>
      </c>
      <c r="C236" s="58"/>
    </row>
    <row r="237" spans="1:3" x14ac:dyDescent="0.2">
      <c r="A237" s="60">
        <v>28</v>
      </c>
      <c r="C237" s="58"/>
    </row>
    <row r="238" spans="1:3" x14ac:dyDescent="0.2">
      <c r="A238" s="60">
        <v>29</v>
      </c>
      <c r="C238" s="58"/>
    </row>
    <row r="239" spans="1:3" x14ac:dyDescent="0.2">
      <c r="A239" s="60">
        <v>30</v>
      </c>
      <c r="C239" s="58"/>
    </row>
    <row r="240" spans="1:3" x14ac:dyDescent="0.2">
      <c r="A240" s="60">
        <v>31</v>
      </c>
      <c r="C240" s="58"/>
    </row>
    <row r="241" spans="1:20" x14ac:dyDescent="0.2">
      <c r="A241" s="60">
        <v>32</v>
      </c>
      <c r="C241" s="58"/>
    </row>
    <row r="242" spans="1:20" x14ac:dyDescent="0.2">
      <c r="A242" s="60">
        <v>33</v>
      </c>
      <c r="C242" s="58"/>
    </row>
    <row r="243" spans="1:20" x14ac:dyDescent="0.2">
      <c r="A243" s="60">
        <v>34</v>
      </c>
      <c r="C243" s="58"/>
    </row>
    <row r="244" spans="1:20" x14ac:dyDescent="0.2">
      <c r="A244" s="60">
        <v>35</v>
      </c>
      <c r="C244" s="58"/>
    </row>
    <row r="245" spans="1:20" x14ac:dyDescent="0.2">
      <c r="A245" s="60">
        <v>36</v>
      </c>
      <c r="C245" s="58"/>
    </row>
    <row r="246" spans="1:20" x14ac:dyDescent="0.2">
      <c r="A246" s="60">
        <v>37</v>
      </c>
      <c r="C246" s="58"/>
    </row>
    <row r="247" spans="1:20" x14ac:dyDescent="0.2">
      <c r="A247" s="60">
        <v>38</v>
      </c>
      <c r="C247" s="58"/>
    </row>
    <row r="248" spans="1:20" x14ac:dyDescent="0.2">
      <c r="A248" s="60">
        <v>39</v>
      </c>
      <c r="C248" s="58"/>
    </row>
    <row r="249" spans="1:20" x14ac:dyDescent="0.2">
      <c r="A249" s="60">
        <v>40</v>
      </c>
      <c r="C249" s="58"/>
    </row>
    <row r="251" spans="1:20" x14ac:dyDescent="0.2">
      <c r="B251" s="64" t="s">
        <v>1178</v>
      </c>
      <c r="C251" s="58"/>
    </row>
    <row r="252" spans="1:20" x14ac:dyDescent="0.2">
      <c r="B252" s="67" t="s">
        <v>493</v>
      </c>
      <c r="C252" s="58"/>
    </row>
    <row r="253" spans="1:20" x14ac:dyDescent="0.2">
      <c r="A253" s="57">
        <v>1</v>
      </c>
      <c r="B253" s="217" t="s">
        <v>1379</v>
      </c>
      <c r="C253" s="50"/>
      <c r="D253" s="57">
        <f>SUM(F253:I253)+K253</f>
        <v>509303762.84999996</v>
      </c>
      <c r="E253" s="34"/>
      <c r="F253" s="325">
        <f>476595918.14-L253</f>
        <v>476589863.13999999</v>
      </c>
      <c r="G253" s="292"/>
      <c r="H253" s="325">
        <v>32707844.710000001</v>
      </c>
      <c r="I253" s="57">
        <f>(L253+M253+N253)</f>
        <v>6055</v>
      </c>
      <c r="J253" s="34"/>
      <c r="K253" s="34"/>
      <c r="L253" s="325">
        <v>6055</v>
      </c>
      <c r="M253" s="50"/>
      <c r="N253" s="57">
        <f>SUM(O253:Q253)</f>
        <v>0</v>
      </c>
      <c r="O253" s="325">
        <v>0</v>
      </c>
      <c r="P253" s="325">
        <v>0</v>
      </c>
      <c r="Q253" s="50">
        <v>0</v>
      </c>
      <c r="R253" s="34"/>
      <c r="S253" s="34"/>
      <c r="T253" s="34"/>
    </row>
    <row r="254" spans="1:20" x14ac:dyDescent="0.2">
      <c r="A254" s="57">
        <v>2</v>
      </c>
      <c r="B254" s="217" t="s">
        <v>1380</v>
      </c>
      <c r="C254" s="50"/>
      <c r="D254" s="57">
        <f>SUM(F254:I254)+K254</f>
        <v>181449246.41</v>
      </c>
      <c r="E254" s="34"/>
      <c r="F254" s="325">
        <v>175113848.34</v>
      </c>
      <c r="G254" s="292"/>
      <c r="H254" s="325">
        <v>6335398.0700000003</v>
      </c>
      <c r="I254" s="57">
        <f>(L254+M254+N254)</f>
        <v>0</v>
      </c>
      <c r="J254" s="34"/>
      <c r="K254" s="34"/>
      <c r="L254" s="325">
        <v>0</v>
      </c>
      <c r="M254" s="50"/>
      <c r="N254" s="57">
        <f>SUM(O254:Q254)</f>
        <v>0</v>
      </c>
      <c r="O254" s="325">
        <v>0</v>
      </c>
      <c r="P254" s="325">
        <v>0</v>
      </c>
      <c r="Q254" s="50">
        <v>0</v>
      </c>
      <c r="R254" s="34"/>
      <c r="S254" s="34"/>
      <c r="T254" s="34"/>
    </row>
    <row r="255" spans="1:20" x14ac:dyDescent="0.2">
      <c r="A255" s="57">
        <v>3</v>
      </c>
      <c r="B255" s="217" t="s">
        <v>1383</v>
      </c>
      <c r="C255" s="50"/>
      <c r="D255" s="57">
        <f t="shared" ref="D255:D257" si="38">SUM(F255:I255)+K255</f>
        <v>159939302.09999999</v>
      </c>
      <c r="E255" s="34"/>
      <c r="F255" s="325">
        <v>149946898.97</v>
      </c>
      <c r="G255" s="292"/>
      <c r="H255" s="325">
        <v>9992403.1300000008</v>
      </c>
      <c r="I255" s="57">
        <f t="shared" ref="I255:I257" si="39">(L255+M255+N255)</f>
        <v>0</v>
      </c>
      <c r="J255" s="34"/>
      <c r="K255" s="34"/>
      <c r="L255" s="325">
        <v>0</v>
      </c>
      <c r="M255" s="50"/>
      <c r="N255" s="57">
        <f t="shared" ref="N255:N257" si="40">SUM(O255:Q255)</f>
        <v>0</v>
      </c>
      <c r="O255" s="325">
        <v>0</v>
      </c>
      <c r="P255" s="325">
        <v>0</v>
      </c>
      <c r="Q255" s="50">
        <v>0</v>
      </c>
      <c r="R255" s="34"/>
      <c r="S255" s="34"/>
      <c r="T255" s="34"/>
    </row>
    <row r="256" spans="1:20" x14ac:dyDescent="0.2">
      <c r="A256" s="57">
        <v>4</v>
      </c>
      <c r="B256" s="217" t="s">
        <v>1381</v>
      </c>
      <c r="C256" s="50"/>
      <c r="D256" s="57">
        <f t="shared" si="38"/>
        <v>342664408.80000001</v>
      </c>
      <c r="E256" s="34"/>
      <c r="F256" s="325">
        <v>339425792.10000002</v>
      </c>
      <c r="G256" s="292"/>
      <c r="H256" s="325">
        <v>3238616.7</v>
      </c>
      <c r="I256" s="57">
        <f t="shared" si="39"/>
        <v>0</v>
      </c>
      <c r="J256" s="34"/>
      <c r="K256" s="34"/>
      <c r="L256" s="325">
        <v>0</v>
      </c>
      <c r="M256" s="50"/>
      <c r="N256" s="57">
        <f t="shared" si="40"/>
        <v>0</v>
      </c>
      <c r="O256" s="325">
        <v>0</v>
      </c>
      <c r="P256" s="325">
        <v>0</v>
      </c>
      <c r="Q256" s="50">
        <v>0</v>
      </c>
      <c r="R256" s="34"/>
      <c r="S256" s="34"/>
      <c r="T256" s="34"/>
    </row>
    <row r="257" spans="1:20" x14ac:dyDescent="0.2">
      <c r="A257" s="57">
        <v>5</v>
      </c>
      <c r="B257" s="217" t="s">
        <v>1382</v>
      </c>
      <c r="C257" s="50"/>
      <c r="D257" s="57">
        <f t="shared" si="38"/>
        <v>43926568.659999996</v>
      </c>
      <c r="E257" s="34"/>
      <c r="F257" s="325">
        <v>29838195.829999998</v>
      </c>
      <c r="G257" s="292"/>
      <c r="H257" s="325">
        <v>14088372.83</v>
      </c>
      <c r="I257" s="57">
        <f t="shared" si="39"/>
        <v>0</v>
      </c>
      <c r="J257" s="34"/>
      <c r="K257" s="34"/>
      <c r="L257" s="325">
        <v>0</v>
      </c>
      <c r="M257" s="50"/>
      <c r="N257" s="57">
        <f t="shared" si="40"/>
        <v>0</v>
      </c>
      <c r="O257" s="325">
        <v>0</v>
      </c>
      <c r="P257" s="325">
        <v>0</v>
      </c>
      <c r="Q257" s="50">
        <v>0</v>
      </c>
      <c r="R257" s="34"/>
      <c r="S257" s="34"/>
      <c r="T257" s="34"/>
    </row>
    <row r="258" spans="1:20" x14ac:dyDescent="0.2">
      <c r="A258" s="57">
        <v>6</v>
      </c>
      <c r="B258" s="217" t="s">
        <v>1384</v>
      </c>
      <c r="C258" s="50"/>
      <c r="D258" s="57">
        <f t="shared" ref="D258" si="41">SUM(F258:I258)+K258</f>
        <v>10746104.729999999</v>
      </c>
      <c r="E258" s="34"/>
      <c r="F258" s="325">
        <v>10423249.619999999</v>
      </c>
      <c r="G258" s="292"/>
      <c r="H258" s="325">
        <v>322855.11</v>
      </c>
      <c r="I258" s="57">
        <f t="shared" ref="I258" si="42">(L258+M258+N258)</f>
        <v>0</v>
      </c>
      <c r="J258" s="34"/>
      <c r="K258" s="34"/>
      <c r="L258" s="325">
        <v>0</v>
      </c>
      <c r="M258" s="50"/>
      <c r="N258" s="57">
        <f t="shared" ref="N258" si="43">SUM(O258:Q258)</f>
        <v>0</v>
      </c>
      <c r="O258" s="325">
        <v>0</v>
      </c>
      <c r="P258" s="325">
        <v>0</v>
      </c>
      <c r="Q258" s="50">
        <v>0</v>
      </c>
      <c r="R258" s="34"/>
      <c r="S258" s="34"/>
      <c r="T258" s="34"/>
    </row>
    <row r="259" spans="1:20" x14ac:dyDescent="0.2">
      <c r="A259" s="57">
        <v>7</v>
      </c>
      <c r="B259" s="217" t="s">
        <v>1385</v>
      </c>
      <c r="C259" s="50"/>
      <c r="D259" s="57">
        <f t="shared" ref="D259" si="44">SUM(F259:I259)+K259</f>
        <v>111947307.06</v>
      </c>
      <c r="E259" s="34"/>
      <c r="F259" s="325">
        <v>105659336.56</v>
      </c>
      <c r="G259" s="292"/>
      <c r="H259" s="325">
        <v>6287970.5</v>
      </c>
      <c r="I259" s="57">
        <f t="shared" ref="I259" si="45">(L259+M259+N259)</f>
        <v>0</v>
      </c>
      <c r="J259" s="34"/>
      <c r="K259" s="34"/>
      <c r="L259" s="325">
        <v>0</v>
      </c>
      <c r="M259" s="50"/>
      <c r="N259" s="57">
        <f t="shared" ref="N259" si="46">SUM(O259:Q259)</f>
        <v>0</v>
      </c>
      <c r="O259" s="325">
        <v>0</v>
      </c>
      <c r="P259" s="325">
        <v>0</v>
      </c>
      <c r="Q259" s="50">
        <v>0</v>
      </c>
      <c r="R259" s="34"/>
      <c r="S259" s="34"/>
      <c r="T259" s="34"/>
    </row>
    <row r="260" spans="1:20" x14ac:dyDescent="0.2">
      <c r="A260" s="57">
        <v>8</v>
      </c>
      <c r="B260" s="217" t="s">
        <v>1386</v>
      </c>
      <c r="C260" s="50"/>
      <c r="D260" s="57">
        <f t="shared" ref="D260" si="47">SUM(F260:I260)+K260</f>
        <v>4874900.92</v>
      </c>
      <c r="E260" s="34"/>
      <c r="F260" s="325">
        <v>4703886.5199999996</v>
      </c>
      <c r="G260" s="292"/>
      <c r="H260" s="325">
        <v>171014.39999999999</v>
      </c>
      <c r="I260" s="57">
        <f t="shared" ref="I260" si="48">(L260+M260+N260)</f>
        <v>0</v>
      </c>
      <c r="J260" s="34"/>
      <c r="K260" s="34"/>
      <c r="L260" s="325">
        <v>0</v>
      </c>
      <c r="M260" s="50"/>
      <c r="N260" s="57">
        <f t="shared" ref="N260" si="49">SUM(O260:Q260)</f>
        <v>0</v>
      </c>
      <c r="O260" s="325">
        <v>0</v>
      </c>
      <c r="P260" s="325">
        <v>0</v>
      </c>
      <c r="Q260" s="50">
        <v>0</v>
      </c>
      <c r="R260" s="34"/>
      <c r="S260" s="34"/>
      <c r="T260" s="34"/>
    </row>
    <row r="261" spans="1:20" x14ac:dyDescent="0.2">
      <c r="A261" s="57">
        <v>9</v>
      </c>
      <c r="B261" s="217" t="s">
        <v>1387</v>
      </c>
      <c r="C261" s="50"/>
      <c r="D261" s="57">
        <f>SUM(F261:I261)+K261</f>
        <v>98298884.889999986</v>
      </c>
      <c r="E261" s="34"/>
      <c r="F261" s="325">
        <v>0</v>
      </c>
      <c r="G261" s="292"/>
      <c r="H261" s="325">
        <v>0</v>
      </c>
      <c r="I261" s="57">
        <f>(L261+M261+N261)</f>
        <v>98298884.889999986</v>
      </c>
      <c r="J261" s="34"/>
      <c r="K261" s="34"/>
      <c r="L261" s="325">
        <v>0</v>
      </c>
      <c r="M261" s="50"/>
      <c r="N261" s="57">
        <f>SUM(O261:Q261)</f>
        <v>98298884.889999986</v>
      </c>
      <c r="O261" s="325">
        <v>31838591.359999999</v>
      </c>
      <c r="P261" s="325">
        <v>66460293.529999994</v>
      </c>
      <c r="Q261" s="50">
        <v>0</v>
      </c>
      <c r="R261" s="34"/>
      <c r="S261" s="34"/>
      <c r="T261" s="34"/>
    </row>
    <row r="262" spans="1:20" x14ac:dyDescent="0.2">
      <c r="A262" s="60">
        <v>10</v>
      </c>
      <c r="B262" s="48" t="s">
        <v>1179</v>
      </c>
      <c r="C262" s="58"/>
      <c r="D262" s="60">
        <f>SUM(F262:I262)+K262</f>
        <v>0</v>
      </c>
      <c r="F262" s="58">
        <v>0</v>
      </c>
      <c r="G262" s="58"/>
      <c r="H262" s="58">
        <v>0</v>
      </c>
      <c r="I262" s="60">
        <f>(L262+M262+N262)</f>
        <v>0</v>
      </c>
      <c r="L262" s="58">
        <v>0</v>
      </c>
      <c r="M262" s="58"/>
      <c r="N262" s="60">
        <f>SUM(O262:Q262)</f>
        <v>0</v>
      </c>
      <c r="O262" s="58">
        <v>0</v>
      </c>
      <c r="P262" s="58">
        <v>0</v>
      </c>
      <c r="Q262" s="58">
        <v>0</v>
      </c>
    </row>
    <row r="263" spans="1:20" x14ac:dyDescent="0.2">
      <c r="A263" s="60">
        <v>11</v>
      </c>
      <c r="B263" s="113" t="s">
        <v>1378</v>
      </c>
      <c r="C263" s="58"/>
      <c r="D263" s="60">
        <f>SUM(F263:I263)+K263</f>
        <v>0</v>
      </c>
      <c r="F263" s="58">
        <v>0</v>
      </c>
      <c r="G263" s="58"/>
      <c r="H263" s="325">
        <v>0</v>
      </c>
      <c r="I263" s="60">
        <f>(L263+M263+N263)</f>
        <v>0</v>
      </c>
      <c r="L263" s="58">
        <v>0</v>
      </c>
      <c r="M263" s="58"/>
      <c r="N263" s="60">
        <f>SUM(O263:Q263)</f>
        <v>0</v>
      </c>
      <c r="O263" s="58">
        <v>0</v>
      </c>
      <c r="P263" s="58">
        <v>0</v>
      </c>
      <c r="Q263" s="58">
        <v>0</v>
      </c>
    </row>
    <row r="264" spans="1:20" x14ac:dyDescent="0.2">
      <c r="A264" s="60">
        <v>12</v>
      </c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</row>
    <row r="265" spans="1:20" x14ac:dyDescent="0.2">
      <c r="A265" s="60">
        <v>13</v>
      </c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</row>
    <row r="266" spans="1:20" x14ac:dyDescent="0.2">
      <c r="C266" s="58"/>
    </row>
    <row r="267" spans="1:20" x14ac:dyDescent="0.2">
      <c r="C267" s="58"/>
    </row>
    <row r="268" spans="1:20" x14ac:dyDescent="0.2">
      <c r="C268" s="58"/>
    </row>
    <row r="269" spans="1:20" x14ac:dyDescent="0.2">
      <c r="C269" s="58"/>
    </row>
    <row r="270" spans="1:20" x14ac:dyDescent="0.2">
      <c r="C270" s="58"/>
    </row>
    <row r="271" spans="1:20" x14ac:dyDescent="0.2">
      <c r="B271" s="64" t="s">
        <v>1180</v>
      </c>
      <c r="C271" s="58"/>
    </row>
    <row r="272" spans="1:20" x14ac:dyDescent="0.2">
      <c r="C272" s="58"/>
    </row>
    <row r="273" spans="1:17" x14ac:dyDescent="0.2">
      <c r="B273" s="64" t="s">
        <v>1181</v>
      </c>
      <c r="C273" s="58"/>
    </row>
    <row r="274" spans="1:17" x14ac:dyDescent="0.2">
      <c r="B274" s="67" t="s">
        <v>493</v>
      </c>
      <c r="C274" s="58"/>
    </row>
    <row r="275" spans="1:17" x14ac:dyDescent="0.2">
      <c r="B275" s="64" t="s">
        <v>612</v>
      </c>
    </row>
    <row r="276" spans="1:17" x14ac:dyDescent="0.2">
      <c r="A276" s="60">
        <v>1</v>
      </c>
      <c r="B276" s="48" t="s">
        <v>613</v>
      </c>
      <c r="C276" s="51" t="s">
        <v>614</v>
      </c>
      <c r="D276" s="71">
        <f t="shared" ref="D276:D281" si="50">SUM(F276:I276)+K276</f>
        <v>1</v>
      </c>
      <c r="F276" s="71">
        <f t="shared" ref="F276:F281" si="51">IF(AND(OR(OR($A$12=1,$A$12=2),$A$12=5),F28&lt;&gt;0),IF($D28=0,1,+F28/$D28),0)</f>
        <v>0.86549017314247356</v>
      </c>
      <c r="G276" s="71"/>
      <c r="H276" s="71">
        <f t="shared" ref="H276:H281" si="52">IF(AND(OR(OR($A$12=1,$A$12=2),$A$12=5),H28&lt;&gt;0),IF($D28=0,1,+H28/$D28),0)</f>
        <v>5.0827668687646078E-2</v>
      </c>
      <c r="I276" s="71">
        <f t="shared" ref="I276:I281" si="53">(L276+M276+N276)</f>
        <v>8.3682158169880339E-2</v>
      </c>
      <c r="K276" s="71"/>
      <c r="L276" s="71">
        <f t="shared" ref="L276:L281" si="54">IF(AND(OR(OR($A$12=1,$A$12=2),$A$12=5),L28&lt;&gt;0),IF($D28=0,1,+L28/$D28),0)</f>
        <v>7.6524644215064863E-6</v>
      </c>
      <c r="M276" s="71"/>
      <c r="N276" s="71">
        <f t="shared" ref="N276:N281" si="55">SUM(O276:Q276)</f>
        <v>8.3674505705458826E-2</v>
      </c>
      <c r="O276" s="71">
        <f t="shared" ref="O276:Q281" si="56">IF(AND(OR(OR($A$12=1,$A$12=2),$A$12=5),O28&lt;&gt;0),IF($D28=0,1,+O28/$D28),0)</f>
        <v>2.6108568792375522E-2</v>
      </c>
      <c r="P276" s="71">
        <f t="shared" si="56"/>
        <v>5.7565936913083308E-2</v>
      </c>
      <c r="Q276" s="71">
        <f t="shared" si="56"/>
        <v>0</v>
      </c>
    </row>
    <row r="277" spans="1:17" x14ac:dyDescent="0.2">
      <c r="A277" s="60">
        <v>2</v>
      </c>
      <c r="B277" s="48" t="s">
        <v>615</v>
      </c>
      <c r="C277" s="51" t="s">
        <v>616</v>
      </c>
      <c r="D277" s="71">
        <f t="shared" si="50"/>
        <v>1</v>
      </c>
      <c r="F277" s="71">
        <f t="shared" si="51"/>
        <v>0</v>
      </c>
      <c r="G277" s="71"/>
      <c r="H277" s="71">
        <f t="shared" si="52"/>
        <v>0.37789477320339659</v>
      </c>
      <c r="I277" s="71">
        <f t="shared" si="53"/>
        <v>0.62210522679660341</v>
      </c>
      <c r="K277" s="71"/>
      <c r="L277" s="71">
        <f t="shared" si="54"/>
        <v>0</v>
      </c>
      <c r="M277" s="71"/>
      <c r="N277" s="71">
        <f t="shared" si="55"/>
        <v>0.62210522679660341</v>
      </c>
      <c r="O277" s="71">
        <f t="shared" si="56"/>
        <v>0.19411261498322621</v>
      </c>
      <c r="P277" s="71">
        <f t="shared" si="56"/>
        <v>0.42799261181337717</v>
      </c>
      <c r="Q277" s="71">
        <f t="shared" si="56"/>
        <v>0</v>
      </c>
    </row>
    <row r="278" spans="1:17" x14ac:dyDescent="0.2">
      <c r="A278" s="60">
        <v>3</v>
      </c>
      <c r="B278" s="48" t="s">
        <v>617</v>
      </c>
      <c r="C278" s="51" t="s">
        <v>618</v>
      </c>
      <c r="D278" s="71">
        <f t="shared" si="50"/>
        <v>1</v>
      </c>
      <c r="F278" s="71">
        <f t="shared" si="51"/>
        <v>0</v>
      </c>
      <c r="G278" s="71"/>
      <c r="H278" s="71">
        <f t="shared" si="52"/>
        <v>1</v>
      </c>
      <c r="I278" s="71">
        <f t="shared" si="53"/>
        <v>0</v>
      </c>
      <c r="K278" s="71"/>
      <c r="L278" s="71">
        <f t="shared" si="54"/>
        <v>0</v>
      </c>
      <c r="M278" s="71"/>
      <c r="N278" s="71">
        <f t="shared" si="55"/>
        <v>0</v>
      </c>
      <c r="O278" s="71">
        <f t="shared" si="56"/>
        <v>0</v>
      </c>
      <c r="P278" s="71">
        <f t="shared" si="56"/>
        <v>0</v>
      </c>
      <c r="Q278" s="71">
        <f t="shared" si="56"/>
        <v>0</v>
      </c>
    </row>
    <row r="279" spans="1:17" x14ac:dyDescent="0.2">
      <c r="A279" s="60">
        <v>4</v>
      </c>
      <c r="B279" s="48" t="s">
        <v>619</v>
      </c>
      <c r="C279" s="51" t="s">
        <v>620</v>
      </c>
      <c r="D279" s="71">
        <f t="shared" si="50"/>
        <v>1</v>
      </c>
      <c r="F279" s="71">
        <f t="shared" si="51"/>
        <v>0.91184405870747276</v>
      </c>
      <c r="G279" s="71"/>
      <c r="H279" s="71">
        <f t="shared" si="52"/>
        <v>0</v>
      </c>
      <c r="I279" s="71">
        <f t="shared" si="53"/>
        <v>8.8155941292527268E-2</v>
      </c>
      <c r="K279" s="71"/>
      <c r="L279" s="71">
        <f t="shared" si="54"/>
        <v>0</v>
      </c>
      <c r="M279" s="71"/>
      <c r="N279" s="71">
        <f t="shared" si="55"/>
        <v>8.8155941292527268E-2</v>
      </c>
      <c r="O279" s="71">
        <f t="shared" si="56"/>
        <v>2.7506890399741083E-2</v>
      </c>
      <c r="P279" s="71">
        <f t="shared" si="56"/>
        <v>6.0649050892786188E-2</v>
      </c>
      <c r="Q279" s="71">
        <f t="shared" si="56"/>
        <v>0</v>
      </c>
    </row>
    <row r="280" spans="1:17" x14ac:dyDescent="0.2">
      <c r="A280" s="60">
        <v>5</v>
      </c>
      <c r="B280" s="48" t="s">
        <v>621</v>
      </c>
      <c r="C280" s="51" t="s">
        <v>622</v>
      </c>
      <c r="D280" s="71">
        <f t="shared" si="50"/>
        <v>1</v>
      </c>
      <c r="F280" s="71">
        <f t="shared" si="51"/>
        <v>0</v>
      </c>
      <c r="G280" s="71"/>
      <c r="H280" s="71">
        <f t="shared" si="52"/>
        <v>0</v>
      </c>
      <c r="I280" s="71">
        <f t="shared" si="53"/>
        <v>1</v>
      </c>
      <c r="K280" s="71"/>
      <c r="L280" s="71">
        <f t="shared" si="54"/>
        <v>0</v>
      </c>
      <c r="M280" s="71"/>
      <c r="N280" s="71">
        <f t="shared" si="55"/>
        <v>1</v>
      </c>
      <c r="O280" s="71">
        <f t="shared" si="56"/>
        <v>0.31202537227145194</v>
      </c>
      <c r="P280" s="71">
        <f t="shared" si="56"/>
        <v>0.687974627728548</v>
      </c>
      <c r="Q280" s="71">
        <f t="shared" si="56"/>
        <v>0</v>
      </c>
    </row>
    <row r="281" spans="1:17" x14ac:dyDescent="0.2">
      <c r="A281" s="60">
        <v>6</v>
      </c>
      <c r="B281" s="48" t="s">
        <v>623</v>
      </c>
      <c r="C281" s="51" t="s">
        <v>624</v>
      </c>
      <c r="D281" s="71">
        <f t="shared" si="50"/>
        <v>1</v>
      </c>
      <c r="F281" s="71">
        <f t="shared" si="51"/>
        <v>0.91183670719290888</v>
      </c>
      <c r="G281" s="71"/>
      <c r="H281" s="71">
        <f t="shared" si="52"/>
        <v>0</v>
      </c>
      <c r="I281" s="71">
        <f t="shared" si="53"/>
        <v>8.8163292807091093E-2</v>
      </c>
      <c r="K281" s="71"/>
      <c r="L281" s="71">
        <f t="shared" si="54"/>
        <v>8.0622497823192552E-6</v>
      </c>
      <c r="M281" s="71"/>
      <c r="N281" s="71">
        <f t="shared" si="55"/>
        <v>8.815523055730877E-2</v>
      </c>
      <c r="O281" s="71">
        <f t="shared" si="56"/>
        <v>2.7506668632319948E-2</v>
      </c>
      <c r="P281" s="71">
        <f t="shared" si="56"/>
        <v>6.0648561924988825E-2</v>
      </c>
      <c r="Q281" s="71">
        <f t="shared" si="56"/>
        <v>0</v>
      </c>
    </row>
    <row r="282" spans="1:17" x14ac:dyDescent="0.2">
      <c r="B282" s="64" t="s">
        <v>625</v>
      </c>
    </row>
    <row r="283" spans="1:17" x14ac:dyDescent="0.2">
      <c r="A283" s="60">
        <v>7</v>
      </c>
      <c r="B283" s="48" t="s">
        <v>626</v>
      </c>
      <c r="C283" s="51" t="s">
        <v>627</v>
      </c>
      <c r="D283" s="71">
        <f>SUM(F283:I283)+K283</f>
        <v>1</v>
      </c>
      <c r="F283" s="71">
        <f>IF(AND(OR(OR($A$12=1,$A$12=2),$A$12=6),F35&lt;&gt;0),IF($D35=0,1,+F35/$D35),0)</f>
        <v>0.86549017314247356</v>
      </c>
      <c r="G283" s="71"/>
      <c r="H283" s="71">
        <f>IF(AND(OR(OR($A$12=1,$A$12=2),$A$12=6),H35&lt;&gt;0),IF($D35=0,1,+H35/$D35),0)</f>
        <v>5.0827668687646078E-2</v>
      </c>
      <c r="I283" s="71">
        <f>(L283+M283+N283)</f>
        <v>8.3682158169880339E-2</v>
      </c>
      <c r="K283" s="71"/>
      <c r="L283" s="71">
        <f>IF(AND(OR(OR($A$12=1,$A$12=2),$A$12=6),L35&lt;&gt;0),IF($D35=0,1,+L35/$D35),0)</f>
        <v>7.6524644215064863E-6</v>
      </c>
      <c r="M283" s="71"/>
      <c r="N283" s="71">
        <f>SUM(O283:Q283)</f>
        <v>8.3674505705458826E-2</v>
      </c>
      <c r="O283" s="71">
        <f t="shared" ref="O283:Q287" si="57">IF(AND(OR(OR($A$12=1,$A$12=2),$A$12=6),O35&lt;&gt;0),IF($D35=0,1,+O35/$D35),0)</f>
        <v>2.6108568792375522E-2</v>
      </c>
      <c r="P283" s="71">
        <f t="shared" si="57"/>
        <v>5.7565936913083308E-2</v>
      </c>
      <c r="Q283" s="71">
        <f t="shared" si="57"/>
        <v>0</v>
      </c>
    </row>
    <row r="284" spans="1:17" x14ac:dyDescent="0.2">
      <c r="A284" s="60">
        <v>8</v>
      </c>
      <c r="B284" s="48" t="s">
        <v>628</v>
      </c>
      <c r="C284" s="51" t="s">
        <v>629</v>
      </c>
      <c r="D284" s="71">
        <f>SUM(F284:I284)+K284</f>
        <v>1</v>
      </c>
      <c r="F284" s="71">
        <f>IF(AND(OR(OR($A$12=1,$A$12=2),$A$12=6),F36&lt;&gt;0),IF($D36=0,1,+F36/$D36),0)</f>
        <v>0</v>
      </c>
      <c r="G284" s="71"/>
      <c r="H284" s="71">
        <f>IF(AND(OR(OR($A$12=1,$A$12=2),$A$12=6),H36&lt;&gt;0),IF($D36=0,1,+H36/$D36),0)</f>
        <v>1</v>
      </c>
      <c r="I284" s="71">
        <f>(L284+M284+N284)</f>
        <v>0</v>
      </c>
      <c r="K284" s="71"/>
      <c r="L284" s="71">
        <f>IF(AND(OR(OR($A$12=1,$A$12=2),$A$12=6),L36&lt;&gt;0),IF($D36=0,1,+L36/$D36),0)</f>
        <v>0</v>
      </c>
      <c r="M284" s="71"/>
      <c r="N284" s="71">
        <f>SUM(O284:Q284)</f>
        <v>0</v>
      </c>
      <c r="O284" s="71">
        <f t="shared" si="57"/>
        <v>0</v>
      </c>
      <c r="P284" s="71">
        <f t="shared" si="57"/>
        <v>0</v>
      </c>
      <c r="Q284" s="71">
        <f t="shared" si="57"/>
        <v>0</v>
      </c>
    </row>
    <row r="285" spans="1:17" x14ac:dyDescent="0.2">
      <c r="A285" s="60">
        <v>9</v>
      </c>
      <c r="B285" s="70" t="s">
        <v>1374</v>
      </c>
      <c r="C285" s="56" t="s">
        <v>1375</v>
      </c>
      <c r="D285" s="71">
        <f>SUM(F285:I285)+K285</f>
        <v>1</v>
      </c>
      <c r="F285" s="71">
        <f>IF(AND(OR(OR($A$12=1,$A$12=2),$A$12=6),F37&lt;&gt;0),IF($D37=0,1,+F37/$D37),0)</f>
        <v>0.94452263800517244</v>
      </c>
      <c r="G285" s="71"/>
      <c r="H285" s="71">
        <f>IF(AND(OR(OR($A$12=1,$A$12=2),$A$12=6),H37&lt;&gt;0),IF($D37=0,1,+H37/$D37),0)</f>
        <v>5.5469010743586462E-2</v>
      </c>
      <c r="I285" s="71">
        <f>(L285+M285+N285)</f>
        <v>8.3512512411301513E-6</v>
      </c>
      <c r="K285" s="71"/>
      <c r="L285" s="71">
        <f>IF(AND(OR(OR($A$12=1,$A$12=2),$A$12=6),L37&lt;&gt;0),IF($D37=0,1,+L37/$D37),0)</f>
        <v>8.3512512411301513E-6</v>
      </c>
      <c r="M285" s="71"/>
      <c r="N285" s="71">
        <f>SUM(O285:Q285)</f>
        <v>0</v>
      </c>
      <c r="O285" s="71">
        <f t="shared" si="57"/>
        <v>0</v>
      </c>
      <c r="P285" s="71">
        <f t="shared" si="57"/>
        <v>0</v>
      </c>
      <c r="Q285" s="71">
        <f t="shared" si="57"/>
        <v>0</v>
      </c>
    </row>
    <row r="286" spans="1:17" x14ac:dyDescent="0.2">
      <c r="A286" s="60">
        <v>10</v>
      </c>
      <c r="B286" s="48" t="s">
        <v>630</v>
      </c>
      <c r="C286" s="51" t="s">
        <v>631</v>
      </c>
      <c r="D286" s="71">
        <f>SUM(F286:I286)+K286</f>
        <v>1</v>
      </c>
      <c r="F286" s="71">
        <f>IF(AND(OR(OR($A$12=1,$A$12=2),$A$12=6),F38&lt;&gt;0),IF($D38=0,1,+F38/$D38),0)</f>
        <v>0</v>
      </c>
      <c r="G286" s="71"/>
      <c r="H286" s="71">
        <f>IF(AND(OR(OR($A$12=1,$A$12=2),$A$12=6),H38&lt;&gt;0),IF($D38=0,1,+H38/$D38),0)</f>
        <v>0.37789477320339659</v>
      </c>
      <c r="I286" s="71">
        <f>(L286+M286+N286)</f>
        <v>0.62210522679660341</v>
      </c>
      <c r="K286" s="71"/>
      <c r="L286" s="71">
        <f>IF(AND(OR(OR($A$12=1,$A$12=2),$A$12=6),L38&lt;&gt;0),IF($D38=0,1,+L38/$D38),0)</f>
        <v>0</v>
      </c>
      <c r="M286" s="71"/>
      <c r="N286" s="71">
        <f>SUM(O286:Q286)</f>
        <v>0.62210522679660341</v>
      </c>
      <c r="O286" s="71">
        <f t="shared" si="57"/>
        <v>0.19411261498322621</v>
      </c>
      <c r="P286" s="71">
        <f t="shared" si="57"/>
        <v>0.42799261181337717</v>
      </c>
      <c r="Q286" s="71">
        <f t="shared" si="57"/>
        <v>0</v>
      </c>
    </row>
    <row r="287" spans="1:17" x14ac:dyDescent="0.2">
      <c r="A287" s="60">
        <v>11</v>
      </c>
      <c r="B287" s="48" t="s">
        <v>632</v>
      </c>
      <c r="C287" s="51" t="s">
        <v>633</v>
      </c>
      <c r="D287" s="71">
        <f>SUM(F287:I287)+K287</f>
        <v>1</v>
      </c>
      <c r="F287" s="71">
        <f>IF(AND(OR(OR($A$12=1,$A$12=2),$A$12=6),F39&lt;&gt;0),IF($D39=0,1,+F39/$D39),0)</f>
        <v>0</v>
      </c>
      <c r="G287" s="71"/>
      <c r="H287" s="71">
        <f>IF(AND(OR(OR($A$12=1,$A$12=2),$A$12=6),H39&lt;&gt;0),IF($D39=0,1,+H39/$D39),0)</f>
        <v>0</v>
      </c>
      <c r="I287" s="71">
        <f>(L287+M287+N287)</f>
        <v>1</v>
      </c>
      <c r="K287" s="71"/>
      <c r="L287" s="71">
        <f>IF(AND(OR(OR($A$12=1,$A$12=2),$A$12=6),L39&lt;&gt;0),IF($D39=0,1,+L39/$D39),0)</f>
        <v>0</v>
      </c>
      <c r="M287" s="71"/>
      <c r="N287" s="71">
        <f>SUM(O287:Q287)</f>
        <v>1</v>
      </c>
      <c r="O287" s="71">
        <f t="shared" si="57"/>
        <v>0.31202537227145194</v>
      </c>
      <c r="P287" s="71">
        <f t="shared" si="57"/>
        <v>0.687974627728548</v>
      </c>
      <c r="Q287" s="71">
        <f t="shared" si="57"/>
        <v>0</v>
      </c>
    </row>
    <row r="288" spans="1:17" x14ac:dyDescent="0.2">
      <c r="A288" s="60"/>
    </row>
    <row r="289" spans="1:17" x14ac:dyDescent="0.2">
      <c r="B289" s="64" t="s">
        <v>634</v>
      </c>
    </row>
    <row r="290" spans="1:17" x14ac:dyDescent="0.2">
      <c r="A290" s="60">
        <v>12</v>
      </c>
      <c r="B290" s="48" t="s">
        <v>1256</v>
      </c>
      <c r="C290" s="51" t="s">
        <v>1249</v>
      </c>
      <c r="D290" s="71">
        <f t="shared" ref="D290:D328" si="58">SUM(F290:I290)+K290</f>
        <v>1</v>
      </c>
      <c r="F290" s="71">
        <f t="shared" ref="F290:F325" si="59">IF(AND(OR(OR($A$12=1,$A$12=2),$A$12=8),F42&lt;&gt;0),IF($D42=0,1,+F42/$D42),0)</f>
        <v>0.99820872171013053</v>
      </c>
      <c r="G290" s="71"/>
      <c r="H290" s="71">
        <f t="shared" ref="H290:H325" si="60">IF(AND(OR(OR($A$12=1,$A$12=2),$A$12=8),H42&lt;&gt;0),IF($D42=0,1,+H42/$D42),0)</f>
        <v>0</v>
      </c>
      <c r="I290" s="71">
        <f t="shared" ref="I290:I327" si="61">(L290+M290+N290)</f>
        <v>1.7912782898694723E-3</v>
      </c>
      <c r="K290" s="71"/>
      <c r="L290" s="71">
        <f t="shared" ref="L290:L325" si="62">IF(AND(OR(OR($A$12=1,$A$12=2),$A$12=8),L42&lt;&gt;0),IF($D42=0,1,+L42/$D42),0)</f>
        <v>0</v>
      </c>
      <c r="M290" s="71"/>
      <c r="N290" s="71">
        <f t="shared" ref="N290:N327" si="63">SUM(O290:Q290)</f>
        <v>1.7912782898694723E-3</v>
      </c>
      <c r="O290" s="71">
        <f t="shared" ref="O290:Q309" si="64">IF(AND(OR(OR($A$12=1,$A$12=2),$A$12=8),O42&lt;&gt;0),IF($D42=0,1,+O42/$D42),0)</f>
        <v>1.7912782898694723E-3</v>
      </c>
      <c r="P290" s="71">
        <f t="shared" si="64"/>
        <v>0</v>
      </c>
      <c r="Q290" s="71">
        <f t="shared" si="64"/>
        <v>0</v>
      </c>
    </row>
    <row r="291" spans="1:17" x14ac:dyDescent="0.2">
      <c r="A291" s="60">
        <v>13</v>
      </c>
      <c r="B291" s="48" t="s">
        <v>1257</v>
      </c>
      <c r="C291" s="51" t="s">
        <v>1250</v>
      </c>
      <c r="D291" s="71">
        <f>SUM(F291:I291)+K291</f>
        <v>1</v>
      </c>
      <c r="F291" s="71">
        <f t="shared" si="59"/>
        <v>0.96211871475768407</v>
      </c>
      <c r="G291" s="71"/>
      <c r="H291" s="71">
        <f t="shared" si="60"/>
        <v>0</v>
      </c>
      <c r="I291" s="71">
        <f>(L291+M291+N291)</f>
        <v>3.788128524231589E-2</v>
      </c>
      <c r="K291" s="71"/>
      <c r="L291" s="71">
        <f t="shared" si="62"/>
        <v>0</v>
      </c>
      <c r="M291" s="71"/>
      <c r="N291" s="71">
        <f>SUM(O291:Q291)</f>
        <v>3.788128524231589E-2</v>
      </c>
      <c r="O291" s="71">
        <f t="shared" si="64"/>
        <v>3.788128524231589E-2</v>
      </c>
      <c r="P291" s="71">
        <f t="shared" si="64"/>
        <v>0</v>
      </c>
      <c r="Q291" s="71">
        <f t="shared" si="64"/>
        <v>0</v>
      </c>
    </row>
    <row r="292" spans="1:17" x14ac:dyDescent="0.2">
      <c r="A292" s="60">
        <v>14</v>
      </c>
      <c r="B292" s="48" t="s">
        <v>1258</v>
      </c>
      <c r="C292" s="51" t="s">
        <v>1251</v>
      </c>
      <c r="D292" s="71">
        <f>SUM(F292:I292)+K292</f>
        <v>1</v>
      </c>
      <c r="F292" s="71">
        <f t="shared" si="59"/>
        <v>0.97673477413754228</v>
      </c>
      <c r="G292" s="71"/>
      <c r="H292" s="71">
        <f t="shared" si="60"/>
        <v>0</v>
      </c>
      <c r="I292" s="71">
        <f>(L292+M292+N292)</f>
        <v>2.3265225862457703E-2</v>
      </c>
      <c r="K292" s="71"/>
      <c r="L292" s="71">
        <f t="shared" si="62"/>
        <v>0</v>
      </c>
      <c r="M292" s="71"/>
      <c r="N292" s="71">
        <f>SUM(O292:Q292)</f>
        <v>2.3265225862457703E-2</v>
      </c>
      <c r="O292" s="71">
        <f t="shared" si="64"/>
        <v>2.3265225862457703E-2</v>
      </c>
      <c r="P292" s="71">
        <f t="shared" si="64"/>
        <v>0</v>
      </c>
      <c r="Q292" s="71">
        <f t="shared" si="64"/>
        <v>0</v>
      </c>
    </row>
    <row r="293" spans="1:17" x14ac:dyDescent="0.2">
      <c r="A293" s="60">
        <v>15</v>
      </c>
      <c r="B293" s="48" t="s">
        <v>1259</v>
      </c>
      <c r="C293" s="51" t="s">
        <v>1252</v>
      </c>
      <c r="D293" s="71">
        <f t="shared" si="58"/>
        <v>1</v>
      </c>
      <c r="F293" s="71">
        <f t="shared" si="59"/>
        <v>1</v>
      </c>
      <c r="G293" s="71"/>
      <c r="H293" s="71">
        <f t="shared" si="60"/>
        <v>0</v>
      </c>
      <c r="I293" s="71">
        <f t="shared" si="61"/>
        <v>0</v>
      </c>
      <c r="K293" s="71"/>
      <c r="L293" s="71">
        <f t="shared" si="62"/>
        <v>0</v>
      </c>
      <c r="M293" s="71"/>
      <c r="N293" s="71">
        <f t="shared" si="63"/>
        <v>0</v>
      </c>
      <c r="O293" s="71">
        <f t="shared" si="64"/>
        <v>0</v>
      </c>
      <c r="P293" s="71">
        <f t="shared" si="64"/>
        <v>0</v>
      </c>
      <c r="Q293" s="71">
        <f t="shared" si="64"/>
        <v>0</v>
      </c>
    </row>
    <row r="294" spans="1:17" x14ac:dyDescent="0.2">
      <c r="A294" s="60">
        <v>16</v>
      </c>
      <c r="B294" s="48" t="s">
        <v>1260</v>
      </c>
      <c r="C294" s="51" t="s">
        <v>1253</v>
      </c>
      <c r="D294" s="71">
        <f>SUM(F294:I294)+K294</f>
        <v>1</v>
      </c>
      <c r="F294" s="71">
        <f t="shared" si="59"/>
        <v>1</v>
      </c>
      <c r="G294" s="71"/>
      <c r="H294" s="71">
        <f t="shared" si="60"/>
        <v>0</v>
      </c>
      <c r="I294" s="71">
        <f>(L294+M294+N294)</f>
        <v>0</v>
      </c>
      <c r="K294" s="71"/>
      <c r="L294" s="71">
        <f t="shared" si="62"/>
        <v>0</v>
      </c>
      <c r="M294" s="71"/>
      <c r="N294" s="71">
        <f>SUM(O294:Q294)</f>
        <v>0</v>
      </c>
      <c r="O294" s="71">
        <f t="shared" si="64"/>
        <v>0</v>
      </c>
      <c r="P294" s="71">
        <f t="shared" si="64"/>
        <v>0</v>
      </c>
      <c r="Q294" s="71">
        <f t="shared" si="64"/>
        <v>0</v>
      </c>
    </row>
    <row r="295" spans="1:17" x14ac:dyDescent="0.2">
      <c r="A295" s="60">
        <v>17</v>
      </c>
      <c r="B295" s="48" t="s">
        <v>0</v>
      </c>
      <c r="C295" s="51" t="s">
        <v>1254</v>
      </c>
      <c r="D295" s="71">
        <f t="shared" si="58"/>
        <v>1</v>
      </c>
      <c r="F295" s="71">
        <f t="shared" si="59"/>
        <v>1</v>
      </c>
      <c r="G295" s="71"/>
      <c r="H295" s="71">
        <f t="shared" si="60"/>
        <v>0</v>
      </c>
      <c r="I295" s="71">
        <f t="shared" si="61"/>
        <v>0</v>
      </c>
      <c r="K295" s="71"/>
      <c r="L295" s="71">
        <f t="shared" si="62"/>
        <v>0</v>
      </c>
      <c r="M295" s="71"/>
      <c r="N295" s="71">
        <f t="shared" si="63"/>
        <v>0</v>
      </c>
      <c r="O295" s="71">
        <f t="shared" si="64"/>
        <v>0</v>
      </c>
      <c r="P295" s="71">
        <f t="shared" si="64"/>
        <v>0</v>
      </c>
      <c r="Q295" s="71">
        <f t="shared" si="64"/>
        <v>0</v>
      </c>
    </row>
    <row r="296" spans="1:17" x14ac:dyDescent="0.2">
      <c r="A296" s="60">
        <v>18</v>
      </c>
      <c r="B296" s="48" t="s">
        <v>1</v>
      </c>
      <c r="C296" s="51" t="s">
        <v>1255</v>
      </c>
      <c r="D296" s="71">
        <f>SUM(F296:I296)+K296</f>
        <v>1</v>
      </c>
      <c r="F296" s="71">
        <f t="shared" si="59"/>
        <v>1</v>
      </c>
      <c r="G296" s="71"/>
      <c r="H296" s="71">
        <f t="shared" si="60"/>
        <v>0</v>
      </c>
      <c r="I296" s="71">
        <f>(L296+M296+N296)</f>
        <v>0</v>
      </c>
      <c r="K296" s="71"/>
      <c r="L296" s="71">
        <f t="shared" si="62"/>
        <v>0</v>
      </c>
      <c r="M296" s="71"/>
      <c r="N296" s="71">
        <f>SUM(O296:Q296)</f>
        <v>0</v>
      </c>
      <c r="O296" s="71">
        <f t="shared" si="64"/>
        <v>0</v>
      </c>
      <c r="P296" s="71">
        <f t="shared" si="64"/>
        <v>0</v>
      </c>
      <c r="Q296" s="71">
        <f t="shared" si="64"/>
        <v>0</v>
      </c>
    </row>
    <row r="297" spans="1:17" x14ac:dyDescent="0.2">
      <c r="A297" s="60">
        <v>19</v>
      </c>
      <c r="B297" s="48" t="s">
        <v>2</v>
      </c>
      <c r="C297" s="51" t="s">
        <v>635</v>
      </c>
      <c r="D297" s="71">
        <f t="shared" si="58"/>
        <v>1</v>
      </c>
      <c r="F297" s="71">
        <f t="shared" si="59"/>
        <v>1</v>
      </c>
      <c r="G297" s="71"/>
      <c r="H297" s="71">
        <f t="shared" si="60"/>
        <v>0</v>
      </c>
      <c r="I297" s="71">
        <f t="shared" si="61"/>
        <v>0</v>
      </c>
      <c r="K297" s="71"/>
      <c r="L297" s="71">
        <f t="shared" si="62"/>
        <v>0</v>
      </c>
      <c r="M297" s="71"/>
      <c r="N297" s="71">
        <f t="shared" si="63"/>
        <v>0</v>
      </c>
      <c r="O297" s="71">
        <f t="shared" si="64"/>
        <v>0</v>
      </c>
      <c r="P297" s="71">
        <f t="shared" si="64"/>
        <v>0</v>
      </c>
      <c r="Q297" s="71">
        <f t="shared" si="64"/>
        <v>0</v>
      </c>
    </row>
    <row r="298" spans="1:17" x14ac:dyDescent="0.2">
      <c r="A298" s="60">
        <v>20</v>
      </c>
      <c r="B298" s="70" t="s">
        <v>5</v>
      </c>
      <c r="C298" s="56" t="s">
        <v>4</v>
      </c>
      <c r="D298" s="71">
        <f>SUM(F298:I298)+K298</f>
        <v>1</v>
      </c>
      <c r="F298" s="71">
        <f t="shared" si="59"/>
        <v>1</v>
      </c>
      <c r="G298" s="71"/>
      <c r="H298" s="71">
        <f t="shared" si="60"/>
        <v>0</v>
      </c>
      <c r="I298" s="71">
        <f>(L298+M298+N298)</f>
        <v>0</v>
      </c>
      <c r="K298" s="71"/>
      <c r="L298" s="71">
        <f t="shared" si="62"/>
        <v>0</v>
      </c>
      <c r="M298" s="71"/>
      <c r="N298" s="71">
        <f>SUM(O298:Q298)</f>
        <v>0</v>
      </c>
      <c r="O298" s="71">
        <f t="shared" si="64"/>
        <v>0</v>
      </c>
      <c r="P298" s="71">
        <f t="shared" si="64"/>
        <v>0</v>
      </c>
      <c r="Q298" s="71">
        <f t="shared" si="64"/>
        <v>0</v>
      </c>
    </row>
    <row r="299" spans="1:17" x14ac:dyDescent="0.2">
      <c r="A299" s="60">
        <v>21</v>
      </c>
      <c r="B299" s="48" t="s">
        <v>12</v>
      </c>
      <c r="C299" s="51" t="s">
        <v>18</v>
      </c>
      <c r="D299" s="71">
        <f t="shared" si="58"/>
        <v>1</v>
      </c>
      <c r="F299" s="71">
        <f t="shared" si="59"/>
        <v>0</v>
      </c>
      <c r="G299" s="71"/>
      <c r="H299" s="71">
        <f t="shared" si="60"/>
        <v>1</v>
      </c>
      <c r="I299" s="71">
        <f t="shared" si="61"/>
        <v>0</v>
      </c>
      <c r="K299" s="71"/>
      <c r="L299" s="71">
        <f t="shared" si="62"/>
        <v>0</v>
      </c>
      <c r="M299" s="71"/>
      <c r="N299" s="71">
        <f t="shared" si="63"/>
        <v>0</v>
      </c>
      <c r="O299" s="71">
        <f t="shared" si="64"/>
        <v>0</v>
      </c>
      <c r="P299" s="71">
        <f t="shared" si="64"/>
        <v>0</v>
      </c>
      <c r="Q299" s="71">
        <f t="shared" si="64"/>
        <v>0</v>
      </c>
    </row>
    <row r="300" spans="1:17" x14ac:dyDescent="0.2">
      <c r="A300" s="60">
        <v>22</v>
      </c>
      <c r="B300" s="48" t="s">
        <v>10</v>
      </c>
      <c r="C300" s="51" t="s">
        <v>19</v>
      </c>
      <c r="D300" s="71">
        <f>SUM(F300:I300)+K300</f>
        <v>1</v>
      </c>
      <c r="F300" s="71">
        <f t="shared" si="59"/>
        <v>0</v>
      </c>
      <c r="G300" s="71"/>
      <c r="H300" s="71">
        <f t="shared" si="60"/>
        <v>1</v>
      </c>
      <c r="I300" s="71">
        <f>(L300+M300+N300)</f>
        <v>0</v>
      </c>
      <c r="K300" s="71"/>
      <c r="L300" s="71">
        <f t="shared" si="62"/>
        <v>0</v>
      </c>
      <c r="M300" s="71"/>
      <c r="N300" s="71">
        <f>SUM(O300:Q300)</f>
        <v>0</v>
      </c>
      <c r="O300" s="71">
        <f t="shared" si="64"/>
        <v>0</v>
      </c>
      <c r="P300" s="71">
        <f t="shared" si="64"/>
        <v>0</v>
      </c>
      <c r="Q300" s="71">
        <f t="shared" si="64"/>
        <v>0</v>
      </c>
    </row>
    <row r="301" spans="1:17" x14ac:dyDescent="0.2">
      <c r="A301" s="60">
        <v>23</v>
      </c>
      <c r="B301" s="48" t="s">
        <v>11</v>
      </c>
      <c r="C301" s="51" t="s">
        <v>20</v>
      </c>
      <c r="D301" s="71">
        <f>SUM(F301:I301)+K301</f>
        <v>1</v>
      </c>
      <c r="F301" s="71">
        <f t="shared" si="59"/>
        <v>0</v>
      </c>
      <c r="G301" s="71"/>
      <c r="H301" s="71">
        <f t="shared" si="60"/>
        <v>1</v>
      </c>
      <c r="I301" s="71">
        <f>(L301+M301+N301)</f>
        <v>0</v>
      </c>
      <c r="K301" s="71"/>
      <c r="L301" s="71">
        <f t="shared" si="62"/>
        <v>0</v>
      </c>
      <c r="M301" s="71"/>
      <c r="N301" s="71">
        <f>SUM(O301:Q301)</f>
        <v>0</v>
      </c>
      <c r="O301" s="71">
        <f t="shared" si="64"/>
        <v>0</v>
      </c>
      <c r="P301" s="71">
        <f t="shared" si="64"/>
        <v>0</v>
      </c>
      <c r="Q301" s="71">
        <f t="shared" si="64"/>
        <v>0</v>
      </c>
    </row>
    <row r="302" spans="1:17" x14ac:dyDescent="0.2">
      <c r="A302" s="60">
        <v>24</v>
      </c>
      <c r="B302" s="48" t="s">
        <v>17</v>
      </c>
      <c r="C302" s="51" t="s">
        <v>637</v>
      </c>
      <c r="D302" s="71">
        <f t="shared" si="58"/>
        <v>0</v>
      </c>
      <c r="F302" s="71">
        <f t="shared" si="59"/>
        <v>0</v>
      </c>
      <c r="G302" s="71"/>
      <c r="H302" s="71">
        <f t="shared" si="60"/>
        <v>0</v>
      </c>
      <c r="I302" s="71">
        <f t="shared" si="61"/>
        <v>0</v>
      </c>
      <c r="K302" s="71"/>
      <c r="L302" s="71">
        <f t="shared" si="62"/>
        <v>0</v>
      </c>
      <c r="M302" s="71"/>
      <c r="N302" s="71">
        <f t="shared" si="63"/>
        <v>0</v>
      </c>
      <c r="O302" s="71">
        <f t="shared" si="64"/>
        <v>0</v>
      </c>
      <c r="P302" s="71">
        <f t="shared" si="64"/>
        <v>0</v>
      </c>
      <c r="Q302" s="71">
        <f t="shared" si="64"/>
        <v>0</v>
      </c>
    </row>
    <row r="303" spans="1:17" x14ac:dyDescent="0.2">
      <c r="A303" s="60">
        <v>25</v>
      </c>
      <c r="B303" s="48" t="s">
        <v>13</v>
      </c>
      <c r="C303" s="51" t="s">
        <v>21</v>
      </c>
      <c r="D303" s="71">
        <f t="shared" si="58"/>
        <v>1</v>
      </c>
      <c r="F303" s="71">
        <f t="shared" si="59"/>
        <v>0</v>
      </c>
      <c r="G303" s="71"/>
      <c r="H303" s="71">
        <f t="shared" si="60"/>
        <v>1</v>
      </c>
      <c r="I303" s="71">
        <f t="shared" si="61"/>
        <v>0</v>
      </c>
      <c r="K303" s="71"/>
      <c r="L303" s="71">
        <f t="shared" si="62"/>
        <v>0</v>
      </c>
      <c r="M303" s="71"/>
      <c r="N303" s="71">
        <f t="shared" si="63"/>
        <v>0</v>
      </c>
      <c r="O303" s="71">
        <f t="shared" si="64"/>
        <v>0</v>
      </c>
      <c r="P303" s="71">
        <f t="shared" si="64"/>
        <v>0</v>
      </c>
      <c r="Q303" s="71">
        <f t="shared" si="64"/>
        <v>0</v>
      </c>
    </row>
    <row r="304" spans="1:17" x14ac:dyDescent="0.2">
      <c r="A304" s="60">
        <v>26</v>
      </c>
      <c r="B304" s="48" t="s">
        <v>14</v>
      </c>
      <c r="C304" s="51" t="s">
        <v>22</v>
      </c>
      <c r="D304" s="71">
        <f>SUM(F304:I304)+K304</f>
        <v>1</v>
      </c>
      <c r="F304" s="71">
        <f t="shared" si="59"/>
        <v>0</v>
      </c>
      <c r="G304" s="71"/>
      <c r="H304" s="71">
        <f t="shared" si="60"/>
        <v>1</v>
      </c>
      <c r="I304" s="71">
        <f>(L304+M304+N304)</f>
        <v>0</v>
      </c>
      <c r="K304" s="71"/>
      <c r="L304" s="71">
        <f t="shared" si="62"/>
        <v>0</v>
      </c>
      <c r="M304" s="71"/>
      <c r="N304" s="71">
        <f>SUM(O304:Q304)</f>
        <v>0</v>
      </c>
      <c r="O304" s="71">
        <f t="shared" si="64"/>
        <v>0</v>
      </c>
      <c r="P304" s="71">
        <f t="shared" si="64"/>
        <v>0</v>
      </c>
      <c r="Q304" s="71">
        <f t="shared" si="64"/>
        <v>0</v>
      </c>
    </row>
    <row r="305" spans="1:17" x14ac:dyDescent="0.2">
      <c r="A305" s="60">
        <v>27</v>
      </c>
      <c r="B305" s="48" t="s">
        <v>15</v>
      </c>
      <c r="C305" s="51" t="s">
        <v>23</v>
      </c>
      <c r="D305" s="71">
        <f t="shared" si="58"/>
        <v>1</v>
      </c>
      <c r="F305" s="71">
        <f t="shared" si="59"/>
        <v>0</v>
      </c>
      <c r="G305" s="71"/>
      <c r="H305" s="71">
        <f t="shared" si="60"/>
        <v>1</v>
      </c>
      <c r="I305" s="71">
        <f t="shared" si="61"/>
        <v>0</v>
      </c>
      <c r="K305" s="71"/>
      <c r="L305" s="71">
        <f t="shared" si="62"/>
        <v>0</v>
      </c>
      <c r="M305" s="71"/>
      <c r="N305" s="71">
        <f t="shared" si="63"/>
        <v>0</v>
      </c>
      <c r="O305" s="71">
        <f t="shared" si="64"/>
        <v>0</v>
      </c>
      <c r="P305" s="71">
        <f t="shared" si="64"/>
        <v>0</v>
      </c>
      <c r="Q305" s="71">
        <f t="shared" si="64"/>
        <v>0</v>
      </c>
    </row>
    <row r="306" spans="1:17" x14ac:dyDescent="0.2">
      <c r="A306" s="60">
        <v>28</v>
      </c>
      <c r="B306" s="48" t="s">
        <v>16</v>
      </c>
      <c r="C306" s="51" t="s">
        <v>646</v>
      </c>
      <c r="D306" s="71">
        <f t="shared" si="58"/>
        <v>1</v>
      </c>
      <c r="F306" s="71">
        <f t="shared" si="59"/>
        <v>0</v>
      </c>
      <c r="G306" s="71"/>
      <c r="H306" s="71">
        <f t="shared" si="60"/>
        <v>1</v>
      </c>
      <c r="I306" s="71">
        <f t="shared" si="61"/>
        <v>0</v>
      </c>
      <c r="K306" s="71"/>
      <c r="L306" s="71">
        <f t="shared" si="62"/>
        <v>0</v>
      </c>
      <c r="M306" s="71"/>
      <c r="N306" s="71">
        <f t="shared" si="63"/>
        <v>0</v>
      </c>
      <c r="O306" s="71">
        <f t="shared" si="64"/>
        <v>0</v>
      </c>
      <c r="P306" s="71">
        <f t="shared" si="64"/>
        <v>0</v>
      </c>
      <c r="Q306" s="71">
        <f t="shared" si="64"/>
        <v>0</v>
      </c>
    </row>
    <row r="307" spans="1:17" x14ac:dyDescent="0.2">
      <c r="A307" s="60">
        <v>29</v>
      </c>
      <c r="B307" s="48" t="s">
        <v>35</v>
      </c>
      <c r="C307" s="51" t="s">
        <v>26</v>
      </c>
      <c r="D307" s="71">
        <f t="shared" si="58"/>
        <v>1</v>
      </c>
      <c r="F307" s="71">
        <f t="shared" si="59"/>
        <v>0</v>
      </c>
      <c r="G307" s="71"/>
      <c r="H307" s="71">
        <f t="shared" si="60"/>
        <v>0</v>
      </c>
      <c r="I307" s="71">
        <f t="shared" si="61"/>
        <v>1</v>
      </c>
      <c r="K307" s="71"/>
      <c r="L307" s="71">
        <f t="shared" si="62"/>
        <v>1</v>
      </c>
      <c r="M307" s="71"/>
      <c r="N307" s="71">
        <f t="shared" si="63"/>
        <v>0</v>
      </c>
      <c r="O307" s="71">
        <f t="shared" si="64"/>
        <v>0</v>
      </c>
      <c r="P307" s="71">
        <f t="shared" si="64"/>
        <v>0</v>
      </c>
      <c r="Q307" s="71">
        <f t="shared" si="64"/>
        <v>0</v>
      </c>
    </row>
    <row r="308" spans="1:17" x14ac:dyDescent="0.2">
      <c r="A308" s="60">
        <v>30</v>
      </c>
      <c r="B308" s="48" t="s">
        <v>36</v>
      </c>
      <c r="C308" s="51" t="s">
        <v>27</v>
      </c>
      <c r="D308" s="71">
        <f t="shared" ref="D308:D315" si="65">SUM(F308:I308)+K308</f>
        <v>1</v>
      </c>
      <c r="F308" s="71">
        <f t="shared" si="59"/>
        <v>0</v>
      </c>
      <c r="G308" s="71"/>
      <c r="H308" s="71">
        <f t="shared" si="60"/>
        <v>0</v>
      </c>
      <c r="I308" s="71">
        <f t="shared" ref="I308:I315" si="66">(L308+M308+N308)</f>
        <v>1</v>
      </c>
      <c r="K308" s="71"/>
      <c r="L308" s="71">
        <f t="shared" si="62"/>
        <v>1</v>
      </c>
      <c r="M308" s="71"/>
      <c r="N308" s="71">
        <f t="shared" ref="N308:N315" si="67">SUM(O308:Q308)</f>
        <v>0</v>
      </c>
      <c r="O308" s="71">
        <f t="shared" si="64"/>
        <v>0</v>
      </c>
      <c r="P308" s="71">
        <f t="shared" si="64"/>
        <v>0</v>
      </c>
      <c r="Q308" s="71">
        <f t="shared" si="64"/>
        <v>0</v>
      </c>
    </row>
    <row r="309" spans="1:17" x14ac:dyDescent="0.2">
      <c r="A309" s="60">
        <v>31</v>
      </c>
      <c r="B309" s="48" t="s">
        <v>37</v>
      </c>
      <c r="C309" s="51" t="s">
        <v>28</v>
      </c>
      <c r="D309" s="71">
        <f t="shared" si="65"/>
        <v>1</v>
      </c>
      <c r="F309" s="71">
        <f t="shared" si="59"/>
        <v>0</v>
      </c>
      <c r="G309" s="71"/>
      <c r="H309" s="71">
        <f t="shared" si="60"/>
        <v>0</v>
      </c>
      <c r="I309" s="71">
        <f t="shared" si="66"/>
        <v>1</v>
      </c>
      <c r="K309" s="71"/>
      <c r="L309" s="71">
        <f t="shared" si="62"/>
        <v>1</v>
      </c>
      <c r="M309" s="71"/>
      <c r="N309" s="71">
        <f t="shared" si="67"/>
        <v>0</v>
      </c>
      <c r="O309" s="71">
        <f t="shared" si="64"/>
        <v>0</v>
      </c>
      <c r="P309" s="71">
        <f t="shared" si="64"/>
        <v>0</v>
      </c>
      <c r="Q309" s="71">
        <f t="shared" si="64"/>
        <v>0</v>
      </c>
    </row>
    <row r="310" spans="1:17" x14ac:dyDescent="0.2">
      <c r="A310" s="60">
        <v>32</v>
      </c>
      <c r="B310" s="48" t="s">
        <v>38</v>
      </c>
      <c r="C310" s="51" t="s">
        <v>29</v>
      </c>
      <c r="D310" s="71">
        <f t="shared" si="65"/>
        <v>1</v>
      </c>
      <c r="F310" s="71">
        <f t="shared" si="59"/>
        <v>0</v>
      </c>
      <c r="G310" s="71"/>
      <c r="H310" s="71">
        <f t="shared" si="60"/>
        <v>0</v>
      </c>
      <c r="I310" s="71">
        <f t="shared" si="66"/>
        <v>1</v>
      </c>
      <c r="K310" s="71"/>
      <c r="L310" s="71">
        <f t="shared" si="62"/>
        <v>1</v>
      </c>
      <c r="M310" s="71"/>
      <c r="N310" s="71">
        <f t="shared" si="67"/>
        <v>0</v>
      </c>
      <c r="O310" s="71">
        <f t="shared" ref="O310:Q325" si="68">IF(AND(OR(OR($A$12=1,$A$12=2),$A$12=8),O62&lt;&gt;0),IF($D62=0,1,+O62/$D62),0)</f>
        <v>0</v>
      </c>
      <c r="P310" s="71">
        <f t="shared" si="68"/>
        <v>0</v>
      </c>
      <c r="Q310" s="71">
        <f t="shared" si="68"/>
        <v>0</v>
      </c>
    </row>
    <row r="311" spans="1:17" x14ac:dyDescent="0.2">
      <c r="A311" s="60">
        <v>33</v>
      </c>
      <c r="B311" s="48" t="s">
        <v>39</v>
      </c>
      <c r="C311" s="51" t="s">
        <v>30</v>
      </c>
      <c r="D311" s="71">
        <f t="shared" si="65"/>
        <v>1</v>
      </c>
      <c r="F311" s="71">
        <f t="shared" si="59"/>
        <v>0</v>
      </c>
      <c r="G311" s="71"/>
      <c r="H311" s="71">
        <f t="shared" si="60"/>
        <v>0</v>
      </c>
      <c r="I311" s="71">
        <f t="shared" si="66"/>
        <v>1</v>
      </c>
      <c r="K311" s="71"/>
      <c r="L311" s="71">
        <f t="shared" si="62"/>
        <v>1</v>
      </c>
      <c r="M311" s="71"/>
      <c r="N311" s="71">
        <f t="shared" si="67"/>
        <v>0</v>
      </c>
      <c r="O311" s="71">
        <f t="shared" si="68"/>
        <v>0</v>
      </c>
      <c r="P311" s="71">
        <f t="shared" si="68"/>
        <v>0</v>
      </c>
      <c r="Q311" s="71">
        <f t="shared" si="68"/>
        <v>0</v>
      </c>
    </row>
    <row r="312" spans="1:17" x14ac:dyDescent="0.2">
      <c r="A312" s="60">
        <v>34</v>
      </c>
      <c r="B312" s="48" t="s">
        <v>40</v>
      </c>
      <c r="C312" s="51" t="s">
        <v>31</v>
      </c>
      <c r="D312" s="71">
        <f t="shared" si="65"/>
        <v>1</v>
      </c>
      <c r="F312" s="71">
        <f t="shared" si="59"/>
        <v>0</v>
      </c>
      <c r="G312" s="71"/>
      <c r="H312" s="71">
        <f t="shared" si="60"/>
        <v>0</v>
      </c>
      <c r="I312" s="71">
        <f t="shared" si="66"/>
        <v>1</v>
      </c>
      <c r="K312" s="71"/>
      <c r="L312" s="71">
        <f t="shared" si="62"/>
        <v>1</v>
      </c>
      <c r="M312" s="71"/>
      <c r="N312" s="71">
        <f t="shared" si="67"/>
        <v>0</v>
      </c>
      <c r="O312" s="71">
        <f t="shared" si="68"/>
        <v>0</v>
      </c>
      <c r="P312" s="71">
        <f t="shared" si="68"/>
        <v>0</v>
      </c>
      <c r="Q312" s="71">
        <f t="shared" si="68"/>
        <v>0</v>
      </c>
    </row>
    <row r="313" spans="1:17" x14ac:dyDescent="0.2">
      <c r="A313" s="60">
        <v>35</v>
      </c>
      <c r="B313" s="48" t="s">
        <v>41</v>
      </c>
      <c r="C313" s="51" t="s">
        <v>34</v>
      </c>
      <c r="D313" s="71">
        <f t="shared" si="65"/>
        <v>1</v>
      </c>
      <c r="F313" s="71">
        <f t="shared" si="59"/>
        <v>0</v>
      </c>
      <c r="G313" s="71"/>
      <c r="H313" s="71">
        <f t="shared" si="60"/>
        <v>0</v>
      </c>
      <c r="I313" s="71">
        <f t="shared" si="66"/>
        <v>1</v>
      </c>
      <c r="K313" s="71"/>
      <c r="L313" s="71">
        <f t="shared" si="62"/>
        <v>1</v>
      </c>
      <c r="M313" s="71"/>
      <c r="N313" s="71">
        <f t="shared" si="67"/>
        <v>0</v>
      </c>
      <c r="O313" s="71">
        <f t="shared" si="68"/>
        <v>0</v>
      </c>
      <c r="P313" s="71">
        <f t="shared" si="68"/>
        <v>0</v>
      </c>
      <c r="Q313" s="71">
        <f t="shared" si="68"/>
        <v>0</v>
      </c>
    </row>
    <row r="314" spans="1:17" x14ac:dyDescent="0.2">
      <c r="A314" s="60">
        <v>36</v>
      </c>
      <c r="B314" s="48" t="s">
        <v>42</v>
      </c>
      <c r="C314" s="51" t="s">
        <v>33</v>
      </c>
      <c r="D314" s="71">
        <f t="shared" si="65"/>
        <v>1</v>
      </c>
      <c r="F314" s="71">
        <f t="shared" si="59"/>
        <v>0</v>
      </c>
      <c r="G314" s="71"/>
      <c r="H314" s="71">
        <f t="shared" si="60"/>
        <v>0</v>
      </c>
      <c r="I314" s="71">
        <f t="shared" si="66"/>
        <v>1</v>
      </c>
      <c r="K314" s="71"/>
      <c r="L314" s="71">
        <f t="shared" si="62"/>
        <v>1</v>
      </c>
      <c r="M314" s="71"/>
      <c r="N314" s="71">
        <f t="shared" si="67"/>
        <v>0</v>
      </c>
      <c r="O314" s="71">
        <f t="shared" si="68"/>
        <v>0</v>
      </c>
      <c r="P314" s="71">
        <f t="shared" si="68"/>
        <v>0</v>
      </c>
      <c r="Q314" s="71">
        <f t="shared" si="68"/>
        <v>0</v>
      </c>
    </row>
    <row r="315" spans="1:17" x14ac:dyDescent="0.2">
      <c r="A315" s="60">
        <v>37</v>
      </c>
      <c r="B315" s="48" t="s">
        <v>43</v>
      </c>
      <c r="C315" s="51" t="s">
        <v>32</v>
      </c>
      <c r="D315" s="71">
        <f t="shared" si="65"/>
        <v>0</v>
      </c>
      <c r="F315" s="71">
        <f t="shared" si="59"/>
        <v>0</v>
      </c>
      <c r="G315" s="71"/>
      <c r="H315" s="71">
        <f t="shared" si="60"/>
        <v>0</v>
      </c>
      <c r="I315" s="71">
        <f t="shared" si="66"/>
        <v>0</v>
      </c>
      <c r="K315" s="71"/>
      <c r="L315" s="71">
        <f t="shared" si="62"/>
        <v>0</v>
      </c>
      <c r="M315" s="71"/>
      <c r="N315" s="71">
        <f t="shared" si="67"/>
        <v>0</v>
      </c>
      <c r="O315" s="71">
        <f t="shared" si="68"/>
        <v>0</v>
      </c>
      <c r="P315" s="71">
        <f t="shared" si="68"/>
        <v>0</v>
      </c>
      <c r="Q315" s="71">
        <f t="shared" si="68"/>
        <v>0</v>
      </c>
    </row>
    <row r="316" spans="1:17" x14ac:dyDescent="0.2">
      <c r="A316" s="60">
        <v>38</v>
      </c>
      <c r="B316" s="48" t="s">
        <v>1182</v>
      </c>
      <c r="C316" s="51" t="s">
        <v>672</v>
      </c>
      <c r="D316" s="71">
        <f t="shared" si="58"/>
        <v>1</v>
      </c>
      <c r="F316" s="71">
        <f t="shared" si="59"/>
        <v>0</v>
      </c>
      <c r="G316" s="71"/>
      <c r="H316" s="71">
        <f t="shared" si="60"/>
        <v>0.99622294555282809</v>
      </c>
      <c r="I316" s="71">
        <f t="shared" si="61"/>
        <v>3.7770544471719372E-3</v>
      </c>
      <c r="K316" s="71"/>
      <c r="L316" s="71">
        <f t="shared" si="62"/>
        <v>3.7770544471719372E-3</v>
      </c>
      <c r="M316" s="71"/>
      <c r="N316" s="71">
        <f t="shared" si="63"/>
        <v>0</v>
      </c>
      <c r="O316" s="71">
        <f t="shared" si="68"/>
        <v>0</v>
      </c>
      <c r="P316" s="71">
        <f t="shared" si="68"/>
        <v>0</v>
      </c>
      <c r="Q316" s="71">
        <f t="shared" si="68"/>
        <v>0</v>
      </c>
    </row>
    <row r="317" spans="1:17" x14ac:dyDescent="0.2">
      <c r="A317" s="60">
        <v>39</v>
      </c>
      <c r="B317" s="48" t="s">
        <v>1183</v>
      </c>
      <c r="C317" s="51" t="s">
        <v>674</v>
      </c>
      <c r="D317" s="71">
        <f t="shared" si="58"/>
        <v>1</v>
      </c>
      <c r="F317" s="71">
        <f t="shared" si="59"/>
        <v>0</v>
      </c>
      <c r="G317" s="71"/>
      <c r="H317" s="71">
        <f t="shared" si="60"/>
        <v>1</v>
      </c>
      <c r="I317" s="71">
        <f t="shared" si="61"/>
        <v>0</v>
      </c>
      <c r="K317" s="71"/>
      <c r="L317" s="71">
        <f t="shared" si="62"/>
        <v>0</v>
      </c>
      <c r="M317" s="71"/>
      <c r="N317" s="71">
        <f t="shared" si="63"/>
        <v>0</v>
      </c>
      <c r="O317" s="71">
        <f t="shared" si="68"/>
        <v>0</v>
      </c>
      <c r="P317" s="71">
        <f t="shared" si="68"/>
        <v>0</v>
      </c>
      <c r="Q317" s="71">
        <f t="shared" si="68"/>
        <v>0</v>
      </c>
    </row>
    <row r="318" spans="1:17" x14ac:dyDescent="0.2">
      <c r="A318" s="60">
        <v>40</v>
      </c>
      <c r="B318" s="48" t="s">
        <v>1184</v>
      </c>
      <c r="C318" s="51" t="s">
        <v>676</v>
      </c>
      <c r="D318" s="71">
        <f t="shared" si="58"/>
        <v>1</v>
      </c>
      <c r="F318" s="71">
        <f t="shared" si="59"/>
        <v>0</v>
      </c>
      <c r="G318" s="71"/>
      <c r="H318" s="71">
        <f t="shared" si="60"/>
        <v>1</v>
      </c>
      <c r="I318" s="71">
        <f t="shared" si="61"/>
        <v>0</v>
      </c>
      <c r="K318" s="71"/>
      <c r="L318" s="71">
        <f t="shared" si="62"/>
        <v>0</v>
      </c>
      <c r="M318" s="71"/>
      <c r="N318" s="71">
        <f t="shared" si="63"/>
        <v>0</v>
      </c>
      <c r="O318" s="71">
        <f t="shared" si="68"/>
        <v>0</v>
      </c>
      <c r="P318" s="71">
        <f t="shared" si="68"/>
        <v>0</v>
      </c>
      <c r="Q318" s="71">
        <f t="shared" si="68"/>
        <v>0</v>
      </c>
    </row>
    <row r="319" spans="1:17" x14ac:dyDescent="0.2">
      <c r="A319" s="60">
        <v>41</v>
      </c>
      <c r="B319" s="48" t="s">
        <v>1185</v>
      </c>
      <c r="C319" s="51" t="s">
        <v>678</v>
      </c>
      <c r="D319" s="71">
        <f t="shared" si="58"/>
        <v>0</v>
      </c>
      <c r="F319" s="71">
        <f t="shared" si="59"/>
        <v>0</v>
      </c>
      <c r="G319" s="71"/>
      <c r="H319" s="71">
        <f t="shared" si="60"/>
        <v>0</v>
      </c>
      <c r="I319" s="71">
        <f t="shared" si="61"/>
        <v>0</v>
      </c>
      <c r="K319" s="71"/>
      <c r="L319" s="71">
        <f t="shared" si="62"/>
        <v>0</v>
      </c>
      <c r="M319" s="71"/>
      <c r="N319" s="71">
        <f t="shared" si="63"/>
        <v>0</v>
      </c>
      <c r="O319" s="71">
        <f t="shared" si="68"/>
        <v>0</v>
      </c>
      <c r="P319" s="71">
        <f t="shared" si="68"/>
        <v>0</v>
      </c>
      <c r="Q319" s="71">
        <f t="shared" si="68"/>
        <v>0</v>
      </c>
    </row>
    <row r="320" spans="1:17" x14ac:dyDescent="0.2">
      <c r="A320" s="60">
        <v>42</v>
      </c>
      <c r="B320" s="70" t="s">
        <v>1420</v>
      </c>
      <c r="C320" s="56" t="s">
        <v>1419</v>
      </c>
      <c r="D320" s="71">
        <f t="shared" si="58"/>
        <v>1</v>
      </c>
      <c r="F320" s="71">
        <f t="shared" si="59"/>
        <v>0.92101725926001976</v>
      </c>
      <c r="G320" s="71"/>
      <c r="H320" s="71">
        <f t="shared" si="60"/>
        <v>7.8829237183574402E-2</v>
      </c>
      <c r="I320" s="71">
        <f t="shared" si="61"/>
        <v>1.5350355640588451E-4</v>
      </c>
      <c r="K320" s="71"/>
      <c r="L320" s="71">
        <f t="shared" si="62"/>
        <v>1.5350355640588451E-4</v>
      </c>
      <c r="M320" s="71"/>
      <c r="N320" s="71">
        <f t="shared" si="63"/>
        <v>0</v>
      </c>
      <c r="O320" s="71">
        <f t="shared" si="68"/>
        <v>0</v>
      </c>
      <c r="P320" s="71">
        <f t="shared" si="68"/>
        <v>0</v>
      </c>
      <c r="Q320" s="71">
        <f t="shared" si="68"/>
        <v>0</v>
      </c>
    </row>
    <row r="321" spans="1:17" x14ac:dyDescent="0.2">
      <c r="A321" s="60">
        <v>43</v>
      </c>
      <c r="B321" s="70" t="s">
        <v>1428</v>
      </c>
      <c r="C321" s="56" t="s">
        <v>1429</v>
      </c>
      <c r="D321" s="71">
        <f t="shared" si="58"/>
        <v>1</v>
      </c>
      <c r="F321" s="71">
        <f t="shared" si="59"/>
        <v>0.93973948765070892</v>
      </c>
      <c r="G321" s="71"/>
      <c r="H321" s="71">
        <f t="shared" si="60"/>
        <v>6.0260512349291119E-2</v>
      </c>
      <c r="I321" s="71">
        <f t="shared" si="61"/>
        <v>0</v>
      </c>
      <c r="K321" s="71"/>
      <c r="L321" s="71">
        <f t="shared" si="62"/>
        <v>0</v>
      </c>
      <c r="M321" s="71"/>
      <c r="N321" s="71">
        <f t="shared" si="63"/>
        <v>0</v>
      </c>
      <c r="O321" s="71">
        <f t="shared" si="68"/>
        <v>0</v>
      </c>
      <c r="P321" s="71">
        <f t="shared" si="68"/>
        <v>0</v>
      </c>
      <c r="Q321" s="71">
        <f t="shared" si="68"/>
        <v>0</v>
      </c>
    </row>
    <row r="322" spans="1:17" x14ac:dyDescent="0.2">
      <c r="A322" s="60">
        <v>44</v>
      </c>
      <c r="B322" s="70" t="s">
        <v>1427</v>
      </c>
      <c r="C322" s="56" t="s">
        <v>1426</v>
      </c>
      <c r="D322" s="71">
        <f t="shared" si="58"/>
        <v>1</v>
      </c>
      <c r="F322" s="71">
        <f t="shared" si="59"/>
        <v>1</v>
      </c>
      <c r="G322" s="71"/>
      <c r="H322" s="71">
        <f t="shared" si="60"/>
        <v>0</v>
      </c>
      <c r="I322" s="71">
        <f t="shared" si="61"/>
        <v>0</v>
      </c>
      <c r="K322" s="71"/>
      <c r="L322" s="71">
        <f t="shared" si="62"/>
        <v>0</v>
      </c>
      <c r="M322" s="71"/>
      <c r="N322" s="71">
        <f t="shared" si="63"/>
        <v>0</v>
      </c>
      <c r="O322" s="71">
        <f t="shared" si="68"/>
        <v>0</v>
      </c>
      <c r="P322" s="71">
        <f t="shared" si="68"/>
        <v>0</v>
      </c>
      <c r="Q322" s="71">
        <f t="shared" si="68"/>
        <v>0</v>
      </c>
    </row>
    <row r="323" spans="1:17" x14ac:dyDescent="0.2">
      <c r="A323" s="60">
        <v>45</v>
      </c>
      <c r="B323" s="70" t="s">
        <v>1421</v>
      </c>
      <c r="C323" s="84" t="s">
        <v>1416</v>
      </c>
      <c r="D323" s="71">
        <f t="shared" si="58"/>
        <v>1</v>
      </c>
      <c r="F323" s="71">
        <f t="shared" si="59"/>
        <v>0.92633123878706558</v>
      </c>
      <c r="G323" s="71"/>
      <c r="H323" s="71">
        <f t="shared" si="60"/>
        <v>7.3668761212934433E-2</v>
      </c>
      <c r="I323" s="71">
        <f t="shared" si="61"/>
        <v>0</v>
      </c>
      <c r="K323" s="71"/>
      <c r="L323" s="71">
        <f t="shared" si="62"/>
        <v>0</v>
      </c>
      <c r="M323" s="71"/>
      <c r="N323" s="71">
        <f t="shared" si="63"/>
        <v>0</v>
      </c>
      <c r="O323" s="71">
        <f t="shared" si="68"/>
        <v>0</v>
      </c>
      <c r="P323" s="71">
        <f t="shared" si="68"/>
        <v>0</v>
      </c>
      <c r="Q323" s="71">
        <f t="shared" si="68"/>
        <v>0</v>
      </c>
    </row>
    <row r="324" spans="1:17" x14ac:dyDescent="0.2">
      <c r="A324" s="60">
        <v>46</v>
      </c>
      <c r="B324" s="70" t="s">
        <v>1422</v>
      </c>
      <c r="C324" s="84" t="s">
        <v>1418</v>
      </c>
      <c r="D324" s="71">
        <f t="shared" ref="D324" si="69">SUM(F324:I324)+K324</f>
        <v>1</v>
      </c>
      <c r="F324" s="71">
        <f t="shared" si="59"/>
        <v>0.97791246623336181</v>
      </c>
      <c r="G324" s="71"/>
      <c r="H324" s="71">
        <f t="shared" si="60"/>
        <v>2.2087533766638228E-2</v>
      </c>
      <c r="I324" s="71">
        <f t="shared" ref="I324" si="70">(L324+M324+N324)</f>
        <v>0</v>
      </c>
      <c r="K324" s="71"/>
      <c r="L324" s="71">
        <f t="shared" si="62"/>
        <v>0</v>
      </c>
      <c r="M324" s="71"/>
      <c r="N324" s="71">
        <f t="shared" ref="N324" si="71">SUM(O324:Q324)</f>
        <v>0</v>
      </c>
      <c r="O324" s="71">
        <f t="shared" si="68"/>
        <v>0</v>
      </c>
      <c r="P324" s="71">
        <f t="shared" si="68"/>
        <v>0</v>
      </c>
      <c r="Q324" s="71">
        <f t="shared" si="68"/>
        <v>0</v>
      </c>
    </row>
    <row r="325" spans="1:17" x14ac:dyDescent="0.2">
      <c r="A325" s="60">
        <v>47</v>
      </c>
      <c r="B325" s="70" t="s">
        <v>1425</v>
      </c>
      <c r="C325" s="84" t="s">
        <v>1423</v>
      </c>
      <c r="D325" s="71">
        <f t="shared" ref="D325" si="72">SUM(F325:I325)+K325</f>
        <v>1</v>
      </c>
      <c r="F325" s="71">
        <f t="shared" si="59"/>
        <v>0.93652127270912111</v>
      </c>
      <c r="G325" s="71"/>
      <c r="H325" s="71">
        <f t="shared" si="60"/>
        <v>6.3478727290878917E-2</v>
      </c>
      <c r="I325" s="71">
        <f t="shared" ref="I325" si="73">(L325+M325+N325)</f>
        <v>0</v>
      </c>
      <c r="K325" s="71"/>
      <c r="L325" s="71">
        <f t="shared" si="62"/>
        <v>0</v>
      </c>
      <c r="M325" s="71"/>
      <c r="N325" s="71">
        <f t="shared" ref="N325" si="74">SUM(O325:Q325)</f>
        <v>0</v>
      </c>
      <c r="O325" s="71">
        <f t="shared" si="68"/>
        <v>0</v>
      </c>
      <c r="P325" s="71">
        <f t="shared" si="68"/>
        <v>0</v>
      </c>
      <c r="Q325" s="71">
        <f t="shared" si="68"/>
        <v>0</v>
      </c>
    </row>
    <row r="326" spans="1:17" x14ac:dyDescent="0.2">
      <c r="A326" s="60">
        <v>48</v>
      </c>
      <c r="B326" s="48" t="s">
        <v>679</v>
      </c>
      <c r="C326" s="51" t="s">
        <v>680</v>
      </c>
      <c r="D326" s="71">
        <f t="shared" si="58"/>
        <v>1</v>
      </c>
      <c r="F326" s="71">
        <f t="shared" ref="F326:F327" si="75">IF(AND(OR(OR($A$12=1,$A$12=2),$A$12=8),F78&lt;&gt;0),IF($D78=0,1,+F78/$D78),0)</f>
        <v>0</v>
      </c>
      <c r="G326" s="71"/>
      <c r="H326" s="71">
        <f t="shared" ref="H326:H327" si="76">IF(AND(OR(OR($A$12=1,$A$12=2),$A$12=8),H78&lt;&gt;0),IF($D78=0,1,+H78/$D78),0)</f>
        <v>1</v>
      </c>
      <c r="I326" s="71">
        <f t="shared" si="61"/>
        <v>0</v>
      </c>
      <c r="K326" s="71"/>
      <c r="L326" s="71">
        <f t="shared" ref="L326:L327" si="77">IF(AND(OR(OR($A$12=1,$A$12=2),$A$12=8),L78&lt;&gt;0),IF($D78=0,1,+L78/$D78),0)</f>
        <v>0</v>
      </c>
      <c r="M326" s="71"/>
      <c r="N326" s="71">
        <f t="shared" si="63"/>
        <v>0</v>
      </c>
      <c r="O326" s="71">
        <f t="shared" ref="O326:Q327" si="78">IF(AND(OR(OR($A$12=1,$A$12=2),$A$12=8),O78&lt;&gt;0),IF($D78=0,1,+O78/$D78),0)</f>
        <v>0</v>
      </c>
      <c r="P326" s="71">
        <f t="shared" si="78"/>
        <v>0</v>
      </c>
      <c r="Q326" s="71">
        <f t="shared" si="78"/>
        <v>0</v>
      </c>
    </row>
    <row r="327" spans="1:17" x14ac:dyDescent="0.2">
      <c r="A327" s="60">
        <v>49</v>
      </c>
      <c r="B327" s="48" t="s">
        <v>681</v>
      </c>
      <c r="C327" s="51" t="s">
        <v>682</v>
      </c>
      <c r="D327" s="71">
        <f t="shared" si="58"/>
        <v>0</v>
      </c>
      <c r="F327" s="71">
        <f t="shared" si="75"/>
        <v>0</v>
      </c>
      <c r="G327" s="71"/>
      <c r="H327" s="71">
        <f t="shared" si="76"/>
        <v>0</v>
      </c>
      <c r="I327" s="71">
        <f t="shared" si="61"/>
        <v>0</v>
      </c>
      <c r="K327" s="71"/>
      <c r="L327" s="71">
        <f t="shared" si="77"/>
        <v>0</v>
      </c>
      <c r="M327" s="71"/>
      <c r="N327" s="71">
        <f t="shared" si="63"/>
        <v>0</v>
      </c>
      <c r="O327" s="71">
        <f t="shared" si="78"/>
        <v>0</v>
      </c>
      <c r="P327" s="71">
        <f t="shared" si="78"/>
        <v>0</v>
      </c>
      <c r="Q327" s="71">
        <f t="shared" si="78"/>
        <v>0</v>
      </c>
    </row>
    <row r="328" spans="1:17" x14ac:dyDescent="0.2">
      <c r="A328" s="60">
        <v>50</v>
      </c>
      <c r="B328" s="48" t="s">
        <v>743</v>
      </c>
      <c r="C328" s="51" t="s">
        <v>744</v>
      </c>
      <c r="D328" s="71">
        <f t="shared" si="58"/>
        <v>1</v>
      </c>
      <c r="F328" s="71">
        <f>IF(AND(OR(OR($A$12=1,$A$12=2),$A$12=8),F80&lt;&gt;0),IF($D80=0,1,+F80/$D80),0)</f>
        <v>0</v>
      </c>
      <c r="G328" s="71"/>
      <c r="H328" s="71">
        <f>IF(AND(OR(OR($A$12=1,$A$12=2),$A$12=8),H80&lt;&gt;0),IF($D80=0,1,+H80/$D80),0)</f>
        <v>1</v>
      </c>
      <c r="I328" s="71">
        <f>(L328+M328+N328)</f>
        <v>0</v>
      </c>
      <c r="K328" s="71"/>
      <c r="L328" s="71">
        <f>IF(AND(OR(OR($A$12=1,$A$12=2),$A$12=8),L80&lt;&gt;0),IF($D80=0,1,+L80/$D80),0)</f>
        <v>0</v>
      </c>
      <c r="M328" s="71"/>
      <c r="N328" s="71">
        <f>SUM(O328:Q328)</f>
        <v>0</v>
      </c>
      <c r="O328" s="71">
        <f>IF(AND(OR(OR($A$12=1,$A$12=2),$A$12=8),O80&lt;&gt;0),IF($D80=0,1,+O80/$D80),0)</f>
        <v>0</v>
      </c>
      <c r="P328" s="71">
        <f>IF(AND(OR(OR($A$12=1,$A$12=2),$A$12=8),P80&lt;&gt;0),IF($D80=0,1,+P80/$D80),0)</f>
        <v>0</v>
      </c>
      <c r="Q328" s="71">
        <f>IF(AND(OR(OR($A$12=1,$A$12=2),$A$12=8),Q80&lt;&gt;0),IF($D80=0,1,+Q80/$D80),0)</f>
        <v>0</v>
      </c>
    </row>
    <row r="329" spans="1:17" x14ac:dyDescent="0.2">
      <c r="A329" s="60"/>
    </row>
    <row r="330" spans="1:17" x14ac:dyDescent="0.2">
      <c r="C330" s="58"/>
    </row>
    <row r="331" spans="1:17" x14ac:dyDescent="0.2">
      <c r="B331" s="64" t="s">
        <v>683</v>
      </c>
      <c r="C331" s="58"/>
    </row>
    <row r="332" spans="1:17" x14ac:dyDescent="0.2">
      <c r="B332" s="67" t="s">
        <v>493</v>
      </c>
      <c r="C332" s="58"/>
    </row>
    <row r="333" spans="1:17" x14ac:dyDescent="0.2">
      <c r="A333" s="60">
        <v>1</v>
      </c>
      <c r="B333" s="48" t="s">
        <v>684</v>
      </c>
      <c r="C333" s="51" t="s">
        <v>683</v>
      </c>
      <c r="D333" s="71">
        <f>SUM(F333:I333)+K333</f>
        <v>1</v>
      </c>
      <c r="F333" s="71">
        <f>IF(AND(OR($A$12=1,$A$12=3),F85&lt;&gt;0),IF($D85=0,1,+F85/$D85),0)</f>
        <v>0.86756687854205383</v>
      </c>
      <c r="G333" s="71"/>
      <c r="H333" s="71">
        <f>IF(AND(OR($A$12=1,$A$12=3),H85&lt;&gt;0),IF($D85=0,1,+H85/$D85),0)</f>
        <v>4.5872060035691518E-2</v>
      </c>
      <c r="I333" s="71">
        <f>(L333+M333+N333)</f>
        <v>8.6561061422254615E-2</v>
      </c>
      <c r="K333" s="71"/>
      <c r="L333" s="71">
        <f>IF(AND(OR($A$12=1,$A$12=3),L85&lt;&gt;0),IF($D85=0,1,+L85/$D85),0)</f>
        <v>4.7691177493320222E-6</v>
      </c>
      <c r="M333" s="71"/>
      <c r="N333" s="71">
        <f>SUM(O333:Q333)</f>
        <v>8.6556292304505289E-2</v>
      </c>
      <c r="O333" s="71">
        <f t="shared" ref="O333:Q334" si="79">IF(AND(OR($A$12=1,$A$12=3),O85&lt;&gt;0),IF($D85=0,1,+O85/$D85),0)</f>
        <v>2.8256004018282668E-2</v>
      </c>
      <c r="P333" s="71">
        <f t="shared" si="79"/>
        <v>5.8300288286222628E-2</v>
      </c>
      <c r="Q333" s="71">
        <f t="shared" si="79"/>
        <v>0</v>
      </c>
    </row>
    <row r="334" spans="1:17" x14ac:dyDescent="0.2">
      <c r="A334" s="60">
        <v>2</v>
      </c>
      <c r="B334" s="48" t="s">
        <v>685</v>
      </c>
      <c r="C334" s="51" t="s">
        <v>686</v>
      </c>
      <c r="D334" s="71">
        <f>SUM(F334:I334)+K334</f>
        <v>1</v>
      </c>
      <c r="F334" s="71">
        <f>IF(AND(OR($A$12=1,$A$12=3),F86&lt;&gt;0),IF($D86=0,1,+F86/$D86),0)</f>
        <v>0.94977596455376279</v>
      </c>
      <c r="G334" s="71"/>
      <c r="H334" s="71">
        <f>IF(AND(OR($A$12=1,$A$12=3),H86&lt;&gt;0),IF($D86=0,1,+H86/$D86),0)</f>
        <v>5.0218814415418159E-2</v>
      </c>
      <c r="I334" s="71">
        <f>(L334+M334+N334)</f>
        <v>5.2210308190352702E-6</v>
      </c>
      <c r="K334" s="71"/>
      <c r="L334" s="71">
        <f>IF(AND(OR($A$12=1,$A$12=3),L86&lt;&gt;0),IF($D86=0,1,+L86/$D86),0)</f>
        <v>5.2210308190352702E-6</v>
      </c>
      <c r="M334" s="71"/>
      <c r="N334" s="71">
        <f>SUM(O334:Q334)</f>
        <v>0</v>
      </c>
      <c r="O334" s="71">
        <f t="shared" si="79"/>
        <v>0</v>
      </c>
      <c r="P334" s="71">
        <f t="shared" si="79"/>
        <v>0</v>
      </c>
      <c r="Q334" s="71">
        <f t="shared" si="79"/>
        <v>0</v>
      </c>
    </row>
    <row r="335" spans="1:17" x14ac:dyDescent="0.2">
      <c r="A335" s="60">
        <v>3</v>
      </c>
      <c r="C335" s="58"/>
      <c r="D335" s="71"/>
      <c r="F335" s="71"/>
      <c r="G335" s="71"/>
      <c r="H335" s="71"/>
      <c r="I335" s="71"/>
      <c r="K335" s="71"/>
      <c r="L335" s="71"/>
      <c r="M335" s="71"/>
      <c r="N335" s="71"/>
      <c r="O335" s="71"/>
      <c r="P335" s="71"/>
      <c r="Q335" s="71"/>
    </row>
    <row r="336" spans="1:17" x14ac:dyDescent="0.2">
      <c r="A336" s="60">
        <v>4</v>
      </c>
      <c r="C336" s="58"/>
    </row>
    <row r="337" spans="1:17" x14ac:dyDescent="0.2">
      <c r="C337" s="58"/>
    </row>
    <row r="338" spans="1:17" x14ac:dyDescent="0.2">
      <c r="B338" s="64" t="s">
        <v>687</v>
      </c>
      <c r="C338" s="58"/>
    </row>
    <row r="339" spans="1:17" x14ac:dyDescent="0.2">
      <c r="B339" s="67" t="s">
        <v>493</v>
      </c>
      <c r="C339" s="58"/>
    </row>
    <row r="340" spans="1:17" x14ac:dyDescent="0.2">
      <c r="A340" s="60">
        <v>1</v>
      </c>
      <c r="B340" s="48" t="s">
        <v>688</v>
      </c>
      <c r="C340" s="51" t="s">
        <v>689</v>
      </c>
      <c r="D340" s="71">
        <f t="shared" ref="D340:D358" si="80">SUM(F340:I340)+K340</f>
        <v>1</v>
      </c>
      <c r="F340" s="71">
        <f t="shared" ref="F340:F357" si="81">IF(AND(OR($A$12=1,$A$12=4),F92&lt;&gt;0),IF($D92=0,1,+F92/$D92),0)</f>
        <v>1</v>
      </c>
      <c r="G340" s="71"/>
      <c r="H340" s="71">
        <f t="shared" ref="H340:H357" si="82">IF(AND(OR($A$12=1,$A$12=4),H92&lt;&gt;0),IF($D92=0,1,+H92/$D92),0)</f>
        <v>0</v>
      </c>
      <c r="I340" s="71">
        <f t="shared" ref="I340:I357" si="83">(L340+M340+N340)</f>
        <v>0</v>
      </c>
      <c r="K340" s="71"/>
      <c r="L340" s="71">
        <f t="shared" ref="L340:L357" si="84">IF(AND(OR($A$12=1,$A$12=4),L92&lt;&gt;0),IF($D92=0,1,+L92/$D92),0)</f>
        <v>0</v>
      </c>
      <c r="M340" s="71"/>
      <c r="N340" s="71">
        <f t="shared" ref="N340:N357" si="85">SUM(O340:Q340)</f>
        <v>0</v>
      </c>
      <c r="O340" s="71">
        <f t="shared" ref="O340:Q357" si="86">IF(AND(OR($A$12=1,$A$12=4),O92&lt;&gt;0),IF($D92=0,1,+O92/$D92),0)</f>
        <v>0</v>
      </c>
      <c r="P340" s="71">
        <f t="shared" si="86"/>
        <v>0</v>
      </c>
      <c r="Q340" s="71">
        <f t="shared" si="86"/>
        <v>0</v>
      </c>
    </row>
    <row r="341" spans="1:17" x14ac:dyDescent="0.2">
      <c r="A341" s="60">
        <v>2</v>
      </c>
      <c r="B341" s="48" t="s">
        <v>690</v>
      </c>
      <c r="C341" s="51" t="s">
        <v>691</v>
      </c>
      <c r="D341" s="71">
        <f t="shared" si="80"/>
        <v>1</v>
      </c>
      <c r="F341" s="71">
        <f t="shared" si="81"/>
        <v>0.99531778314177088</v>
      </c>
      <c r="G341" s="71"/>
      <c r="H341" s="71">
        <f t="shared" si="82"/>
        <v>0</v>
      </c>
      <c r="I341" s="71">
        <f t="shared" si="83"/>
        <v>4.6822168582290715E-3</v>
      </c>
      <c r="K341" s="71"/>
      <c r="L341" s="71">
        <f t="shared" si="84"/>
        <v>0</v>
      </c>
      <c r="M341" s="71"/>
      <c r="N341" s="71">
        <f t="shared" si="85"/>
        <v>4.6822168582290715E-3</v>
      </c>
      <c r="O341" s="71">
        <f t="shared" si="86"/>
        <v>9.9444458897850261E-4</v>
      </c>
      <c r="P341" s="71">
        <f t="shared" si="86"/>
        <v>3.6877722692505691E-3</v>
      </c>
      <c r="Q341" s="71">
        <f t="shared" si="86"/>
        <v>0</v>
      </c>
    </row>
    <row r="342" spans="1:17" x14ac:dyDescent="0.2">
      <c r="A342" s="60">
        <v>3</v>
      </c>
      <c r="B342" s="48" t="s">
        <v>692</v>
      </c>
      <c r="C342" s="51" t="s">
        <v>693</v>
      </c>
      <c r="D342" s="71">
        <f t="shared" si="80"/>
        <v>1</v>
      </c>
      <c r="F342" s="71">
        <f t="shared" si="81"/>
        <v>1</v>
      </c>
      <c r="G342" s="71"/>
      <c r="H342" s="71">
        <f t="shared" si="82"/>
        <v>0</v>
      </c>
      <c r="I342" s="71">
        <f t="shared" si="83"/>
        <v>0</v>
      </c>
      <c r="K342" s="71"/>
      <c r="L342" s="71">
        <f t="shared" si="84"/>
        <v>0</v>
      </c>
      <c r="M342" s="71"/>
      <c r="N342" s="71">
        <f t="shared" si="85"/>
        <v>0</v>
      </c>
      <c r="O342" s="71">
        <f t="shared" si="86"/>
        <v>0</v>
      </c>
      <c r="P342" s="71">
        <f t="shared" si="86"/>
        <v>0</v>
      </c>
      <c r="Q342" s="71">
        <f t="shared" si="86"/>
        <v>0</v>
      </c>
    </row>
    <row r="343" spans="1:17" x14ac:dyDescent="0.2">
      <c r="A343" s="60">
        <v>4</v>
      </c>
      <c r="B343" s="48" t="s">
        <v>694</v>
      </c>
      <c r="C343" s="51" t="s">
        <v>695</v>
      </c>
      <c r="D343" s="71">
        <f t="shared" si="80"/>
        <v>1</v>
      </c>
      <c r="F343" s="71">
        <f t="shared" si="81"/>
        <v>1</v>
      </c>
      <c r="G343" s="71"/>
      <c r="H343" s="71">
        <f t="shared" si="82"/>
        <v>0</v>
      </c>
      <c r="I343" s="71">
        <f t="shared" si="83"/>
        <v>0</v>
      </c>
      <c r="K343" s="71"/>
      <c r="L343" s="71">
        <f t="shared" si="84"/>
        <v>0</v>
      </c>
      <c r="M343" s="71"/>
      <c r="N343" s="71">
        <f t="shared" si="85"/>
        <v>0</v>
      </c>
      <c r="O343" s="71">
        <f t="shared" si="86"/>
        <v>0</v>
      </c>
      <c r="P343" s="71">
        <f t="shared" si="86"/>
        <v>0</v>
      </c>
      <c r="Q343" s="71">
        <f t="shared" si="86"/>
        <v>0</v>
      </c>
    </row>
    <row r="344" spans="1:17" x14ac:dyDescent="0.2">
      <c r="A344" s="60">
        <v>5</v>
      </c>
      <c r="B344" s="48" t="s">
        <v>696</v>
      </c>
      <c r="C344" s="51" t="s">
        <v>697</v>
      </c>
      <c r="D344" s="71">
        <f t="shared" si="80"/>
        <v>1</v>
      </c>
      <c r="F344" s="71">
        <f t="shared" si="81"/>
        <v>0.93274905720334322</v>
      </c>
      <c r="G344" s="71"/>
      <c r="H344" s="71">
        <f t="shared" si="82"/>
        <v>6.7250942796656804E-2</v>
      </c>
      <c r="I344" s="71">
        <f t="shared" si="83"/>
        <v>0</v>
      </c>
      <c r="K344" s="71"/>
      <c r="L344" s="71">
        <f t="shared" si="84"/>
        <v>0</v>
      </c>
      <c r="M344" s="71"/>
      <c r="N344" s="71">
        <f t="shared" si="85"/>
        <v>0</v>
      </c>
      <c r="O344" s="71">
        <f t="shared" si="86"/>
        <v>0</v>
      </c>
      <c r="P344" s="71">
        <f t="shared" si="86"/>
        <v>0</v>
      </c>
      <c r="Q344" s="71">
        <f t="shared" si="86"/>
        <v>0</v>
      </c>
    </row>
    <row r="345" spans="1:17" x14ac:dyDescent="0.2">
      <c r="A345" s="60">
        <v>6</v>
      </c>
      <c r="B345" s="48" t="s">
        <v>698</v>
      </c>
      <c r="C345" s="51" t="s">
        <v>699</v>
      </c>
      <c r="D345" s="71">
        <f t="shared" si="80"/>
        <v>1</v>
      </c>
      <c r="F345" s="71">
        <f t="shared" si="81"/>
        <v>0.97721534358700879</v>
      </c>
      <c r="G345" s="71"/>
      <c r="H345" s="71">
        <f t="shared" si="82"/>
        <v>2.2784656412991208E-2</v>
      </c>
      <c r="I345" s="71">
        <f t="shared" si="83"/>
        <v>0</v>
      </c>
      <c r="K345" s="71"/>
      <c r="L345" s="71">
        <f t="shared" si="84"/>
        <v>0</v>
      </c>
      <c r="M345" s="71"/>
      <c r="N345" s="71">
        <f t="shared" si="85"/>
        <v>0</v>
      </c>
      <c r="O345" s="71">
        <f t="shared" si="86"/>
        <v>0</v>
      </c>
      <c r="P345" s="71">
        <f t="shared" si="86"/>
        <v>0</v>
      </c>
      <c r="Q345" s="71">
        <f t="shared" si="86"/>
        <v>0</v>
      </c>
    </row>
    <row r="346" spans="1:17" x14ac:dyDescent="0.2">
      <c r="A346" s="60">
        <v>7</v>
      </c>
      <c r="B346" s="48" t="s">
        <v>700</v>
      </c>
      <c r="C346" s="51" t="s">
        <v>701</v>
      </c>
      <c r="D346" s="71">
        <f t="shared" si="80"/>
        <v>1</v>
      </c>
      <c r="F346" s="71">
        <f t="shared" si="81"/>
        <v>0.94610805683145505</v>
      </c>
      <c r="G346" s="71"/>
      <c r="H346" s="71">
        <f t="shared" si="82"/>
        <v>5.2647634542542641E-2</v>
      </c>
      <c r="I346" s="71">
        <f t="shared" si="83"/>
        <v>1.2443086260023042E-3</v>
      </c>
      <c r="K346" s="71"/>
      <c r="L346" s="71">
        <f t="shared" si="84"/>
        <v>9.3657638516302455E-6</v>
      </c>
      <c r="M346" s="71"/>
      <c r="N346" s="71">
        <f t="shared" si="85"/>
        <v>1.2349428621506739E-3</v>
      </c>
      <c r="O346" s="71">
        <f t="shared" si="86"/>
        <v>6.6095533467219162E-4</v>
      </c>
      <c r="P346" s="71">
        <f t="shared" si="86"/>
        <v>5.739875274784822E-4</v>
      </c>
      <c r="Q346" s="71">
        <f t="shared" si="86"/>
        <v>0</v>
      </c>
    </row>
    <row r="347" spans="1:17" x14ac:dyDescent="0.2">
      <c r="A347" s="60">
        <v>8</v>
      </c>
      <c r="B347" s="48" t="s">
        <v>702</v>
      </c>
      <c r="C347" s="51" t="s">
        <v>703</v>
      </c>
      <c r="D347" s="71">
        <f t="shared" si="80"/>
        <v>1</v>
      </c>
      <c r="F347" s="71">
        <f t="shared" si="81"/>
        <v>0.94610805683145505</v>
      </c>
      <c r="G347" s="71"/>
      <c r="H347" s="71">
        <f t="shared" si="82"/>
        <v>5.2647634542542641E-2</v>
      </c>
      <c r="I347" s="71">
        <f t="shared" si="83"/>
        <v>1.2443086260023042E-3</v>
      </c>
      <c r="K347" s="71"/>
      <c r="L347" s="71">
        <f t="shared" si="84"/>
        <v>9.3657638516302455E-6</v>
      </c>
      <c r="M347" s="71"/>
      <c r="N347" s="71">
        <f t="shared" si="85"/>
        <v>1.2349428621506739E-3</v>
      </c>
      <c r="O347" s="71">
        <f t="shared" si="86"/>
        <v>6.6095533467219162E-4</v>
      </c>
      <c r="P347" s="71">
        <f t="shared" si="86"/>
        <v>5.739875274784822E-4</v>
      </c>
      <c r="Q347" s="71">
        <f t="shared" si="86"/>
        <v>0</v>
      </c>
    </row>
    <row r="348" spans="1:17" x14ac:dyDescent="0.2">
      <c r="A348" s="60">
        <v>9</v>
      </c>
      <c r="B348" s="48" t="s">
        <v>704</v>
      </c>
      <c r="C348" s="51" t="s">
        <v>705</v>
      </c>
      <c r="D348" s="71">
        <f t="shared" si="80"/>
        <v>1</v>
      </c>
      <c r="F348" s="71">
        <f t="shared" si="81"/>
        <v>0.94610805683145505</v>
      </c>
      <c r="G348" s="71"/>
      <c r="H348" s="71">
        <f t="shared" si="82"/>
        <v>5.2647634542542641E-2</v>
      </c>
      <c r="I348" s="71">
        <f t="shared" si="83"/>
        <v>1.2443086260023042E-3</v>
      </c>
      <c r="K348" s="71"/>
      <c r="L348" s="71">
        <f t="shared" si="84"/>
        <v>9.3657638516302455E-6</v>
      </c>
      <c r="M348" s="71"/>
      <c r="N348" s="71">
        <f t="shared" si="85"/>
        <v>1.2349428621506739E-3</v>
      </c>
      <c r="O348" s="71">
        <f t="shared" si="86"/>
        <v>6.6095533467219162E-4</v>
      </c>
      <c r="P348" s="71">
        <f t="shared" si="86"/>
        <v>5.739875274784822E-4</v>
      </c>
      <c r="Q348" s="71">
        <f t="shared" si="86"/>
        <v>0</v>
      </c>
    </row>
    <row r="349" spans="1:17" x14ac:dyDescent="0.2">
      <c r="A349" s="60">
        <v>10</v>
      </c>
      <c r="B349" s="48" t="s">
        <v>706</v>
      </c>
      <c r="C349" s="51" t="s">
        <v>707</v>
      </c>
      <c r="D349" s="71">
        <f t="shared" si="80"/>
        <v>1</v>
      </c>
      <c r="F349" s="71">
        <f t="shared" si="81"/>
        <v>0</v>
      </c>
      <c r="G349" s="71"/>
      <c r="H349" s="71">
        <f t="shared" si="82"/>
        <v>1</v>
      </c>
      <c r="I349" s="71">
        <f t="shared" si="83"/>
        <v>0</v>
      </c>
      <c r="K349" s="71"/>
      <c r="L349" s="71">
        <f t="shared" si="84"/>
        <v>0</v>
      </c>
      <c r="M349" s="71"/>
      <c r="N349" s="71">
        <f t="shared" si="85"/>
        <v>0</v>
      </c>
      <c r="O349" s="71">
        <f t="shared" si="86"/>
        <v>0</v>
      </c>
      <c r="P349" s="71">
        <f t="shared" si="86"/>
        <v>0</v>
      </c>
      <c r="Q349" s="71">
        <f t="shared" si="86"/>
        <v>0</v>
      </c>
    </row>
    <row r="350" spans="1:17" x14ac:dyDescent="0.2">
      <c r="A350" s="60">
        <v>11</v>
      </c>
      <c r="B350" s="48" t="s">
        <v>708</v>
      </c>
      <c r="C350" s="51" t="s">
        <v>709</v>
      </c>
      <c r="D350" s="71">
        <f t="shared" si="80"/>
        <v>1</v>
      </c>
      <c r="F350" s="71">
        <f t="shared" si="81"/>
        <v>0</v>
      </c>
      <c r="G350" s="71"/>
      <c r="H350" s="71">
        <f t="shared" si="82"/>
        <v>1</v>
      </c>
      <c r="I350" s="71">
        <f t="shared" si="83"/>
        <v>0</v>
      </c>
      <c r="K350" s="71"/>
      <c r="L350" s="71">
        <f t="shared" si="84"/>
        <v>0</v>
      </c>
      <c r="M350" s="71"/>
      <c r="N350" s="71">
        <f t="shared" si="85"/>
        <v>0</v>
      </c>
      <c r="O350" s="71">
        <f t="shared" si="86"/>
        <v>0</v>
      </c>
      <c r="P350" s="71">
        <f t="shared" si="86"/>
        <v>0</v>
      </c>
      <c r="Q350" s="71">
        <f t="shared" si="86"/>
        <v>0</v>
      </c>
    </row>
    <row r="351" spans="1:17" x14ac:dyDescent="0.2">
      <c r="A351" s="60">
        <v>12</v>
      </c>
      <c r="B351" s="48" t="s">
        <v>710</v>
      </c>
      <c r="C351" s="51" t="s">
        <v>711</v>
      </c>
      <c r="D351" s="71">
        <f t="shared" si="80"/>
        <v>1</v>
      </c>
      <c r="F351" s="71">
        <f t="shared" si="81"/>
        <v>0</v>
      </c>
      <c r="G351" s="71"/>
      <c r="H351" s="71">
        <f t="shared" si="82"/>
        <v>1</v>
      </c>
      <c r="I351" s="71">
        <f t="shared" si="83"/>
        <v>0</v>
      </c>
      <c r="K351" s="71"/>
      <c r="L351" s="71">
        <f t="shared" si="84"/>
        <v>0</v>
      </c>
      <c r="M351" s="71"/>
      <c r="N351" s="71">
        <f t="shared" si="85"/>
        <v>0</v>
      </c>
      <c r="O351" s="71">
        <f t="shared" si="86"/>
        <v>0</v>
      </c>
      <c r="P351" s="71">
        <f t="shared" si="86"/>
        <v>0</v>
      </c>
      <c r="Q351" s="71">
        <f t="shared" si="86"/>
        <v>0</v>
      </c>
    </row>
    <row r="352" spans="1:17" x14ac:dyDescent="0.2">
      <c r="A352" s="60">
        <v>13</v>
      </c>
      <c r="B352" s="48" t="s">
        <v>712</v>
      </c>
      <c r="C352" s="51" t="s">
        <v>713</v>
      </c>
      <c r="D352" s="71">
        <f t="shared" si="80"/>
        <v>1</v>
      </c>
      <c r="F352" s="71">
        <f t="shared" si="81"/>
        <v>0</v>
      </c>
      <c r="G352" s="71"/>
      <c r="H352" s="71">
        <f t="shared" si="82"/>
        <v>1</v>
      </c>
      <c r="I352" s="71">
        <f t="shared" si="83"/>
        <v>0</v>
      </c>
      <c r="K352" s="71"/>
      <c r="L352" s="71">
        <f t="shared" si="84"/>
        <v>0</v>
      </c>
      <c r="M352" s="71"/>
      <c r="N352" s="71">
        <f t="shared" si="85"/>
        <v>0</v>
      </c>
      <c r="O352" s="71">
        <f t="shared" si="86"/>
        <v>0</v>
      </c>
      <c r="P352" s="71">
        <f t="shared" si="86"/>
        <v>0</v>
      </c>
      <c r="Q352" s="71">
        <f t="shared" si="86"/>
        <v>0</v>
      </c>
    </row>
    <row r="353" spans="1:17" x14ac:dyDescent="0.2">
      <c r="A353" s="60">
        <v>14</v>
      </c>
      <c r="B353" s="48" t="s">
        <v>714</v>
      </c>
      <c r="C353" s="51" t="s">
        <v>715</v>
      </c>
      <c r="D353" s="71">
        <f t="shared" si="80"/>
        <v>1</v>
      </c>
      <c r="F353" s="71">
        <f t="shared" si="81"/>
        <v>1</v>
      </c>
      <c r="G353" s="71"/>
      <c r="H353" s="71">
        <f t="shared" si="82"/>
        <v>0</v>
      </c>
      <c r="I353" s="71">
        <f t="shared" si="83"/>
        <v>0</v>
      </c>
      <c r="K353" s="71"/>
      <c r="L353" s="71">
        <f t="shared" si="84"/>
        <v>0</v>
      </c>
      <c r="M353" s="71"/>
      <c r="N353" s="71">
        <f t="shared" si="85"/>
        <v>0</v>
      </c>
      <c r="O353" s="71">
        <f t="shared" si="86"/>
        <v>0</v>
      </c>
      <c r="P353" s="71">
        <f t="shared" si="86"/>
        <v>0</v>
      </c>
      <c r="Q353" s="71">
        <f t="shared" si="86"/>
        <v>0</v>
      </c>
    </row>
    <row r="354" spans="1:17" x14ac:dyDescent="0.2">
      <c r="A354" s="60">
        <v>15</v>
      </c>
      <c r="B354" s="48" t="s">
        <v>716</v>
      </c>
      <c r="C354" s="51" t="s">
        <v>717</v>
      </c>
      <c r="D354" s="71">
        <f t="shared" si="80"/>
        <v>1</v>
      </c>
      <c r="F354" s="71">
        <f t="shared" si="81"/>
        <v>0.94596923008515088</v>
      </c>
      <c r="G354" s="71"/>
      <c r="H354" s="71">
        <f t="shared" si="82"/>
        <v>5.4023359049037697E-2</v>
      </c>
      <c r="I354" s="71">
        <f t="shared" si="83"/>
        <v>7.4108658114527521E-6</v>
      </c>
      <c r="K354" s="71"/>
      <c r="L354" s="71">
        <f t="shared" si="84"/>
        <v>7.4108658114527521E-6</v>
      </c>
      <c r="M354" s="71"/>
      <c r="N354" s="71">
        <f t="shared" si="85"/>
        <v>0</v>
      </c>
      <c r="O354" s="71">
        <f t="shared" si="86"/>
        <v>0</v>
      </c>
      <c r="P354" s="71">
        <f t="shared" si="86"/>
        <v>0</v>
      </c>
      <c r="Q354" s="71">
        <f t="shared" si="86"/>
        <v>0</v>
      </c>
    </row>
    <row r="355" spans="1:17" x14ac:dyDescent="0.2">
      <c r="A355" s="60">
        <v>16</v>
      </c>
      <c r="B355" s="48" t="s">
        <v>718</v>
      </c>
      <c r="C355" s="51" t="s">
        <v>719</v>
      </c>
      <c r="D355" s="71">
        <f t="shared" si="80"/>
        <v>1</v>
      </c>
      <c r="F355" s="71">
        <f t="shared" si="81"/>
        <v>0.94596923008515088</v>
      </c>
      <c r="G355" s="71"/>
      <c r="H355" s="71">
        <f t="shared" si="82"/>
        <v>5.4023359049037697E-2</v>
      </c>
      <c r="I355" s="71">
        <f t="shared" si="83"/>
        <v>7.4108658114527521E-6</v>
      </c>
      <c r="K355" s="71"/>
      <c r="L355" s="71">
        <f t="shared" si="84"/>
        <v>7.4108658114527521E-6</v>
      </c>
      <c r="M355" s="71"/>
      <c r="N355" s="71">
        <f t="shared" si="85"/>
        <v>0</v>
      </c>
      <c r="O355" s="71">
        <f t="shared" si="86"/>
        <v>0</v>
      </c>
      <c r="P355" s="71">
        <f t="shared" si="86"/>
        <v>0</v>
      </c>
      <c r="Q355" s="71">
        <f t="shared" si="86"/>
        <v>0</v>
      </c>
    </row>
    <row r="356" spans="1:17" x14ac:dyDescent="0.2">
      <c r="A356" s="60">
        <v>17</v>
      </c>
      <c r="B356" s="48" t="s">
        <v>720</v>
      </c>
      <c r="C356" s="51" t="s">
        <v>721</v>
      </c>
      <c r="D356" s="71">
        <f t="shared" si="80"/>
        <v>1</v>
      </c>
      <c r="F356" s="71">
        <f t="shared" si="81"/>
        <v>0.94596923008515088</v>
      </c>
      <c r="G356" s="71"/>
      <c r="H356" s="71">
        <f t="shared" si="82"/>
        <v>5.4023359049037697E-2</v>
      </c>
      <c r="I356" s="71">
        <f t="shared" si="83"/>
        <v>7.4108658114527521E-6</v>
      </c>
      <c r="K356" s="71"/>
      <c r="L356" s="71">
        <f t="shared" si="84"/>
        <v>7.4108658114527521E-6</v>
      </c>
      <c r="M356" s="71"/>
      <c r="N356" s="71">
        <f t="shared" si="85"/>
        <v>0</v>
      </c>
      <c r="O356" s="71">
        <f t="shared" si="86"/>
        <v>0</v>
      </c>
      <c r="P356" s="71">
        <f t="shared" si="86"/>
        <v>0</v>
      </c>
      <c r="Q356" s="71">
        <f t="shared" si="86"/>
        <v>0</v>
      </c>
    </row>
    <row r="357" spans="1:17" x14ac:dyDescent="0.2">
      <c r="A357" s="60">
        <v>18</v>
      </c>
      <c r="B357" s="48" t="s">
        <v>722</v>
      </c>
      <c r="C357" s="51" t="s">
        <v>723</v>
      </c>
      <c r="D357" s="71">
        <f t="shared" si="80"/>
        <v>0</v>
      </c>
      <c r="F357" s="71">
        <f t="shared" si="81"/>
        <v>0</v>
      </c>
      <c r="G357" s="71"/>
      <c r="H357" s="71">
        <f t="shared" si="82"/>
        <v>0</v>
      </c>
      <c r="I357" s="71">
        <f t="shared" si="83"/>
        <v>0</v>
      </c>
      <c r="K357" s="71"/>
      <c r="L357" s="71">
        <f t="shared" si="84"/>
        <v>0</v>
      </c>
      <c r="M357" s="71"/>
      <c r="N357" s="71">
        <f t="shared" si="85"/>
        <v>0</v>
      </c>
      <c r="O357" s="71">
        <f t="shared" si="86"/>
        <v>0</v>
      </c>
      <c r="P357" s="71">
        <f t="shared" si="86"/>
        <v>0</v>
      </c>
      <c r="Q357" s="71">
        <f t="shared" si="86"/>
        <v>0</v>
      </c>
    </row>
    <row r="358" spans="1:17" x14ac:dyDescent="0.2">
      <c r="A358" s="60">
        <v>19</v>
      </c>
      <c r="B358" s="48" t="s">
        <v>745</v>
      </c>
      <c r="C358" s="51" t="s">
        <v>746</v>
      </c>
      <c r="D358" s="71">
        <f t="shared" si="80"/>
        <v>1</v>
      </c>
      <c r="F358" s="71">
        <f>IF(AND(OR($A$12=1,$A$12=4),F110&lt;&gt;0),IF($D110=0,1,+F110/$D110),0)</f>
        <v>0.99874776562154655</v>
      </c>
      <c r="G358" s="71"/>
      <c r="H358" s="71">
        <f>IF(AND(OR($A$12=1,$A$12=4),H110&lt;&gt;0),IF($D110=0,1,+H110/$D110),0)</f>
        <v>1.2522343784535082E-3</v>
      </c>
      <c r="I358" s="71">
        <f>(L358+M358+N358)</f>
        <v>0</v>
      </c>
      <c r="K358" s="71"/>
      <c r="L358" s="71">
        <f>IF(AND(OR($A$12=1,$A$12=4),L110&lt;&gt;0),IF($D110=0,1,+L110/$D110),0)</f>
        <v>0</v>
      </c>
      <c r="M358" s="71"/>
      <c r="N358" s="71">
        <f>SUM(O358:Q358)</f>
        <v>0</v>
      </c>
      <c r="O358" s="71">
        <f t="shared" ref="O358:Q359" si="87">IF(AND(OR($A$12=1,$A$12=4),O110&lt;&gt;0),IF($D110=0,1,+O110/$D110),0)</f>
        <v>0</v>
      </c>
      <c r="P358" s="71">
        <f t="shared" si="87"/>
        <v>0</v>
      </c>
      <c r="Q358" s="71">
        <f t="shared" si="87"/>
        <v>0</v>
      </c>
    </row>
    <row r="359" spans="1:17" x14ac:dyDescent="0.2">
      <c r="A359" s="60">
        <v>20</v>
      </c>
      <c r="B359" s="48" t="s">
        <v>1309</v>
      </c>
      <c r="C359" s="56" t="s">
        <v>1414</v>
      </c>
      <c r="D359" s="71">
        <f>SUM(F359:I359)+K359</f>
        <v>1</v>
      </c>
      <c r="F359" s="71">
        <f>IF(AND(OR($A$12=1,$A$12=4),F111&lt;&gt;0),IF($D111=0,1,+F111/$D111),0)</f>
        <v>0.96980515251594113</v>
      </c>
      <c r="G359" s="71"/>
      <c r="H359" s="71">
        <f>IF(AND(OR($A$12=1,$A$12=4),H111&lt;&gt;0),IF($D111=0,1,+H111/$D111),0)</f>
        <v>3.0022870657172535E-2</v>
      </c>
      <c r="I359" s="71">
        <f>(L359+M359+N359)</f>
        <v>1.719768268863525E-4</v>
      </c>
      <c r="K359" s="71"/>
      <c r="L359" s="71">
        <f>IF(AND(OR($A$12=1,$A$12=4),L111&lt;&gt;0),IF($D111=0,1,+L111/$D111),0)</f>
        <v>0</v>
      </c>
      <c r="M359" s="71"/>
      <c r="N359" s="71">
        <f>SUM(O359:Q359)</f>
        <v>1.719768268863525E-4</v>
      </c>
      <c r="O359" s="71">
        <f t="shared" si="87"/>
        <v>1.6821303136537526E-4</v>
      </c>
      <c r="P359" s="71">
        <f t="shared" si="87"/>
        <v>3.7637955209772364E-6</v>
      </c>
      <c r="Q359" s="71">
        <f t="shared" si="87"/>
        <v>0</v>
      </c>
    </row>
    <row r="360" spans="1:17" x14ac:dyDescent="0.2">
      <c r="A360" s="60">
        <v>21</v>
      </c>
    </row>
    <row r="361" spans="1:17" x14ac:dyDescent="0.2">
      <c r="A361" s="60">
        <v>22</v>
      </c>
    </row>
    <row r="362" spans="1:17" x14ac:dyDescent="0.2">
      <c r="A362" s="60">
        <v>23</v>
      </c>
    </row>
    <row r="363" spans="1:17" x14ac:dyDescent="0.2">
      <c r="A363" s="60">
        <v>24</v>
      </c>
    </row>
    <row r="364" spans="1:17" x14ac:dyDescent="0.2">
      <c r="A364" s="60">
        <v>25</v>
      </c>
    </row>
    <row r="365" spans="1:17" x14ac:dyDescent="0.2">
      <c r="C365" s="58"/>
    </row>
    <row r="366" spans="1:17" x14ac:dyDescent="0.2">
      <c r="B366" s="69" t="s">
        <v>724</v>
      </c>
      <c r="C366" s="58"/>
    </row>
    <row r="367" spans="1:17" x14ac:dyDescent="0.2">
      <c r="B367" s="67" t="s">
        <v>493</v>
      </c>
      <c r="C367" s="58"/>
    </row>
    <row r="368" spans="1:17" x14ac:dyDescent="0.2">
      <c r="A368" s="60">
        <v>1</v>
      </c>
      <c r="B368" s="48" t="s">
        <v>725</v>
      </c>
      <c r="C368" s="51" t="s">
        <v>726</v>
      </c>
      <c r="D368" s="71">
        <f t="shared" ref="D368:D411" ca="1" si="88">SUM(F368:I368)+K368</f>
        <v>1</v>
      </c>
      <c r="F368" s="71">
        <f ca="1">IF(F120&lt;&gt;0,IF($D120=0,1,+F120/$D120),0)</f>
        <v>0.87069393411336549</v>
      </c>
      <c r="G368" s="71"/>
      <c r="H368" s="71">
        <f ca="1">IF(H120&lt;&gt;0,IF($D120=0,1,+H120/$D120),0)</f>
        <v>5.9394533807123652E-2</v>
      </c>
      <c r="I368" s="71">
        <f t="shared" ref="I368:I410" ca="1" si="89">(L368+M368+N368)</f>
        <v>6.991153207951091E-2</v>
      </c>
      <c r="K368" s="71"/>
      <c r="L368" s="71">
        <f ca="1">IF(L120&lt;&gt;0,IF($D120=0,1,+L120/$D120),0)</f>
        <v>3.153235764200856E-5</v>
      </c>
      <c r="M368" s="71"/>
      <c r="N368" s="71">
        <f t="shared" ref="N368:N410" ca="1" si="90">SUM(O368:Q368)</f>
        <v>6.9879999721868896E-2</v>
      </c>
      <c r="O368" s="71">
        <f t="shared" ref="O368:Q370" ca="1" si="91">IF(O120&lt;&gt;0,IF($D120=0,1,+O120/$D120),0)</f>
        <v>2.2187681801154498E-2</v>
      </c>
      <c r="P368" s="71">
        <f t="shared" ca="1" si="91"/>
        <v>4.7692317920714405E-2</v>
      </c>
      <c r="Q368" s="71">
        <f t="shared" ca="1" si="91"/>
        <v>1.3629278232060983E-21</v>
      </c>
    </row>
    <row r="369" spans="1:17" x14ac:dyDescent="0.2">
      <c r="A369" s="60">
        <v>2</v>
      </c>
      <c r="B369" s="48" t="s">
        <v>727</v>
      </c>
      <c r="C369" s="51" t="s">
        <v>728</v>
      </c>
      <c r="D369" s="71">
        <f t="shared" ca="1" si="88"/>
        <v>1</v>
      </c>
      <c r="F369" s="71">
        <f ca="1">IF(F121&lt;&gt;0,IF($D121=0,1,+F121/$D121),0)</f>
        <v>1</v>
      </c>
      <c r="G369" s="71"/>
      <c r="H369" s="71">
        <f>IF(H121&lt;&gt;0,IF($D121=0,1,+H121/$D121),0)</f>
        <v>0</v>
      </c>
      <c r="I369" s="71">
        <f t="shared" si="89"/>
        <v>0</v>
      </c>
      <c r="K369" s="71"/>
      <c r="L369" s="71">
        <f>IF(L121&lt;&gt;0,IF($D121=0,1,+L121/$D121),0)</f>
        <v>0</v>
      </c>
      <c r="M369" s="71"/>
      <c r="N369" s="71">
        <f t="shared" si="90"/>
        <v>0</v>
      </c>
      <c r="O369" s="71">
        <f t="shared" si="91"/>
        <v>0</v>
      </c>
      <c r="P369" s="71">
        <f t="shared" si="91"/>
        <v>0</v>
      </c>
      <c r="Q369" s="71">
        <f t="shared" si="91"/>
        <v>0</v>
      </c>
    </row>
    <row r="370" spans="1:17" x14ac:dyDescent="0.2">
      <c r="A370" s="60">
        <v>3</v>
      </c>
      <c r="B370" s="48" t="s">
        <v>729</v>
      </c>
      <c r="C370" s="51" t="s">
        <v>730</v>
      </c>
      <c r="D370" s="71">
        <f t="shared" ca="1" si="88"/>
        <v>0.99999999999999989</v>
      </c>
      <c r="F370" s="71">
        <f ca="1">IF(F122&lt;&gt;0,IF($D122=0,1,+F122/$D122),0)</f>
        <v>0.889378826025083</v>
      </c>
      <c r="G370" s="71"/>
      <c r="H370" s="71">
        <f ca="1">IF(H122&lt;&gt;0,IF($D122=0,1,+H122/$D122),0)</f>
        <v>5.4792985936032601E-2</v>
      </c>
      <c r="I370" s="71">
        <f t="shared" ca="1" si="89"/>
        <v>5.5828188038884292E-2</v>
      </c>
      <c r="K370" s="71"/>
      <c r="L370" s="71">
        <f ca="1">IF(L122&lt;&gt;0,IF($D122=0,1,+L122/$D122),0)</f>
        <v>3.0698630802607451E-5</v>
      </c>
      <c r="M370" s="71"/>
      <c r="N370" s="71">
        <f t="shared" ca="1" si="90"/>
        <v>5.5797489408081685E-2</v>
      </c>
      <c r="O370" s="71">
        <f t="shared" ca="1" si="91"/>
        <v>1.812651544897452E-2</v>
      </c>
      <c r="P370" s="71">
        <f t="shared" ca="1" si="91"/>
        <v>3.7670973959107165E-2</v>
      </c>
      <c r="Q370" s="71">
        <f t="shared" ca="1" si="91"/>
        <v>6.2578097021888344E-20</v>
      </c>
    </row>
    <row r="371" spans="1:17" x14ac:dyDescent="0.2">
      <c r="A371" s="60">
        <v>4</v>
      </c>
      <c r="B371" s="48" t="s">
        <v>729</v>
      </c>
      <c r="C371" s="56" t="s">
        <v>741</v>
      </c>
      <c r="D371" s="71">
        <f t="shared" ca="1" si="88"/>
        <v>0.99999999999999989</v>
      </c>
      <c r="F371" s="71">
        <f ca="1">IF(F124&lt;&gt;0,IF($D124=0,1,+F124/$D124),0)</f>
        <v>0.889378826025083</v>
      </c>
      <c r="G371" s="71"/>
      <c r="H371" s="71">
        <f ca="1">IF(H124&lt;&gt;0,IF($D124=0,1,+H124/$D124),0)</f>
        <v>5.4792985936032601E-2</v>
      </c>
      <c r="I371" s="71">
        <f ca="1">(L371+M371+N371)</f>
        <v>5.5828188038884306E-2</v>
      </c>
      <c r="K371" s="71"/>
      <c r="L371" s="71">
        <f ca="1">IF(L124&lt;&gt;0,IF($D124=0,1,+L124/$D124),0)</f>
        <v>3.0698630802607458E-5</v>
      </c>
      <c r="M371" s="71"/>
      <c r="N371" s="71">
        <f ca="1">SUM(O371:Q371)</f>
        <v>5.5797489408081699E-2</v>
      </c>
      <c r="O371" s="71">
        <f ca="1">IF(O124&lt;&gt;0,IF($D124=0,1,+O124/$D124),0)</f>
        <v>1.8126515448974524E-2</v>
      </c>
      <c r="P371" s="71">
        <f ca="1">IF(P124&lt;&gt;0,IF($D124=0,1,+P124/$D124),0)</f>
        <v>3.7670973959107172E-2</v>
      </c>
      <c r="Q371" s="71">
        <f>IF(Q124&lt;&gt;0,IF($D124=0,1,+Q124/$D124),0)</f>
        <v>0</v>
      </c>
    </row>
    <row r="372" spans="1:17" x14ac:dyDescent="0.2">
      <c r="A372" s="60">
        <v>5</v>
      </c>
      <c r="B372" s="48" t="s">
        <v>731</v>
      </c>
      <c r="C372" s="51" t="s">
        <v>732</v>
      </c>
      <c r="D372" s="71">
        <f t="shared" ca="1" si="88"/>
        <v>1</v>
      </c>
      <c r="F372" s="71">
        <f ca="1">IF(F123&lt;&gt;0,IF($D123=0,1,+F123/$D123),0)</f>
        <v>0.86549017314247356</v>
      </c>
      <c r="G372" s="71"/>
      <c r="H372" s="71">
        <f ca="1">IF(H123&lt;&gt;0,IF($D123=0,1,+H123/$D123),0)</f>
        <v>5.0827668687646085E-2</v>
      </c>
      <c r="I372" s="71">
        <f t="shared" ca="1" si="89"/>
        <v>8.3682158169880339E-2</v>
      </c>
      <c r="K372" s="71"/>
      <c r="L372" s="71">
        <f ca="1">IF(L123&lt;&gt;0,IF($D123=0,1,+L123/$D123),0)</f>
        <v>7.6524644215064863E-6</v>
      </c>
      <c r="M372" s="71"/>
      <c r="N372" s="71">
        <f t="shared" ca="1" si="90"/>
        <v>8.3674505705458826E-2</v>
      </c>
      <c r="O372" s="71">
        <f ca="1">IF(O123&lt;&gt;0,IF($D123=0,1,+O123/$D123),0)</f>
        <v>2.6108568792375518E-2</v>
      </c>
      <c r="P372" s="71">
        <f ca="1">IF(P123&lt;&gt;0,IF($D123=0,1,+P123/$D123),0)</f>
        <v>5.7565936913083308E-2</v>
      </c>
      <c r="Q372" s="71">
        <f ca="1">IF(Q123&lt;&gt;0,IF($D123=0,1,+Q123/$D123),0)</f>
        <v>0</v>
      </c>
    </row>
    <row r="373" spans="1:17" x14ac:dyDescent="0.2">
      <c r="A373" s="60">
        <v>6</v>
      </c>
      <c r="B373" s="48" t="s">
        <v>1026</v>
      </c>
      <c r="C373" s="51" t="s">
        <v>1027</v>
      </c>
      <c r="D373" s="71">
        <f t="shared" ca="1" si="88"/>
        <v>1</v>
      </c>
      <c r="F373" s="71">
        <f t="shared" ref="F373:F382" ca="1" si="92">IF(F125&lt;&gt;0,IF($D125=0,1,+F125/$D125),0)</f>
        <v>0.86549017314247356</v>
      </c>
      <c r="G373" s="71"/>
      <c r="H373" s="71">
        <f t="shared" ref="H373:H411" ca="1" si="93">IF(H125&lt;&gt;0,IF($D125=0,1,+H125/$D125),0)</f>
        <v>5.0827668687646085E-2</v>
      </c>
      <c r="I373" s="71">
        <f t="shared" ca="1" si="89"/>
        <v>8.3682158169880339E-2</v>
      </c>
      <c r="K373" s="71"/>
      <c r="L373" s="71">
        <f t="shared" ref="L373:L382" ca="1" si="94">IF(L125&lt;&gt;0,IF($D125=0,1,+L125/$D125),0)</f>
        <v>7.652464421506488E-6</v>
      </c>
      <c r="M373" s="71"/>
      <c r="N373" s="71">
        <f t="shared" ca="1" si="90"/>
        <v>8.3674505705458826E-2</v>
      </c>
      <c r="O373" s="71">
        <f t="shared" ref="O373:Q382" ca="1" si="95">IF(O125&lt;&gt;0,IF($D125=0,1,+O125/$D125),0)</f>
        <v>2.6108568792375522E-2</v>
      </c>
      <c r="P373" s="71">
        <f t="shared" ca="1" si="95"/>
        <v>5.7565936913083302E-2</v>
      </c>
      <c r="Q373" s="71">
        <f t="shared" ca="1" si="95"/>
        <v>0</v>
      </c>
    </row>
    <row r="374" spans="1:17" x14ac:dyDescent="0.2">
      <c r="A374" s="60">
        <v>7</v>
      </c>
      <c r="B374" s="48" t="s">
        <v>1028</v>
      </c>
      <c r="C374" s="51" t="s">
        <v>1029</v>
      </c>
      <c r="D374" s="71">
        <f t="shared" ca="1" si="88"/>
        <v>1.0000000000000002</v>
      </c>
      <c r="F374" s="71">
        <f t="shared" ca="1" si="92"/>
        <v>0.86549017314247367</v>
      </c>
      <c r="G374" s="71"/>
      <c r="H374" s="71">
        <f t="shared" ca="1" si="93"/>
        <v>5.0827668687646078E-2</v>
      </c>
      <c r="I374" s="71">
        <f t="shared" ca="1" si="89"/>
        <v>8.3682158169880352E-2</v>
      </c>
      <c r="K374" s="71"/>
      <c r="L374" s="71">
        <f t="shared" ca="1" si="94"/>
        <v>7.6524644215064863E-6</v>
      </c>
      <c r="M374" s="71"/>
      <c r="N374" s="71">
        <f t="shared" ca="1" si="90"/>
        <v>8.367450570545884E-2</v>
      </c>
      <c r="O374" s="71">
        <f t="shared" ca="1" si="95"/>
        <v>2.6108568792375525E-2</v>
      </c>
      <c r="P374" s="71">
        <f t="shared" ca="1" si="95"/>
        <v>5.7565936913083315E-2</v>
      </c>
      <c r="Q374" s="71">
        <f t="shared" ca="1" si="95"/>
        <v>0</v>
      </c>
    </row>
    <row r="375" spans="1:17" x14ac:dyDescent="0.2">
      <c r="A375" s="60">
        <v>8</v>
      </c>
      <c r="B375" s="48" t="s">
        <v>1030</v>
      </c>
      <c r="C375" s="51" t="s">
        <v>1031</v>
      </c>
      <c r="D375" s="71">
        <f t="shared" ca="1" si="88"/>
        <v>1</v>
      </c>
      <c r="F375" s="71">
        <f t="shared" ca="1" si="92"/>
        <v>0.85904272823294758</v>
      </c>
      <c r="G375" s="71"/>
      <c r="H375" s="71">
        <f t="shared" ca="1" si="93"/>
        <v>5.239046771966293E-2</v>
      </c>
      <c r="I375" s="71">
        <f t="shared" ca="1" si="89"/>
        <v>8.8566804047389577E-2</v>
      </c>
      <c r="K375" s="71"/>
      <c r="L375" s="71">
        <f t="shared" ca="1" si="94"/>
        <v>7.5954576011972191E-6</v>
      </c>
      <c r="M375" s="71"/>
      <c r="N375" s="71">
        <f t="shared" ca="1" si="90"/>
        <v>8.8559208589788385E-2</v>
      </c>
      <c r="O375" s="71">
        <f t="shared" ca="1" si="95"/>
        <v>2.7632720028293881E-2</v>
      </c>
      <c r="P375" s="71">
        <f t="shared" ca="1" si="95"/>
        <v>6.0926488561494505E-2</v>
      </c>
      <c r="Q375" s="71">
        <f t="shared" ca="1" si="95"/>
        <v>0</v>
      </c>
    </row>
    <row r="376" spans="1:17" x14ac:dyDescent="0.2">
      <c r="A376" s="60">
        <v>9</v>
      </c>
      <c r="B376" s="48" t="s">
        <v>1032</v>
      </c>
      <c r="C376" s="51" t="s">
        <v>1033</v>
      </c>
      <c r="D376" s="71">
        <f t="shared" ca="1" si="88"/>
        <v>1</v>
      </c>
      <c r="F376" s="71">
        <f t="shared" ca="1" si="92"/>
        <v>0</v>
      </c>
      <c r="G376" s="71"/>
      <c r="H376" s="71">
        <f t="shared" ca="1" si="93"/>
        <v>0.9998981235864246</v>
      </c>
      <c r="I376" s="71">
        <f t="shared" ca="1" si="89"/>
        <v>1.0187641357537594E-4</v>
      </c>
      <c r="K376" s="71"/>
      <c r="L376" s="71">
        <f t="shared" ca="1" si="94"/>
        <v>0</v>
      </c>
      <c r="M376" s="71"/>
      <c r="N376" s="71">
        <f t="shared" ca="1" si="90"/>
        <v>1.0187641357537594E-4</v>
      </c>
      <c r="O376" s="71">
        <f t="shared" ca="1" si="95"/>
        <v>3.1788025871537078E-5</v>
      </c>
      <c r="P376" s="71">
        <f t="shared" ca="1" si="95"/>
        <v>7.0088387703838865E-5</v>
      </c>
      <c r="Q376" s="71">
        <f t="shared" ca="1" si="95"/>
        <v>0</v>
      </c>
    </row>
    <row r="377" spans="1:17" x14ac:dyDescent="0.2">
      <c r="A377" s="60">
        <v>10</v>
      </c>
      <c r="B377" s="48" t="s">
        <v>1034</v>
      </c>
      <c r="C377" s="51" t="s">
        <v>1035</v>
      </c>
      <c r="D377" s="71">
        <f t="shared" ca="1" si="88"/>
        <v>1</v>
      </c>
      <c r="F377" s="71">
        <f t="shared" ca="1" si="92"/>
        <v>0.14232577723379158</v>
      </c>
      <c r="G377" s="71"/>
      <c r="H377" s="71">
        <f t="shared" ca="1" si="93"/>
        <v>0.84382711167009894</v>
      </c>
      <c r="I377" s="71">
        <f t="shared" ca="1" si="89"/>
        <v>1.3847111096109496E-2</v>
      </c>
      <c r="K377" s="71"/>
      <c r="L377" s="71">
        <f t="shared" ca="1" si="94"/>
        <v>1.2584116843179426E-6</v>
      </c>
      <c r="M377" s="71"/>
      <c r="N377" s="71">
        <f t="shared" ca="1" si="90"/>
        <v>1.3845852684425178E-2</v>
      </c>
      <c r="O377" s="71">
        <f t="shared" ca="1" si="95"/>
        <v>4.3202573382734484E-3</v>
      </c>
      <c r="P377" s="71">
        <f t="shared" ca="1" si="95"/>
        <v>9.5255953461517301E-3</v>
      </c>
      <c r="Q377" s="71">
        <f t="shared" ca="1" si="95"/>
        <v>0</v>
      </c>
    </row>
    <row r="378" spans="1:17" x14ac:dyDescent="0.2">
      <c r="A378" s="60">
        <v>11</v>
      </c>
      <c r="B378" s="48" t="s">
        <v>1036</v>
      </c>
      <c r="C378" s="51" t="s">
        <v>1037</v>
      </c>
      <c r="D378" s="71">
        <f t="shared" ca="1" si="88"/>
        <v>1</v>
      </c>
      <c r="F378" s="71">
        <f t="shared" ca="1" si="92"/>
        <v>0.94084668465142995</v>
      </c>
      <c r="G378" s="71"/>
      <c r="H378" s="71">
        <f t="shared" ca="1" si="93"/>
        <v>5.6025851478961691E-2</v>
      </c>
      <c r="I378" s="71">
        <f t="shared" ca="1" si="89"/>
        <v>3.1274638696084083E-3</v>
      </c>
      <c r="K378" s="71"/>
      <c r="L378" s="71">
        <f t="shared" ca="1" si="94"/>
        <v>1.1301941664240649E-4</v>
      </c>
      <c r="M378" s="71"/>
      <c r="N378" s="71">
        <f t="shared" ca="1" si="90"/>
        <v>3.0144444529660018E-3</v>
      </c>
      <c r="O378" s="71">
        <f t="shared" ca="1" si="95"/>
        <v>2.5904362890761048E-3</v>
      </c>
      <c r="P378" s="71">
        <f t="shared" ca="1" si="95"/>
        <v>4.2400816388989679E-4</v>
      </c>
      <c r="Q378" s="71">
        <f t="shared" ca="1" si="95"/>
        <v>0</v>
      </c>
    </row>
    <row r="379" spans="1:17" x14ac:dyDescent="0.2">
      <c r="A379" s="60">
        <v>12</v>
      </c>
      <c r="B379" s="48" t="s">
        <v>1038</v>
      </c>
      <c r="C379" s="51" t="s">
        <v>1039</v>
      </c>
      <c r="D379" s="71">
        <f t="shared" ca="1" si="88"/>
        <v>1</v>
      </c>
      <c r="F379" s="71">
        <f t="shared" ca="1" si="92"/>
        <v>0.99680626274351791</v>
      </c>
      <c r="G379" s="71"/>
      <c r="H379" s="71">
        <f t="shared" ca="1" si="93"/>
        <v>0</v>
      </c>
      <c r="I379" s="71">
        <f t="shared" ca="1" si="89"/>
        <v>3.1937372564821327E-3</v>
      </c>
      <c r="K379" s="71"/>
      <c r="L379" s="71">
        <f t="shared" ca="1" si="94"/>
        <v>0</v>
      </c>
      <c r="M379" s="71"/>
      <c r="N379" s="71">
        <f t="shared" ca="1" si="90"/>
        <v>3.1937372564821327E-3</v>
      </c>
      <c r="O379" s="71">
        <f t="shared" ca="1" si="95"/>
        <v>2.7445099805456542E-3</v>
      </c>
      <c r="P379" s="71">
        <f t="shared" ca="1" si="95"/>
        <v>4.492272759364787E-4</v>
      </c>
      <c r="Q379" s="71">
        <f t="shared" ca="1" si="95"/>
        <v>0</v>
      </c>
    </row>
    <row r="380" spans="1:17" x14ac:dyDescent="0.2">
      <c r="A380" s="60">
        <v>13</v>
      </c>
      <c r="B380" s="48" t="s">
        <v>1040</v>
      </c>
      <c r="C380" s="51" t="s">
        <v>1041</v>
      </c>
      <c r="D380" s="71">
        <f t="shared" ca="1" si="88"/>
        <v>1</v>
      </c>
      <c r="F380" s="71">
        <f t="shared" ca="1" si="92"/>
        <v>0.889378826025083</v>
      </c>
      <c r="G380" s="71"/>
      <c r="H380" s="71">
        <f t="shared" ca="1" si="93"/>
        <v>5.4792985936032615E-2</v>
      </c>
      <c r="I380" s="71">
        <f t="shared" ca="1" si="89"/>
        <v>5.5828188038884306E-2</v>
      </c>
      <c r="K380" s="71"/>
      <c r="L380" s="71">
        <f t="shared" ca="1" si="94"/>
        <v>3.0698630802607458E-5</v>
      </c>
      <c r="M380" s="71"/>
      <c r="N380" s="71">
        <f t="shared" ca="1" si="90"/>
        <v>5.5797489408081699E-2</v>
      </c>
      <c r="O380" s="71">
        <f t="shared" ca="1" si="95"/>
        <v>1.8126515448974527E-2</v>
      </c>
      <c r="P380" s="71">
        <f t="shared" ca="1" si="95"/>
        <v>3.7670973959107172E-2</v>
      </c>
      <c r="Q380" s="71">
        <f t="shared" ca="1" si="95"/>
        <v>6.2578097021888356E-20</v>
      </c>
    </row>
    <row r="381" spans="1:17" x14ac:dyDescent="0.2">
      <c r="A381" s="60">
        <v>14</v>
      </c>
      <c r="B381" s="48" t="s">
        <v>1042</v>
      </c>
      <c r="C381" s="56" t="s">
        <v>1318</v>
      </c>
      <c r="D381" s="71">
        <f t="shared" ca="1" si="88"/>
        <v>1</v>
      </c>
      <c r="F381" s="71">
        <f t="shared" ca="1" si="92"/>
        <v>1</v>
      </c>
      <c r="G381" s="71"/>
      <c r="H381" s="71">
        <f t="shared" ca="1" si="93"/>
        <v>0</v>
      </c>
      <c r="I381" s="71">
        <f t="shared" ca="1" si="89"/>
        <v>0</v>
      </c>
      <c r="K381" s="71"/>
      <c r="L381" s="71">
        <f t="shared" ca="1" si="94"/>
        <v>0</v>
      </c>
      <c r="M381" s="71"/>
      <c r="N381" s="71">
        <f t="shared" ca="1" si="90"/>
        <v>0</v>
      </c>
      <c r="O381" s="71">
        <f t="shared" ca="1" si="95"/>
        <v>0</v>
      </c>
      <c r="P381" s="71">
        <f t="shared" ca="1" si="95"/>
        <v>0</v>
      </c>
      <c r="Q381" s="71">
        <f t="shared" ca="1" si="95"/>
        <v>0</v>
      </c>
    </row>
    <row r="382" spans="1:17" x14ac:dyDescent="0.2">
      <c r="A382" s="60">
        <v>15</v>
      </c>
      <c r="B382" s="48" t="s">
        <v>751</v>
      </c>
      <c r="C382" s="56" t="s">
        <v>1319</v>
      </c>
      <c r="D382" s="71">
        <f t="shared" ca="1" si="88"/>
        <v>1</v>
      </c>
      <c r="F382" s="71">
        <f t="shared" ca="1" si="92"/>
        <v>0.87069393411336549</v>
      </c>
      <c r="G382" s="71"/>
      <c r="H382" s="71">
        <f t="shared" ca="1" si="93"/>
        <v>5.9394533807123652E-2</v>
      </c>
      <c r="I382" s="71">
        <f ca="1">(L382+M382+N382)</f>
        <v>6.991153207951091E-2</v>
      </c>
      <c r="K382" s="71"/>
      <c r="L382" s="71">
        <f t="shared" ca="1" si="94"/>
        <v>3.153235764200856E-5</v>
      </c>
      <c r="M382" s="71"/>
      <c r="N382" s="71">
        <f ca="1">SUM(O382:Q382)</f>
        <v>6.9879999721868896E-2</v>
      </c>
      <c r="O382" s="71">
        <f t="shared" ca="1" si="95"/>
        <v>2.2187681801154498E-2</v>
      </c>
      <c r="P382" s="71">
        <f t="shared" ca="1" si="95"/>
        <v>4.7692317920714405E-2</v>
      </c>
      <c r="Q382" s="71">
        <f t="shared" ca="1" si="95"/>
        <v>1.3629278232060985E-21</v>
      </c>
    </row>
    <row r="383" spans="1:17" x14ac:dyDescent="0.2">
      <c r="A383" s="60">
        <v>16</v>
      </c>
      <c r="B383" s="48" t="s">
        <v>1043</v>
      </c>
      <c r="C383" s="51" t="s">
        <v>1044</v>
      </c>
      <c r="D383" s="71">
        <f t="shared" ca="1" si="88"/>
        <v>1</v>
      </c>
      <c r="F383" s="71">
        <f t="shared" ref="F383:F411" ca="1" si="96">IF(F135&lt;&gt;0,IF($D135=0,1,+F135/$D135),0)</f>
        <v>0.86549017314247356</v>
      </c>
      <c r="G383" s="71"/>
      <c r="H383" s="71">
        <f t="shared" ca="1" si="93"/>
        <v>5.0827668687646071E-2</v>
      </c>
      <c r="I383" s="71">
        <f t="shared" ca="1" si="89"/>
        <v>8.3682158169880325E-2</v>
      </c>
      <c r="K383" s="71"/>
      <c r="L383" s="71">
        <f t="shared" ref="L383:L389" ca="1" si="97">IF(L135&lt;&gt;0,IF($D135=0,1,+L135/$D135),0)</f>
        <v>7.6524644215064863E-6</v>
      </c>
      <c r="M383" s="71"/>
      <c r="N383" s="71">
        <f t="shared" ca="1" si="90"/>
        <v>8.3674505705458813E-2</v>
      </c>
      <c r="O383" s="71">
        <f t="shared" ref="O383:Q389" ca="1" si="98">IF(O135&lt;&gt;0,IF($D135=0,1,+O135/$D135),0)</f>
        <v>2.6108568792375518E-2</v>
      </c>
      <c r="P383" s="71">
        <f t="shared" ca="1" si="98"/>
        <v>5.7565936913083302E-2</v>
      </c>
      <c r="Q383" s="71">
        <f t="shared" ca="1" si="98"/>
        <v>0</v>
      </c>
    </row>
    <row r="384" spans="1:17" x14ac:dyDescent="0.2">
      <c r="A384" s="60">
        <v>17</v>
      </c>
      <c r="B384" s="48" t="s">
        <v>1045</v>
      </c>
      <c r="C384" s="51" t="s">
        <v>1046</v>
      </c>
      <c r="D384" s="71">
        <f t="shared" ca="1" si="88"/>
        <v>1</v>
      </c>
      <c r="F384" s="71">
        <f t="shared" ca="1" si="96"/>
        <v>0.85693239087841977</v>
      </c>
      <c r="G384" s="71"/>
      <c r="H384" s="71">
        <f t="shared" ca="1" si="93"/>
        <v>5.1868508658992278E-2</v>
      </c>
      <c r="I384" s="71">
        <f t="shared" ca="1" si="89"/>
        <v>9.1199100462587945E-2</v>
      </c>
      <c r="K384" s="71"/>
      <c r="L384" s="71">
        <f t="shared" ca="1" si="97"/>
        <v>7.5767984852141167E-6</v>
      </c>
      <c r="M384" s="71"/>
      <c r="N384" s="71">
        <f t="shared" ca="1" si="90"/>
        <v>9.1191523664102728E-2</v>
      </c>
      <c r="O384" s="71">
        <f t="shared" ca="1" si="98"/>
        <v>2.8454069119292574E-2</v>
      </c>
      <c r="P384" s="71">
        <f t="shared" ca="1" si="98"/>
        <v>6.2737454544810153E-2</v>
      </c>
      <c r="Q384" s="71">
        <f t="shared" ca="1" si="98"/>
        <v>0</v>
      </c>
    </row>
    <row r="385" spans="1:17" x14ac:dyDescent="0.2">
      <c r="A385" s="60">
        <v>18</v>
      </c>
      <c r="B385" s="48" t="s">
        <v>1047</v>
      </c>
      <c r="C385" s="51" t="s">
        <v>1048</v>
      </c>
      <c r="D385" s="71">
        <f t="shared" ca="1" si="88"/>
        <v>1</v>
      </c>
      <c r="F385" s="71">
        <f t="shared" ca="1" si="96"/>
        <v>0.80246280753473243</v>
      </c>
      <c r="G385" s="71"/>
      <c r="H385" s="71">
        <f t="shared" ca="1" si="93"/>
        <v>0.11486899915379654</v>
      </c>
      <c r="I385" s="71">
        <f t="shared" ca="1" si="89"/>
        <v>8.2668193311471044E-2</v>
      </c>
      <c r="K385" s="71"/>
      <c r="L385" s="71">
        <f t="shared" ca="1" si="97"/>
        <v>7.0951909967334427E-6</v>
      </c>
      <c r="M385" s="71"/>
      <c r="N385" s="71">
        <f t="shared" ca="1" si="90"/>
        <v>8.2661098120474313E-2</v>
      </c>
      <c r="O385" s="71">
        <f t="shared" ca="1" si="98"/>
        <v>2.5792359913408013E-2</v>
      </c>
      <c r="P385" s="71">
        <f t="shared" ca="1" si="98"/>
        <v>5.6868738207066297E-2</v>
      </c>
      <c r="Q385" s="71">
        <f t="shared" ca="1" si="98"/>
        <v>0</v>
      </c>
    </row>
    <row r="386" spans="1:17" x14ac:dyDescent="0.2">
      <c r="A386" s="60">
        <v>19</v>
      </c>
      <c r="B386" s="48" t="s">
        <v>1055</v>
      </c>
      <c r="C386" s="56" t="s">
        <v>636</v>
      </c>
      <c r="D386" s="71">
        <f t="shared" ca="1" si="88"/>
        <v>1</v>
      </c>
      <c r="F386" s="71">
        <f t="shared" ca="1" si="96"/>
        <v>0.86664594038188369</v>
      </c>
      <c r="G386" s="71"/>
      <c r="H386" s="71">
        <f t="shared" ca="1" si="93"/>
        <v>5.8973457580167699E-2</v>
      </c>
      <c r="I386" s="71">
        <f t="shared" ca="1" si="89"/>
        <v>7.438060203794869E-2</v>
      </c>
      <c r="K386" s="71"/>
      <c r="L386" s="71">
        <f t="shared" ca="1" si="97"/>
        <v>2.663425465374707E-5</v>
      </c>
      <c r="M386" s="71"/>
      <c r="N386" s="71">
        <f t="shared" ca="1" si="90"/>
        <v>7.435396778329495E-2</v>
      </c>
      <c r="O386" s="71">
        <f t="shared" ca="1" si="98"/>
        <v>2.3499274876262501E-2</v>
      </c>
      <c r="P386" s="71">
        <f t="shared" ca="1" si="98"/>
        <v>5.0854692907032449E-2</v>
      </c>
      <c r="Q386" s="71">
        <f t="shared" ca="1" si="98"/>
        <v>0</v>
      </c>
    </row>
    <row r="387" spans="1:17" x14ac:dyDescent="0.2">
      <c r="A387" s="60">
        <v>20</v>
      </c>
      <c r="B387" s="48" t="s">
        <v>1057</v>
      </c>
      <c r="C387" s="56" t="s">
        <v>1320</v>
      </c>
      <c r="D387" s="71">
        <f t="shared" ca="1" si="88"/>
        <v>1</v>
      </c>
      <c r="F387" s="71">
        <f t="shared" ca="1" si="96"/>
        <v>0.87918431421558041</v>
      </c>
      <c r="G387" s="71"/>
      <c r="H387" s="71">
        <f t="shared" ca="1" si="93"/>
        <v>5.7303469550810747E-2</v>
      </c>
      <c r="I387" s="71">
        <f t="shared" ca="1" si="89"/>
        <v>6.3512216233608795E-2</v>
      </c>
      <c r="K387" s="71"/>
      <c r="L387" s="71">
        <f t="shared" ca="1" si="97"/>
        <v>3.1153392648877589E-5</v>
      </c>
      <c r="M387" s="71"/>
      <c r="N387" s="71">
        <f t="shared" ca="1" si="90"/>
        <v>6.3481062840959918E-2</v>
      </c>
      <c r="O387" s="71">
        <f t="shared" ca="1" si="98"/>
        <v>2.0342323177227332E-2</v>
      </c>
      <c r="P387" s="71">
        <f t="shared" ca="1" si="98"/>
        <v>4.3138739663732592E-2</v>
      </c>
      <c r="Q387" s="71">
        <f t="shared" ca="1" si="98"/>
        <v>2.9176989535049218E-20</v>
      </c>
    </row>
    <row r="388" spans="1:17" x14ac:dyDescent="0.2">
      <c r="A388" s="66">
        <v>21</v>
      </c>
      <c r="B388" s="48" t="s">
        <v>1060</v>
      </c>
      <c r="C388" s="56" t="s">
        <v>1409</v>
      </c>
      <c r="D388" s="71">
        <f t="shared" ca="1" si="88"/>
        <v>1</v>
      </c>
      <c r="F388" s="71">
        <f t="shared" ca="1" si="96"/>
        <v>1</v>
      </c>
      <c r="G388" s="71"/>
      <c r="H388" s="71">
        <f t="shared" si="93"/>
        <v>0</v>
      </c>
      <c r="I388" s="71">
        <f t="shared" si="89"/>
        <v>0</v>
      </c>
      <c r="K388" s="71"/>
      <c r="L388" s="71">
        <f t="shared" si="97"/>
        <v>0</v>
      </c>
      <c r="M388" s="71"/>
      <c r="N388" s="71">
        <f t="shared" si="90"/>
        <v>0</v>
      </c>
      <c r="O388" s="71">
        <f t="shared" si="98"/>
        <v>0</v>
      </c>
      <c r="P388" s="71">
        <f t="shared" si="98"/>
        <v>0</v>
      </c>
      <c r="Q388" s="71">
        <f t="shared" si="98"/>
        <v>0</v>
      </c>
    </row>
    <row r="389" spans="1:17" x14ac:dyDescent="0.2">
      <c r="A389" s="66">
        <v>22</v>
      </c>
      <c r="B389" s="48" t="s">
        <v>1061</v>
      </c>
      <c r="C389" s="51" t="s">
        <v>1062</v>
      </c>
      <c r="D389" s="71">
        <f t="shared" ca="1" si="88"/>
        <v>1</v>
      </c>
      <c r="F389" s="71">
        <f t="shared" si="96"/>
        <v>0</v>
      </c>
      <c r="G389" s="71"/>
      <c r="H389" s="71">
        <f t="shared" si="93"/>
        <v>0</v>
      </c>
      <c r="I389" s="71">
        <f t="shared" ca="1" si="89"/>
        <v>1</v>
      </c>
      <c r="K389" s="71"/>
      <c r="L389" s="71">
        <f t="shared" si="97"/>
        <v>0</v>
      </c>
      <c r="M389" s="71"/>
      <c r="N389" s="71">
        <f t="shared" ca="1" si="90"/>
        <v>1</v>
      </c>
      <c r="O389" s="71">
        <f t="shared" ca="1" si="98"/>
        <v>0.31202537227145194</v>
      </c>
      <c r="P389" s="71">
        <f t="shared" ca="1" si="98"/>
        <v>0.687974627728548</v>
      </c>
      <c r="Q389" s="71">
        <f t="shared" ca="1" si="98"/>
        <v>0</v>
      </c>
    </row>
    <row r="390" spans="1:17" x14ac:dyDescent="0.2">
      <c r="A390" s="60">
        <v>23</v>
      </c>
      <c r="B390" s="48" t="s">
        <v>1063</v>
      </c>
      <c r="C390" s="51" t="s">
        <v>1064</v>
      </c>
      <c r="D390" s="71">
        <f t="shared" ca="1" si="88"/>
        <v>1</v>
      </c>
      <c r="F390" s="71">
        <f t="shared" si="96"/>
        <v>0</v>
      </c>
      <c r="G390" s="71"/>
      <c r="H390" s="71">
        <f t="shared" si="93"/>
        <v>0</v>
      </c>
      <c r="I390" s="71">
        <f t="shared" ca="1" si="89"/>
        <v>1</v>
      </c>
      <c r="K390" s="71"/>
      <c r="L390" s="71">
        <f t="shared" ref="L390:L409" si="99">IF(L142&lt;&gt;0,IF($D142=0,1,+L142/$D142),0)</f>
        <v>0</v>
      </c>
      <c r="M390" s="71"/>
      <c r="N390" s="71">
        <f t="shared" ca="1" si="90"/>
        <v>1</v>
      </c>
      <c r="O390" s="71">
        <f t="shared" ref="O390:Q409" ca="1" si="100">IF(O142&lt;&gt;0,IF($D142=0,1,+O142/$D142),0)</f>
        <v>0.31202537227145188</v>
      </c>
      <c r="P390" s="71">
        <f t="shared" ca="1" si="100"/>
        <v>0.68797462772854823</v>
      </c>
      <c r="Q390" s="71">
        <f t="shared" ca="1" si="100"/>
        <v>0</v>
      </c>
    </row>
    <row r="391" spans="1:17" x14ac:dyDescent="0.2">
      <c r="A391" s="60">
        <v>24</v>
      </c>
      <c r="B391" s="48" t="s">
        <v>1065</v>
      </c>
      <c r="C391" s="51" t="s">
        <v>1066</v>
      </c>
      <c r="D391" s="71">
        <f t="shared" ca="1" si="88"/>
        <v>1</v>
      </c>
      <c r="F391" s="71">
        <f t="shared" si="96"/>
        <v>0</v>
      </c>
      <c r="G391" s="71"/>
      <c r="H391" s="71">
        <f t="shared" si="93"/>
        <v>0</v>
      </c>
      <c r="I391" s="71">
        <f t="shared" ca="1" si="89"/>
        <v>1</v>
      </c>
      <c r="K391" s="71"/>
      <c r="L391" s="71">
        <f t="shared" si="99"/>
        <v>0</v>
      </c>
      <c r="M391" s="71"/>
      <c r="N391" s="71">
        <f t="shared" ca="1" si="90"/>
        <v>1</v>
      </c>
      <c r="O391" s="71">
        <f t="shared" ca="1" si="100"/>
        <v>0.312025372271452</v>
      </c>
      <c r="P391" s="71">
        <f t="shared" ca="1" si="100"/>
        <v>0.687974627728548</v>
      </c>
      <c r="Q391" s="71">
        <f t="shared" ca="1" si="100"/>
        <v>0</v>
      </c>
    </row>
    <row r="392" spans="1:17" x14ac:dyDescent="0.2">
      <c r="A392" s="60">
        <v>25</v>
      </c>
      <c r="B392" s="48" t="s">
        <v>1067</v>
      </c>
      <c r="C392" s="51" t="s">
        <v>1068</v>
      </c>
      <c r="D392" s="71">
        <f t="shared" ca="1" si="88"/>
        <v>1</v>
      </c>
      <c r="F392" s="71">
        <f t="shared" si="96"/>
        <v>0</v>
      </c>
      <c r="G392" s="71"/>
      <c r="H392" s="71">
        <f t="shared" si="93"/>
        <v>0</v>
      </c>
      <c r="I392" s="71">
        <f t="shared" ca="1" si="89"/>
        <v>1</v>
      </c>
      <c r="K392" s="71"/>
      <c r="L392" s="71">
        <f t="shared" si="99"/>
        <v>0</v>
      </c>
      <c r="M392" s="71"/>
      <c r="N392" s="71">
        <f t="shared" ca="1" si="90"/>
        <v>1</v>
      </c>
      <c r="O392" s="71">
        <f t="shared" ca="1" si="100"/>
        <v>0.31202537227145183</v>
      </c>
      <c r="P392" s="71">
        <f t="shared" ca="1" si="100"/>
        <v>0.68797462772854823</v>
      </c>
      <c r="Q392" s="71">
        <f t="shared" ca="1" si="100"/>
        <v>0</v>
      </c>
    </row>
    <row r="393" spans="1:17" x14ac:dyDescent="0.2">
      <c r="A393" s="60">
        <v>26</v>
      </c>
      <c r="B393" s="48" t="s">
        <v>1069</v>
      </c>
      <c r="C393" s="51" t="s">
        <v>1070</v>
      </c>
      <c r="D393" s="71">
        <f t="shared" ca="1" si="88"/>
        <v>1</v>
      </c>
      <c r="F393" s="71">
        <f t="shared" ca="1" si="96"/>
        <v>0.85904272823294758</v>
      </c>
      <c r="G393" s="71"/>
      <c r="H393" s="71">
        <f t="shared" ca="1" si="93"/>
        <v>5.239046771966293E-2</v>
      </c>
      <c r="I393" s="71">
        <f t="shared" ca="1" si="89"/>
        <v>8.8566804047389577E-2</v>
      </c>
      <c r="K393" s="71"/>
      <c r="L393" s="71">
        <f t="shared" ca="1" si="99"/>
        <v>7.5954576011972191E-6</v>
      </c>
      <c r="M393" s="71"/>
      <c r="N393" s="71">
        <f t="shared" ca="1" si="90"/>
        <v>8.8559208589788385E-2</v>
      </c>
      <c r="O393" s="71">
        <f t="shared" ca="1" si="100"/>
        <v>2.7632720028293881E-2</v>
      </c>
      <c r="P393" s="71">
        <f t="shared" ca="1" si="100"/>
        <v>6.0926488561494505E-2</v>
      </c>
      <c r="Q393" s="71">
        <f t="shared" ca="1" si="100"/>
        <v>0</v>
      </c>
    </row>
    <row r="394" spans="1:17" x14ac:dyDescent="0.2">
      <c r="A394" s="60">
        <v>27</v>
      </c>
      <c r="B394" s="48" t="s">
        <v>1195</v>
      </c>
      <c r="C394" s="51" t="s">
        <v>1072</v>
      </c>
      <c r="D394" s="71">
        <f t="shared" ca="1" si="88"/>
        <v>1</v>
      </c>
      <c r="F394" s="71">
        <f t="shared" ca="1" si="96"/>
        <v>0.14232577723379158</v>
      </c>
      <c r="G394" s="71"/>
      <c r="H394" s="71">
        <f t="shared" ca="1" si="93"/>
        <v>0.84382711167009894</v>
      </c>
      <c r="I394" s="71">
        <f t="shared" ca="1" si="89"/>
        <v>1.3847111096109496E-2</v>
      </c>
      <c r="K394" s="71"/>
      <c r="L394" s="71">
        <f t="shared" ca="1" si="99"/>
        <v>1.2584116843179426E-6</v>
      </c>
      <c r="M394" s="71"/>
      <c r="N394" s="71">
        <f t="shared" ca="1" si="90"/>
        <v>1.3845852684425178E-2</v>
      </c>
      <c r="O394" s="71">
        <f t="shared" ca="1" si="100"/>
        <v>4.3202573382734484E-3</v>
      </c>
      <c r="P394" s="71">
        <f t="shared" ca="1" si="100"/>
        <v>9.5255953461517301E-3</v>
      </c>
      <c r="Q394" s="71">
        <f t="shared" ca="1" si="100"/>
        <v>0</v>
      </c>
    </row>
    <row r="395" spans="1:17" x14ac:dyDescent="0.2">
      <c r="A395" s="60">
        <v>28</v>
      </c>
      <c r="B395" s="48" t="s">
        <v>1073</v>
      </c>
      <c r="C395" s="56" t="s">
        <v>1321</v>
      </c>
      <c r="D395" s="71">
        <f t="shared" ca="1" si="88"/>
        <v>1</v>
      </c>
      <c r="F395" s="71">
        <f t="shared" ca="1" si="96"/>
        <v>0.92494067000166846</v>
      </c>
      <c r="G395" s="71"/>
      <c r="H395" s="71">
        <f t="shared" ca="1" si="93"/>
        <v>7.4895952198311397E-2</v>
      </c>
      <c r="I395" s="71">
        <f t="shared" ca="1" si="89"/>
        <v>1.6337780002018083E-4</v>
      </c>
      <c r="K395" s="71"/>
      <c r="L395" s="71">
        <f t="shared" ca="1" si="99"/>
        <v>1.6337780002018083E-4</v>
      </c>
      <c r="M395" s="71"/>
      <c r="N395" s="71">
        <f t="shared" ca="1" si="90"/>
        <v>0</v>
      </c>
      <c r="O395" s="71">
        <f t="shared" ca="1" si="100"/>
        <v>0</v>
      </c>
      <c r="P395" s="71">
        <f t="shared" ca="1" si="100"/>
        <v>0</v>
      </c>
      <c r="Q395" s="71">
        <f t="shared" ca="1" si="100"/>
        <v>0</v>
      </c>
    </row>
    <row r="396" spans="1:17" x14ac:dyDescent="0.2">
      <c r="A396" s="60">
        <v>29</v>
      </c>
      <c r="B396" s="48" t="s">
        <v>1074</v>
      </c>
      <c r="C396" s="51" t="s">
        <v>1075</v>
      </c>
      <c r="D396" s="71">
        <f t="shared" ca="1" si="88"/>
        <v>1</v>
      </c>
      <c r="F396" s="71">
        <f t="shared" ca="1" si="96"/>
        <v>0.87069504779313966</v>
      </c>
      <c r="G396" s="71"/>
      <c r="H396" s="71">
        <f t="shared" ca="1" si="93"/>
        <v>5.9394022257332528E-2</v>
      </c>
      <c r="I396" s="71">
        <f t="shared" ca="1" si="89"/>
        <v>6.9910929949527884E-2</v>
      </c>
      <c r="K396" s="71"/>
      <c r="L396" s="71">
        <f t="shared" ca="1" si="99"/>
        <v>3.1532086061950063E-5</v>
      </c>
      <c r="M396" s="71"/>
      <c r="N396" s="71">
        <f t="shared" ca="1" si="90"/>
        <v>6.9879397863465934E-2</v>
      </c>
      <c r="O396" s="71">
        <f t="shared" ca="1" si="100"/>
        <v>2.2187490704377345E-2</v>
      </c>
      <c r="P396" s="71">
        <f t="shared" ca="1" si="100"/>
        <v>4.7691907159088588E-2</v>
      </c>
      <c r="Q396" s="71">
        <f t="shared" ca="1" si="100"/>
        <v>1.3629160846605018E-21</v>
      </c>
    </row>
    <row r="397" spans="1:17" x14ac:dyDescent="0.2">
      <c r="A397" s="60">
        <v>30</v>
      </c>
      <c r="B397" s="48" t="s">
        <v>1076</v>
      </c>
      <c r="C397" s="51" t="s">
        <v>1077</v>
      </c>
      <c r="D397" s="71">
        <f t="shared" ca="1" si="88"/>
        <v>1</v>
      </c>
      <c r="F397" s="71">
        <f t="shared" ca="1" si="96"/>
        <v>1</v>
      </c>
      <c r="G397" s="71"/>
      <c r="H397" s="71">
        <f t="shared" si="93"/>
        <v>0</v>
      </c>
      <c r="I397" s="71">
        <f t="shared" si="89"/>
        <v>0</v>
      </c>
      <c r="K397" s="71"/>
      <c r="L397" s="71">
        <f t="shared" si="99"/>
        <v>0</v>
      </c>
      <c r="M397" s="71"/>
      <c r="N397" s="71">
        <f t="shared" si="90"/>
        <v>0</v>
      </c>
      <c r="O397" s="71">
        <f t="shared" si="100"/>
        <v>0</v>
      </c>
      <c r="P397" s="71">
        <f t="shared" si="100"/>
        <v>0</v>
      </c>
      <c r="Q397" s="71">
        <f t="shared" si="100"/>
        <v>0</v>
      </c>
    </row>
    <row r="398" spans="1:17" x14ac:dyDescent="0.2">
      <c r="A398" s="60">
        <v>31</v>
      </c>
      <c r="B398" s="48" t="s">
        <v>1078</v>
      </c>
      <c r="C398" s="51" t="s">
        <v>1079</v>
      </c>
      <c r="D398" s="71">
        <f t="shared" ca="1" si="88"/>
        <v>1</v>
      </c>
      <c r="F398" s="71">
        <f t="shared" ca="1" si="96"/>
        <v>0.92570561725745826</v>
      </c>
      <c r="G398" s="71"/>
      <c r="H398" s="71">
        <f t="shared" si="93"/>
        <v>0</v>
      </c>
      <c r="I398" s="71">
        <f t="shared" ca="1" si="89"/>
        <v>7.4294382742541798E-2</v>
      </c>
      <c r="K398" s="71"/>
      <c r="L398" s="71">
        <f t="shared" si="99"/>
        <v>0</v>
      </c>
      <c r="M398" s="71"/>
      <c r="N398" s="71">
        <f t="shared" ca="1" si="90"/>
        <v>7.4294382742541798E-2</v>
      </c>
      <c r="O398" s="71">
        <f t="shared" ca="1" si="100"/>
        <v>2.3589297802885215E-2</v>
      </c>
      <c r="P398" s="71">
        <f t="shared" ca="1" si="100"/>
        <v>5.0705084939656586E-2</v>
      </c>
      <c r="Q398" s="71">
        <f t="shared" ca="1" si="100"/>
        <v>1.4490252110868947E-21</v>
      </c>
    </row>
    <row r="399" spans="1:17" x14ac:dyDescent="0.2">
      <c r="A399" s="60">
        <v>32</v>
      </c>
      <c r="B399" s="48" t="s">
        <v>1080</v>
      </c>
      <c r="C399" s="51" t="s">
        <v>1081</v>
      </c>
      <c r="D399" s="71">
        <f t="shared" ca="1" si="88"/>
        <v>1</v>
      </c>
      <c r="F399" s="71">
        <f t="shared" si="96"/>
        <v>0</v>
      </c>
      <c r="G399" s="71"/>
      <c r="H399" s="71">
        <f t="shared" ca="1" si="93"/>
        <v>1</v>
      </c>
      <c r="I399" s="71">
        <f t="shared" si="89"/>
        <v>0</v>
      </c>
      <c r="K399" s="71"/>
      <c r="L399" s="71">
        <f t="shared" si="99"/>
        <v>0</v>
      </c>
      <c r="M399" s="71"/>
      <c r="N399" s="71">
        <f t="shared" si="90"/>
        <v>0</v>
      </c>
      <c r="O399" s="71">
        <f t="shared" si="100"/>
        <v>0</v>
      </c>
      <c r="P399" s="71">
        <f t="shared" si="100"/>
        <v>0</v>
      </c>
      <c r="Q399" s="71">
        <f t="shared" si="100"/>
        <v>0</v>
      </c>
    </row>
    <row r="400" spans="1:17" x14ac:dyDescent="0.2">
      <c r="A400" s="60">
        <v>33</v>
      </c>
      <c r="B400" s="48" t="s">
        <v>1082</v>
      </c>
      <c r="C400" s="51" t="s">
        <v>1083</v>
      </c>
      <c r="D400" s="71">
        <f t="shared" ca="1" si="88"/>
        <v>1</v>
      </c>
      <c r="F400" s="71">
        <f t="shared" ca="1" si="96"/>
        <v>0.85611963191980278</v>
      </c>
      <c r="G400" s="71"/>
      <c r="H400" s="71">
        <f t="shared" ca="1" si="93"/>
        <v>5.2059651418386692E-2</v>
      </c>
      <c r="I400" s="71">
        <f t="shared" ca="1" si="89"/>
        <v>9.1820716661810589E-2</v>
      </c>
      <c r="K400" s="71"/>
      <c r="L400" s="71">
        <f t="shared" ca="1" si="99"/>
        <v>7.5696122580250829E-6</v>
      </c>
      <c r="M400" s="71"/>
      <c r="N400" s="71">
        <f t="shared" ca="1" si="90"/>
        <v>9.1813147049552568E-2</v>
      </c>
      <c r="O400" s="71">
        <f t="shared" ca="1" si="100"/>
        <v>2.8648031387550198E-2</v>
      </c>
      <c r="P400" s="71">
        <f t="shared" ca="1" si="100"/>
        <v>6.3165115662002363E-2</v>
      </c>
      <c r="Q400" s="71">
        <f t="shared" ca="1" si="100"/>
        <v>0</v>
      </c>
    </row>
    <row r="401" spans="1:17" x14ac:dyDescent="0.2">
      <c r="A401" s="60">
        <v>34</v>
      </c>
      <c r="B401" s="48" t="s">
        <v>1084</v>
      </c>
      <c r="C401" s="51" t="s">
        <v>1085</v>
      </c>
      <c r="D401" s="71">
        <f t="shared" ca="1" si="88"/>
        <v>1</v>
      </c>
      <c r="F401" s="71">
        <f t="shared" ca="1" si="96"/>
        <v>0.86368474428104458</v>
      </c>
      <c r="G401" s="71"/>
      <c r="H401" s="71">
        <f t="shared" ca="1" si="93"/>
        <v>5.0732417001093058E-2</v>
      </c>
      <c r="I401" s="71">
        <f t="shared" ca="1" si="89"/>
        <v>8.5582838717862389E-2</v>
      </c>
      <c r="K401" s="71"/>
      <c r="L401" s="71">
        <f t="shared" ca="1" si="99"/>
        <v>7.6365012360696357E-6</v>
      </c>
      <c r="M401" s="71"/>
      <c r="N401" s="71">
        <f t="shared" ca="1" si="90"/>
        <v>8.5575202216626317E-2</v>
      </c>
      <c r="O401" s="71">
        <f t="shared" ca="1" si="100"/>
        <v>2.6701634328847604E-2</v>
      </c>
      <c r="P401" s="71">
        <f t="shared" ca="1" si="100"/>
        <v>5.8873567887778706E-2</v>
      </c>
      <c r="Q401" s="71">
        <f t="shared" ca="1" si="100"/>
        <v>0</v>
      </c>
    </row>
    <row r="402" spans="1:17" x14ac:dyDescent="0.2">
      <c r="A402" s="60">
        <v>35</v>
      </c>
      <c r="B402" s="48" t="s">
        <v>1086</v>
      </c>
      <c r="C402" s="51" t="s">
        <v>1087</v>
      </c>
      <c r="D402" s="71">
        <f t="shared" ca="1" si="88"/>
        <v>0.99999999999999989</v>
      </c>
      <c r="F402" s="71">
        <f t="shared" ca="1" si="96"/>
        <v>0.86209606691412721</v>
      </c>
      <c r="G402" s="71"/>
      <c r="H402" s="71">
        <f t="shared" ca="1" si="93"/>
        <v>5.0629763313373821E-2</v>
      </c>
      <c r="I402" s="71">
        <f t="shared" ca="1" si="89"/>
        <v>8.7274169772498897E-2</v>
      </c>
      <c r="K402" s="71"/>
      <c r="L402" s="71">
        <f t="shared" ca="1" si="99"/>
        <v>7.6224545173374668E-6</v>
      </c>
      <c r="M402" s="71"/>
      <c r="N402" s="71">
        <f t="shared" ca="1" si="90"/>
        <v>8.7266547317981558E-2</v>
      </c>
      <c r="O402" s="71">
        <f t="shared" ca="1" si="100"/>
        <v>2.7229376913737474E-2</v>
      </c>
      <c r="P402" s="71">
        <f t="shared" ca="1" si="100"/>
        <v>6.003717040424409E-2</v>
      </c>
      <c r="Q402" s="71">
        <f t="shared" ca="1" si="100"/>
        <v>0</v>
      </c>
    </row>
    <row r="403" spans="1:17" x14ac:dyDescent="0.2">
      <c r="A403" s="60">
        <v>36</v>
      </c>
      <c r="B403" s="48" t="s">
        <v>1088</v>
      </c>
      <c r="C403" s="56" t="s">
        <v>1322</v>
      </c>
      <c r="D403" s="71">
        <f t="shared" ca="1" si="88"/>
        <v>1</v>
      </c>
      <c r="F403" s="71">
        <f t="shared" ca="1" si="96"/>
        <v>0.92493308786401529</v>
      </c>
      <c r="G403" s="71"/>
      <c r="H403" s="71">
        <f t="shared" ca="1" si="93"/>
        <v>5.2661464845952889E-2</v>
      </c>
      <c r="I403" s="71">
        <f t="shared" ca="1" si="89"/>
        <v>2.2405447290031782E-2</v>
      </c>
      <c r="K403" s="71"/>
      <c r="L403" s="71">
        <f t="shared" ca="1" si="99"/>
        <v>4.021837124875913E-4</v>
      </c>
      <c r="M403" s="71"/>
      <c r="N403" s="71">
        <f t="shared" ca="1" si="90"/>
        <v>2.2003263577544192E-2</v>
      </c>
      <c r="O403" s="71">
        <f t="shared" ca="1" si="100"/>
        <v>2.2003263577544192E-2</v>
      </c>
      <c r="P403" s="71">
        <f t="shared" ca="1" si="100"/>
        <v>0</v>
      </c>
      <c r="Q403" s="71">
        <f t="shared" ca="1" si="100"/>
        <v>0</v>
      </c>
    </row>
    <row r="404" spans="1:17" x14ac:dyDescent="0.2">
      <c r="A404" s="60">
        <v>37</v>
      </c>
      <c r="B404" s="48" t="s">
        <v>1089</v>
      </c>
      <c r="C404" s="56" t="s">
        <v>1323</v>
      </c>
      <c r="D404" s="71">
        <f t="shared" ca="1" si="88"/>
        <v>1</v>
      </c>
      <c r="F404" s="71">
        <f t="shared" ca="1" si="96"/>
        <v>0.98081979856482493</v>
      </c>
      <c r="G404" s="71"/>
      <c r="H404" s="71">
        <f t="shared" ca="1" si="93"/>
        <v>1.9180201435175154E-2</v>
      </c>
      <c r="I404" s="71">
        <f t="shared" ca="1" si="89"/>
        <v>0</v>
      </c>
      <c r="K404" s="71"/>
      <c r="L404" s="71">
        <f t="shared" ca="1" si="99"/>
        <v>0</v>
      </c>
      <c r="M404" s="71"/>
      <c r="N404" s="71">
        <f t="shared" ca="1" si="90"/>
        <v>0</v>
      </c>
      <c r="O404" s="71">
        <f t="shared" ca="1" si="100"/>
        <v>0</v>
      </c>
      <c r="P404" s="71">
        <f t="shared" ca="1" si="100"/>
        <v>0</v>
      </c>
      <c r="Q404" s="71">
        <f t="shared" ca="1" si="100"/>
        <v>0</v>
      </c>
    </row>
    <row r="405" spans="1:17" x14ac:dyDescent="0.2">
      <c r="A405" s="60">
        <v>38</v>
      </c>
      <c r="B405" s="48" t="s">
        <v>1090</v>
      </c>
      <c r="C405" s="56" t="s">
        <v>1324</v>
      </c>
      <c r="D405" s="71">
        <f t="shared" ca="1" si="88"/>
        <v>0.99999999999999989</v>
      </c>
      <c r="F405" s="71">
        <f t="shared" ca="1" si="96"/>
        <v>0.9754421211622113</v>
      </c>
      <c r="G405" s="71"/>
      <c r="H405" s="71">
        <f t="shared" ca="1" si="93"/>
        <v>2.4557878837788618E-2</v>
      </c>
      <c r="I405" s="71">
        <f t="shared" ca="1" si="89"/>
        <v>0</v>
      </c>
      <c r="K405" s="71"/>
      <c r="L405" s="71">
        <f t="shared" ca="1" si="99"/>
        <v>0</v>
      </c>
      <c r="M405" s="71"/>
      <c r="N405" s="71">
        <f t="shared" ca="1" si="90"/>
        <v>0</v>
      </c>
      <c r="O405" s="71">
        <f t="shared" ca="1" si="100"/>
        <v>0</v>
      </c>
      <c r="P405" s="71">
        <f t="shared" ca="1" si="100"/>
        <v>0</v>
      </c>
      <c r="Q405" s="71">
        <f t="shared" ca="1" si="100"/>
        <v>0</v>
      </c>
    </row>
    <row r="406" spans="1:17" x14ac:dyDescent="0.2">
      <c r="A406" s="60">
        <v>39</v>
      </c>
      <c r="B406" s="48" t="s">
        <v>1091</v>
      </c>
      <c r="C406" s="56" t="s">
        <v>1325</v>
      </c>
      <c r="D406" s="71">
        <f t="shared" ca="1" si="88"/>
        <v>0.99999999999999989</v>
      </c>
      <c r="F406" s="71">
        <f t="shared" ca="1" si="96"/>
        <v>0.94426776846942062</v>
      </c>
      <c r="G406" s="71"/>
      <c r="H406" s="71">
        <f t="shared" ca="1" si="93"/>
        <v>5.128860013544205E-2</v>
      </c>
      <c r="I406" s="71">
        <f t="shared" ca="1" si="89"/>
        <v>4.4436313951373013E-3</v>
      </c>
      <c r="K406" s="71"/>
      <c r="L406" s="71">
        <f t="shared" ca="1" si="99"/>
        <v>1.5662184718989615E-6</v>
      </c>
      <c r="M406" s="71"/>
      <c r="N406" s="71">
        <f t="shared" ca="1" si="90"/>
        <v>4.4420651766654022E-3</v>
      </c>
      <c r="O406" s="71">
        <f t="shared" ca="1" si="100"/>
        <v>9.4343936058004566E-4</v>
      </c>
      <c r="P406" s="71">
        <f t="shared" ca="1" si="100"/>
        <v>3.4986258160853568E-3</v>
      </c>
      <c r="Q406" s="71">
        <f t="shared" ca="1" si="100"/>
        <v>0</v>
      </c>
    </row>
    <row r="407" spans="1:17" x14ac:dyDescent="0.2">
      <c r="A407" s="60">
        <v>40</v>
      </c>
      <c r="B407" s="48" t="s">
        <v>1092</v>
      </c>
      <c r="C407" s="56" t="s">
        <v>1326</v>
      </c>
      <c r="D407" s="71">
        <f t="shared" ca="1" si="88"/>
        <v>1</v>
      </c>
      <c r="F407" s="71">
        <f t="shared" ca="1" si="96"/>
        <v>0.95305385619704963</v>
      </c>
      <c r="G407" s="71"/>
      <c r="H407" s="71">
        <f t="shared" ca="1" si="93"/>
        <v>4.694614380295032E-2</v>
      </c>
      <c r="I407" s="71">
        <f t="shared" ca="1" si="89"/>
        <v>0</v>
      </c>
      <c r="K407" s="71"/>
      <c r="L407" s="71">
        <f t="shared" ca="1" si="99"/>
        <v>0</v>
      </c>
      <c r="M407" s="71"/>
      <c r="N407" s="71">
        <f t="shared" ca="1" si="90"/>
        <v>0</v>
      </c>
      <c r="O407" s="71">
        <f t="shared" ca="1" si="100"/>
        <v>0</v>
      </c>
      <c r="P407" s="71">
        <f t="shared" ca="1" si="100"/>
        <v>0</v>
      </c>
      <c r="Q407" s="71">
        <f t="shared" ca="1" si="100"/>
        <v>0</v>
      </c>
    </row>
    <row r="408" spans="1:17" x14ac:dyDescent="0.2">
      <c r="A408" s="60">
        <v>41</v>
      </c>
      <c r="B408" s="48" t="s">
        <v>1093</v>
      </c>
      <c r="C408" s="56" t="s">
        <v>1327</v>
      </c>
      <c r="D408" s="71">
        <f t="shared" ca="1" si="88"/>
        <v>1</v>
      </c>
      <c r="F408" s="71">
        <f t="shared" ca="1" si="96"/>
        <v>0.94947088441247773</v>
      </c>
      <c r="G408" s="71"/>
      <c r="H408" s="71">
        <f t="shared" ca="1" si="93"/>
        <v>4.8702040580990445E-2</v>
      </c>
      <c r="I408" s="71">
        <f t="shared" ca="1" si="89"/>
        <v>1.8270750065318023E-3</v>
      </c>
      <c r="K408" s="71"/>
      <c r="L408" s="71">
        <f t="shared" ca="1" si="99"/>
        <v>1.0829470171484312E-5</v>
      </c>
      <c r="M408" s="71"/>
      <c r="N408" s="71">
        <f t="shared" ca="1" si="90"/>
        <v>1.8162455363603179E-3</v>
      </c>
      <c r="O408" s="71">
        <f t="shared" ca="1" si="100"/>
        <v>5.6671468961919113E-4</v>
      </c>
      <c r="P408" s="71">
        <f t="shared" ca="1" si="100"/>
        <v>1.2495308467411269E-3</v>
      </c>
      <c r="Q408" s="71">
        <f t="shared" ca="1" si="100"/>
        <v>0</v>
      </c>
    </row>
    <row r="409" spans="1:17" x14ac:dyDescent="0.2">
      <c r="A409" s="60">
        <v>42</v>
      </c>
      <c r="B409" s="48" t="s">
        <v>1094</v>
      </c>
      <c r="C409" s="56" t="s">
        <v>1341</v>
      </c>
      <c r="D409" s="71">
        <f t="shared" ca="1" si="88"/>
        <v>1</v>
      </c>
      <c r="F409" s="71">
        <f t="shared" ca="1" si="96"/>
        <v>0.94610805683145505</v>
      </c>
      <c r="G409" s="71"/>
      <c r="H409" s="71">
        <f t="shared" ca="1" si="93"/>
        <v>5.2647634542542641E-2</v>
      </c>
      <c r="I409" s="71">
        <f t="shared" ca="1" si="89"/>
        <v>1.2443086260023042E-3</v>
      </c>
      <c r="K409" s="71"/>
      <c r="L409" s="71">
        <f t="shared" ca="1" si="99"/>
        <v>9.3657638516302438E-6</v>
      </c>
      <c r="M409" s="71"/>
      <c r="N409" s="71">
        <f t="shared" ca="1" si="90"/>
        <v>1.2349428621506739E-3</v>
      </c>
      <c r="O409" s="71">
        <f t="shared" ca="1" si="100"/>
        <v>6.6095533467219162E-4</v>
      </c>
      <c r="P409" s="71">
        <f t="shared" ca="1" si="100"/>
        <v>5.739875274784822E-4</v>
      </c>
      <c r="Q409" s="71">
        <f t="shared" ca="1" si="100"/>
        <v>0</v>
      </c>
    </row>
    <row r="410" spans="1:17" x14ac:dyDescent="0.2">
      <c r="A410" s="60">
        <v>43</v>
      </c>
      <c r="B410" s="48" t="s">
        <v>1095</v>
      </c>
      <c r="C410" s="56" t="s">
        <v>1342</v>
      </c>
      <c r="D410" s="71">
        <f t="shared" ca="1" si="88"/>
        <v>1</v>
      </c>
      <c r="F410" s="71">
        <f t="shared" ca="1" si="96"/>
        <v>0.99938589165001168</v>
      </c>
      <c r="G410" s="71"/>
      <c r="H410" s="71">
        <f t="shared" ca="1" si="93"/>
        <v>6.1402411882548777E-4</v>
      </c>
      <c r="I410" s="71">
        <f t="shared" ca="1" si="89"/>
        <v>8.4231162773138706E-8</v>
      </c>
      <c r="K410" s="71"/>
      <c r="L410" s="71">
        <f ca="1">IF(L162&lt;&gt;0,IF($D162=0,1,+L162/$D162),0)</f>
        <v>8.4231162773138706E-8</v>
      </c>
      <c r="M410" s="71"/>
      <c r="N410" s="71">
        <f t="shared" ca="1" si="90"/>
        <v>0</v>
      </c>
      <c r="O410" s="71">
        <f t="shared" ref="O410:Q411" ca="1" si="101">IF(O162&lt;&gt;0,IF($D162=0,1,+O162/$D162),0)</f>
        <v>0</v>
      </c>
      <c r="P410" s="71">
        <f t="shared" ca="1" si="101"/>
        <v>0</v>
      </c>
      <c r="Q410" s="71">
        <f t="shared" ca="1" si="101"/>
        <v>0</v>
      </c>
    </row>
    <row r="411" spans="1:17" x14ac:dyDescent="0.2">
      <c r="A411" s="60">
        <v>44</v>
      </c>
      <c r="B411" s="48" t="s">
        <v>747</v>
      </c>
      <c r="C411" s="51" t="s">
        <v>748</v>
      </c>
      <c r="D411" s="71">
        <f t="shared" ca="1" si="88"/>
        <v>0.99999999999999989</v>
      </c>
      <c r="F411" s="71">
        <f t="shared" ca="1" si="96"/>
        <v>0.8968667127582669</v>
      </c>
      <c r="G411" s="71"/>
      <c r="H411" s="71">
        <f t="shared" ca="1" si="93"/>
        <v>7.4726873843453681E-2</v>
      </c>
      <c r="I411" s="71">
        <f ca="1">(L411+M411+N411)</f>
        <v>2.8406413398279325E-2</v>
      </c>
      <c r="K411" s="71"/>
      <c r="L411" s="71">
        <f ca="1">IF(L163&lt;&gt;0,IF($D163=0,1,+L163/$D163),0)</f>
        <v>7.9355491597343238E-5</v>
      </c>
      <c r="M411" s="71"/>
      <c r="N411" s="71">
        <f ca="1">SUM(O411:Q411)</f>
        <v>2.8327057906681982E-2</v>
      </c>
      <c r="O411" s="71">
        <f t="shared" ca="1" si="101"/>
        <v>9.9642718118727516E-3</v>
      </c>
      <c r="P411" s="71">
        <f t="shared" ca="1" si="101"/>
        <v>1.8362786094809232E-2</v>
      </c>
      <c r="Q411" s="71">
        <f t="shared" ca="1" si="101"/>
        <v>0</v>
      </c>
    </row>
    <row r="412" spans="1:17" x14ac:dyDescent="0.2">
      <c r="C412" s="58"/>
    </row>
    <row r="413" spans="1:17" x14ac:dyDescent="0.2">
      <c r="B413" s="69" t="s">
        <v>1096</v>
      </c>
      <c r="C413" s="58"/>
    </row>
    <row r="414" spans="1:17" x14ac:dyDescent="0.2">
      <c r="B414" s="67" t="s">
        <v>493</v>
      </c>
      <c r="C414" s="58"/>
    </row>
    <row r="415" spans="1:17" x14ac:dyDescent="0.2">
      <c r="A415" s="60">
        <v>1</v>
      </c>
      <c r="B415" s="48" t="s">
        <v>1097</v>
      </c>
      <c r="C415" s="56" t="s">
        <v>1343</v>
      </c>
      <c r="D415" s="71">
        <f t="shared" ref="D415:D454" ca="1" si="102">SUM(F415:I415)+K415</f>
        <v>0.99999999999999989</v>
      </c>
      <c r="F415" s="71">
        <f t="shared" ref="F415:F454" ca="1" si="103">IF(F167&lt;&gt;0,IF($D167=0,1,+F167/$D167),0)</f>
        <v>0.94596923008515077</v>
      </c>
      <c r="G415" s="71"/>
      <c r="H415" s="71">
        <f t="shared" ref="H415:H454" ca="1" si="104">IF(H167&lt;&gt;0,IF($D167=0,1,+H167/$D167),0)</f>
        <v>5.4023359049037684E-2</v>
      </c>
      <c r="I415" s="71">
        <f t="shared" ref="I415:I454" ca="1" si="105">(L415+M415+N415)</f>
        <v>7.4108658114527512E-6</v>
      </c>
      <c r="K415" s="71"/>
      <c r="L415" s="71">
        <f t="shared" ref="L415:L434" ca="1" si="106">IF(L167&lt;&gt;0,IF($D167=0,1,+L167/$D167),0)</f>
        <v>7.4108658114527512E-6</v>
      </c>
      <c r="M415" s="71"/>
      <c r="N415" s="71">
        <f t="shared" ref="N415:N454" ca="1" si="107">SUM(O415:Q415)</f>
        <v>0</v>
      </c>
      <c r="O415" s="71">
        <f t="shared" ref="O415:Q434" ca="1" si="108">IF(O167&lt;&gt;0,IF($D167=0,1,+O167/$D167),0)</f>
        <v>0</v>
      </c>
      <c r="P415" s="71">
        <f t="shared" ca="1" si="108"/>
        <v>0</v>
      </c>
      <c r="Q415" s="71">
        <f t="shared" ca="1" si="108"/>
        <v>0</v>
      </c>
    </row>
    <row r="416" spans="1:17" x14ac:dyDescent="0.2">
      <c r="A416" s="60">
        <v>2</v>
      </c>
      <c r="B416" s="48" t="s">
        <v>1098</v>
      </c>
      <c r="C416" s="51" t="s">
        <v>1099</v>
      </c>
      <c r="D416" s="71">
        <f t="shared" ca="1" si="102"/>
        <v>1</v>
      </c>
      <c r="F416" s="71">
        <f t="shared" si="103"/>
        <v>0</v>
      </c>
      <c r="G416" s="71"/>
      <c r="H416" s="71">
        <f t="shared" si="104"/>
        <v>0</v>
      </c>
      <c r="I416" s="71">
        <f t="shared" ca="1" si="105"/>
        <v>1</v>
      </c>
      <c r="K416" s="71"/>
      <c r="L416" s="71">
        <f t="shared" si="106"/>
        <v>0</v>
      </c>
      <c r="M416" s="71"/>
      <c r="N416" s="71">
        <f t="shared" ca="1" si="107"/>
        <v>1</v>
      </c>
      <c r="O416" s="71">
        <f t="shared" ca="1" si="108"/>
        <v>0.32396730421988212</v>
      </c>
      <c r="P416" s="71">
        <f t="shared" ca="1" si="108"/>
        <v>0.67603269578011782</v>
      </c>
      <c r="Q416" s="71">
        <f t="shared" ca="1" si="108"/>
        <v>0</v>
      </c>
    </row>
    <row r="417" spans="1:17" x14ac:dyDescent="0.2">
      <c r="A417" s="60">
        <v>3</v>
      </c>
      <c r="B417" s="48" t="s">
        <v>1100</v>
      </c>
      <c r="C417" s="51" t="s">
        <v>1101</v>
      </c>
      <c r="D417" s="71">
        <f t="shared" ca="1" si="102"/>
        <v>1</v>
      </c>
      <c r="F417" s="71">
        <f t="shared" si="103"/>
        <v>0</v>
      </c>
      <c r="G417" s="71"/>
      <c r="H417" s="71">
        <f t="shared" ca="1" si="104"/>
        <v>1</v>
      </c>
      <c r="I417" s="71">
        <f t="shared" si="105"/>
        <v>0</v>
      </c>
      <c r="K417" s="71"/>
      <c r="L417" s="71">
        <f t="shared" si="106"/>
        <v>0</v>
      </c>
      <c r="M417" s="71"/>
      <c r="N417" s="71">
        <f t="shared" si="107"/>
        <v>0</v>
      </c>
      <c r="O417" s="71">
        <f t="shared" si="108"/>
        <v>0</v>
      </c>
      <c r="P417" s="71">
        <f t="shared" si="108"/>
        <v>0</v>
      </c>
      <c r="Q417" s="71">
        <f t="shared" si="108"/>
        <v>0</v>
      </c>
    </row>
    <row r="418" spans="1:17" x14ac:dyDescent="0.2">
      <c r="A418" s="60">
        <v>4</v>
      </c>
      <c r="B418" s="48" t="s">
        <v>1102</v>
      </c>
      <c r="C418" s="51" t="s">
        <v>1103</v>
      </c>
      <c r="D418" s="71">
        <f t="shared" ca="1" si="102"/>
        <v>0.99999999999999978</v>
      </c>
      <c r="F418" s="71">
        <f t="shared" ca="1" si="103"/>
        <v>0.88248752085399407</v>
      </c>
      <c r="G418" s="71"/>
      <c r="H418" s="71">
        <f t="shared" ca="1" si="104"/>
        <v>4.9900835606383739E-2</v>
      </c>
      <c r="I418" s="71">
        <f t="shared" ca="1" si="105"/>
        <v>6.7611643539622027E-2</v>
      </c>
      <c r="K418" s="71"/>
      <c r="L418" s="71">
        <f t="shared" ca="1" si="106"/>
        <v>4.1521505971169084E-6</v>
      </c>
      <c r="M418" s="71"/>
      <c r="N418" s="71">
        <f t="shared" ca="1" si="107"/>
        <v>6.7607491389024915E-2</v>
      </c>
      <c r="O418" s="71">
        <f t="shared" ca="1" si="108"/>
        <v>2.1902616730371294E-2</v>
      </c>
      <c r="P418" s="71">
        <f t="shared" ca="1" si="108"/>
        <v>4.5704874658653617E-2</v>
      </c>
      <c r="Q418" s="71">
        <f t="shared" ca="1" si="108"/>
        <v>0</v>
      </c>
    </row>
    <row r="419" spans="1:17" x14ac:dyDescent="0.2">
      <c r="A419" s="60">
        <v>5</v>
      </c>
      <c r="B419" s="48" t="s">
        <v>1104</v>
      </c>
      <c r="C419" s="51" t="s">
        <v>1105</v>
      </c>
      <c r="D419" s="71">
        <f t="shared" si="102"/>
        <v>1</v>
      </c>
      <c r="F419" s="71">
        <f t="shared" si="103"/>
        <v>0</v>
      </c>
      <c r="G419" s="71"/>
      <c r="H419" s="71">
        <f t="shared" si="104"/>
        <v>1</v>
      </c>
      <c r="I419" s="71">
        <f t="shared" si="105"/>
        <v>0</v>
      </c>
      <c r="K419" s="71"/>
      <c r="L419" s="71">
        <f t="shared" si="106"/>
        <v>0</v>
      </c>
      <c r="M419" s="71"/>
      <c r="N419" s="71">
        <f t="shared" si="107"/>
        <v>0</v>
      </c>
      <c r="O419" s="71">
        <f t="shared" si="108"/>
        <v>0</v>
      </c>
      <c r="P419" s="71">
        <f t="shared" si="108"/>
        <v>0</v>
      </c>
      <c r="Q419" s="71">
        <f t="shared" si="108"/>
        <v>0</v>
      </c>
    </row>
    <row r="420" spans="1:17" x14ac:dyDescent="0.2">
      <c r="A420" s="60">
        <v>6</v>
      </c>
      <c r="B420" s="48" t="s">
        <v>1106</v>
      </c>
      <c r="C420" s="51" t="s">
        <v>1107</v>
      </c>
      <c r="D420" s="71">
        <f t="shared" ca="1" si="102"/>
        <v>1</v>
      </c>
      <c r="F420" s="71">
        <f t="shared" ca="1" si="103"/>
        <v>0.94647641707103969</v>
      </c>
      <c r="G420" s="71"/>
      <c r="H420" s="71">
        <f t="shared" ca="1" si="104"/>
        <v>5.3519129707212204E-2</v>
      </c>
      <c r="I420" s="71">
        <f t="shared" ca="1" si="105"/>
        <v>4.4532217481053604E-6</v>
      </c>
      <c r="K420" s="71"/>
      <c r="L420" s="71">
        <f t="shared" ca="1" si="106"/>
        <v>4.4532217481053604E-6</v>
      </c>
      <c r="M420" s="71"/>
      <c r="N420" s="71">
        <f t="shared" si="107"/>
        <v>0</v>
      </c>
      <c r="O420" s="71">
        <f t="shared" si="108"/>
        <v>0</v>
      </c>
      <c r="P420" s="71">
        <f t="shared" si="108"/>
        <v>0</v>
      </c>
      <c r="Q420" s="71">
        <f t="shared" si="108"/>
        <v>0</v>
      </c>
    </row>
    <row r="421" spans="1:17" x14ac:dyDescent="0.2">
      <c r="A421" s="60">
        <v>7</v>
      </c>
      <c r="B421" s="48" t="s">
        <v>1108</v>
      </c>
      <c r="C421" s="51" t="s">
        <v>1109</v>
      </c>
      <c r="D421" s="71">
        <f t="shared" ca="1" si="102"/>
        <v>1</v>
      </c>
      <c r="F421" s="71">
        <f t="shared" ca="1" si="103"/>
        <v>0.99680626274351791</v>
      </c>
      <c r="G421" s="71"/>
      <c r="H421" s="71">
        <f t="shared" ca="1" si="104"/>
        <v>0</v>
      </c>
      <c r="I421" s="71">
        <f t="shared" ca="1" si="105"/>
        <v>3.1937372564821327E-3</v>
      </c>
      <c r="K421" s="71"/>
      <c r="L421" s="71">
        <f t="shared" ca="1" si="106"/>
        <v>0</v>
      </c>
      <c r="M421" s="71"/>
      <c r="N421" s="71">
        <f t="shared" ca="1" si="107"/>
        <v>3.1937372564821327E-3</v>
      </c>
      <c r="O421" s="71">
        <f t="shared" ca="1" si="108"/>
        <v>2.7445099805456542E-3</v>
      </c>
      <c r="P421" s="71">
        <f t="shared" ca="1" si="108"/>
        <v>4.492272759364787E-4</v>
      </c>
      <c r="Q421" s="71">
        <f t="shared" ca="1" si="108"/>
        <v>0</v>
      </c>
    </row>
    <row r="422" spans="1:17" x14ac:dyDescent="0.2">
      <c r="A422" s="60">
        <v>8</v>
      </c>
      <c r="B422" s="48" t="s">
        <v>1110</v>
      </c>
      <c r="C422" s="51" t="s">
        <v>1111</v>
      </c>
      <c r="D422" s="71">
        <f t="shared" ca="1" si="102"/>
        <v>1</v>
      </c>
      <c r="F422" s="71">
        <f t="shared" ca="1" si="103"/>
        <v>0</v>
      </c>
      <c r="G422" s="71"/>
      <c r="H422" s="71">
        <f t="shared" ca="1" si="104"/>
        <v>1</v>
      </c>
      <c r="I422" s="71">
        <f t="shared" ca="1" si="105"/>
        <v>0</v>
      </c>
      <c r="K422" s="71"/>
      <c r="L422" s="71">
        <f t="shared" ca="1" si="106"/>
        <v>0</v>
      </c>
      <c r="M422" s="71"/>
      <c r="N422" s="71">
        <f t="shared" ca="1" si="107"/>
        <v>0</v>
      </c>
      <c r="O422" s="71">
        <f t="shared" ca="1" si="108"/>
        <v>0</v>
      </c>
      <c r="P422" s="71">
        <f t="shared" ca="1" si="108"/>
        <v>0</v>
      </c>
      <c r="Q422" s="71">
        <f t="shared" ca="1" si="108"/>
        <v>0</v>
      </c>
    </row>
    <row r="423" spans="1:17" x14ac:dyDescent="0.2">
      <c r="A423" s="60">
        <v>9</v>
      </c>
      <c r="B423" s="48" t="s">
        <v>1112</v>
      </c>
      <c r="C423" s="51" t="s">
        <v>1113</v>
      </c>
      <c r="D423" s="71">
        <f t="shared" ca="1" si="102"/>
        <v>1</v>
      </c>
      <c r="F423" s="71">
        <f t="shared" ca="1" si="103"/>
        <v>0</v>
      </c>
      <c r="G423" s="71"/>
      <c r="H423" s="71">
        <f t="shared" ca="1" si="104"/>
        <v>0</v>
      </c>
      <c r="I423" s="71">
        <f t="shared" ca="1" si="105"/>
        <v>1</v>
      </c>
      <c r="K423" s="71"/>
      <c r="L423" s="71">
        <f t="shared" ca="1" si="106"/>
        <v>1</v>
      </c>
      <c r="M423" s="71"/>
      <c r="N423" s="71">
        <f t="shared" ca="1" si="107"/>
        <v>0</v>
      </c>
      <c r="O423" s="71">
        <f t="shared" ca="1" si="108"/>
        <v>0</v>
      </c>
      <c r="P423" s="71">
        <f t="shared" ca="1" si="108"/>
        <v>0</v>
      </c>
      <c r="Q423" s="71">
        <f t="shared" ca="1" si="108"/>
        <v>0</v>
      </c>
    </row>
    <row r="424" spans="1:17" x14ac:dyDescent="0.2">
      <c r="A424" s="60">
        <v>10</v>
      </c>
      <c r="B424" s="48" t="s">
        <v>1114</v>
      </c>
      <c r="C424" s="51" t="s">
        <v>1115</v>
      </c>
      <c r="D424" s="71">
        <f t="shared" ca="1" si="102"/>
        <v>1.0000000000000002</v>
      </c>
      <c r="F424" s="71">
        <f t="shared" ca="1" si="103"/>
        <v>0.87436089994515798</v>
      </c>
      <c r="G424" s="71"/>
      <c r="H424" s="71">
        <f t="shared" ca="1" si="104"/>
        <v>5.5472508296751287E-2</v>
      </c>
      <c r="I424" s="71">
        <f t="shared" ca="1" si="105"/>
        <v>7.0166591758090868E-2</v>
      </c>
      <c r="K424" s="71"/>
      <c r="L424" s="71">
        <f t="shared" ca="1" si="106"/>
        <v>1.1756165794183441E-5</v>
      </c>
      <c r="M424" s="71"/>
      <c r="N424" s="71">
        <f t="shared" ca="1" si="107"/>
        <v>7.0154835592296683E-2</v>
      </c>
      <c r="O424" s="71">
        <f t="shared" ca="1" si="108"/>
        <v>2.2263298173175169E-2</v>
      </c>
      <c r="P424" s="71">
        <f t="shared" ca="1" si="108"/>
        <v>4.7891537419121506E-2</v>
      </c>
      <c r="Q424" s="71">
        <f t="shared" ca="1" si="108"/>
        <v>1.3117690609033841E-21</v>
      </c>
    </row>
    <row r="425" spans="1:17" x14ac:dyDescent="0.2">
      <c r="A425" s="60">
        <v>11</v>
      </c>
      <c r="B425" s="48" t="s">
        <v>1116</v>
      </c>
      <c r="C425" s="51" t="s">
        <v>1117</v>
      </c>
      <c r="D425" s="71">
        <f t="shared" ca="1" si="102"/>
        <v>1.0000000000000002</v>
      </c>
      <c r="F425" s="71">
        <f t="shared" ca="1" si="103"/>
        <v>0.87531930318181805</v>
      </c>
      <c r="G425" s="71"/>
      <c r="H425" s="71">
        <f t="shared" ca="1" si="104"/>
        <v>5.3386422444324996E-2</v>
      </c>
      <c r="I425" s="71">
        <f t="shared" ca="1" si="105"/>
        <v>7.1294274373857075E-2</v>
      </c>
      <c r="K425" s="71"/>
      <c r="L425" s="71">
        <f t="shared" ca="1" si="106"/>
        <v>9.3304560818509226E-6</v>
      </c>
      <c r="M425" s="71"/>
      <c r="N425" s="71">
        <f t="shared" ca="1" si="107"/>
        <v>7.128494391777522E-2</v>
      </c>
      <c r="O425" s="71">
        <f t="shared" ca="1" si="108"/>
        <v>2.2640132954091462E-2</v>
      </c>
      <c r="P425" s="71">
        <f t="shared" ca="1" si="108"/>
        <v>4.8644810963683754E-2</v>
      </c>
      <c r="Q425" s="71">
        <f t="shared" ca="1" si="108"/>
        <v>1.5654888945185524E-21</v>
      </c>
    </row>
    <row r="426" spans="1:17" x14ac:dyDescent="0.2">
      <c r="A426" s="60">
        <v>12</v>
      </c>
      <c r="B426" s="48" t="s">
        <v>1118</v>
      </c>
      <c r="C426" s="51" t="s">
        <v>1119</v>
      </c>
      <c r="D426" s="71">
        <f t="shared" ca="1" si="102"/>
        <v>1</v>
      </c>
      <c r="F426" s="71">
        <f t="shared" ca="1" si="103"/>
        <v>0</v>
      </c>
      <c r="G426" s="71"/>
      <c r="H426" s="71">
        <f t="shared" ca="1" si="104"/>
        <v>0</v>
      </c>
      <c r="I426" s="71">
        <f t="shared" ca="1" si="105"/>
        <v>1</v>
      </c>
      <c r="K426" s="71"/>
      <c r="L426" s="71">
        <f t="shared" ca="1" si="106"/>
        <v>0</v>
      </c>
      <c r="M426" s="71"/>
      <c r="N426" s="71">
        <f t="shared" ca="1" si="107"/>
        <v>1</v>
      </c>
      <c r="O426" s="71">
        <f t="shared" ca="1" si="108"/>
        <v>0.312025372271452</v>
      </c>
      <c r="P426" s="71">
        <f t="shared" ca="1" si="108"/>
        <v>0.68797462772854812</v>
      </c>
      <c r="Q426" s="71">
        <f t="shared" ca="1" si="108"/>
        <v>0</v>
      </c>
    </row>
    <row r="427" spans="1:17" x14ac:dyDescent="0.2">
      <c r="A427" s="60">
        <v>13</v>
      </c>
      <c r="B427" s="48" t="s">
        <v>1196</v>
      </c>
      <c r="C427" s="51" t="s">
        <v>1121</v>
      </c>
      <c r="D427" s="71">
        <f t="shared" ca="1" si="102"/>
        <v>1</v>
      </c>
      <c r="F427" s="71">
        <f t="shared" ca="1" si="103"/>
        <v>0.8786138824468086</v>
      </c>
      <c r="G427" s="71"/>
      <c r="H427" s="71">
        <f t="shared" ca="1" si="104"/>
        <v>5.5732172393129359E-2</v>
      </c>
      <c r="I427" s="71">
        <f t="shared" ca="1" si="105"/>
        <v>6.5653945160062135E-2</v>
      </c>
      <c r="K427" s="71"/>
      <c r="L427" s="71">
        <f t="shared" ca="1" si="106"/>
        <v>3.1002407141825237E-5</v>
      </c>
      <c r="M427" s="71"/>
      <c r="N427" s="71">
        <f t="shared" ca="1" si="107"/>
        <v>6.5622942752920313E-2</v>
      </c>
      <c r="O427" s="71">
        <f t="shared" ca="1" si="108"/>
        <v>2.0849613160379313E-2</v>
      </c>
      <c r="P427" s="71">
        <f t="shared" ca="1" si="108"/>
        <v>4.4773329592540996E-2</v>
      </c>
      <c r="Q427" s="71">
        <f t="shared" ca="1" si="108"/>
        <v>1.3122128788664074E-21</v>
      </c>
    </row>
    <row r="428" spans="1:17" x14ac:dyDescent="0.2">
      <c r="A428" s="60">
        <v>14</v>
      </c>
      <c r="B428" s="48" t="s">
        <v>1122</v>
      </c>
      <c r="C428" s="56" t="s">
        <v>1328</v>
      </c>
      <c r="D428" s="71">
        <f t="shared" ca="1" si="102"/>
        <v>1</v>
      </c>
      <c r="F428" s="71">
        <f t="shared" ca="1" si="103"/>
        <v>0.86650091469570611</v>
      </c>
      <c r="G428" s="71"/>
      <c r="H428" s="71">
        <f t="shared" ca="1" si="104"/>
        <v>4.6446628333381326E-2</v>
      </c>
      <c r="I428" s="71">
        <f t="shared" ca="1" si="105"/>
        <v>8.7052456970912601E-2</v>
      </c>
      <c r="K428" s="71"/>
      <c r="L428" s="71">
        <f t="shared" ca="1" si="106"/>
        <v>5.029216760231566E-6</v>
      </c>
      <c r="M428" s="71"/>
      <c r="N428" s="71">
        <f t="shared" ca="1" si="107"/>
        <v>8.7047427754152362E-2</v>
      </c>
      <c r="O428" s="71">
        <f t="shared" ca="1" si="108"/>
        <v>2.8293308034901252E-2</v>
      </c>
      <c r="P428" s="71">
        <f t="shared" ca="1" si="108"/>
        <v>5.8754119719251104E-2</v>
      </c>
      <c r="Q428" s="71">
        <f t="shared" ca="1" si="108"/>
        <v>0</v>
      </c>
    </row>
    <row r="429" spans="1:17" x14ac:dyDescent="0.2">
      <c r="A429" s="60">
        <v>15</v>
      </c>
      <c r="B429" s="48" t="s">
        <v>1123</v>
      </c>
      <c r="C429" s="56" t="s">
        <v>1329</v>
      </c>
      <c r="D429" s="71">
        <f t="shared" ca="1" si="102"/>
        <v>1</v>
      </c>
      <c r="F429" s="71">
        <f t="shared" ca="1" si="103"/>
        <v>0.86137423025733473</v>
      </c>
      <c r="G429" s="71"/>
      <c r="H429" s="71">
        <f t="shared" ca="1" si="104"/>
        <v>4.6447034184633341E-2</v>
      </c>
      <c r="I429" s="71">
        <f t="shared" ca="1" si="105"/>
        <v>9.2178735558031979E-2</v>
      </c>
      <c r="K429" s="71"/>
      <c r="L429" s="71">
        <f t="shared" ca="1" si="106"/>
        <v>5.1154712194332441E-6</v>
      </c>
      <c r="M429" s="71"/>
      <c r="N429" s="71">
        <f t="shared" ca="1" si="107"/>
        <v>9.2173620086812541E-2</v>
      </c>
      <c r="O429" s="71">
        <f t="shared" ca="1" si="108"/>
        <v>2.991170415136964E-2</v>
      </c>
      <c r="P429" s="71">
        <f t="shared" ca="1" si="108"/>
        <v>6.2261915935442905E-2</v>
      </c>
      <c r="Q429" s="71">
        <f t="shared" ca="1" si="108"/>
        <v>0</v>
      </c>
    </row>
    <row r="430" spans="1:17" x14ac:dyDescent="0.2">
      <c r="A430" s="60">
        <v>16</v>
      </c>
      <c r="B430" s="48" t="s">
        <v>1124</v>
      </c>
      <c r="C430" s="56" t="s">
        <v>1330</v>
      </c>
      <c r="D430" s="71">
        <f t="shared" ca="1" si="102"/>
        <v>1</v>
      </c>
      <c r="F430" s="71">
        <f t="shared" ca="1" si="103"/>
        <v>0.86368474428104458</v>
      </c>
      <c r="G430" s="71"/>
      <c r="H430" s="71">
        <f t="shared" ca="1" si="104"/>
        <v>5.0732417001093058E-2</v>
      </c>
      <c r="I430" s="71">
        <f t="shared" ca="1" si="105"/>
        <v>8.5582838717862389E-2</v>
      </c>
      <c r="K430" s="71"/>
      <c r="L430" s="71">
        <f t="shared" ca="1" si="106"/>
        <v>7.6365012360696357E-6</v>
      </c>
      <c r="M430" s="71"/>
      <c r="N430" s="71">
        <f t="shared" ca="1" si="107"/>
        <v>8.5575202216626317E-2</v>
      </c>
      <c r="O430" s="71">
        <f t="shared" ca="1" si="108"/>
        <v>2.6701634328847604E-2</v>
      </c>
      <c r="P430" s="71">
        <f t="shared" ca="1" si="108"/>
        <v>5.8873567887778706E-2</v>
      </c>
      <c r="Q430" s="71">
        <f t="shared" ca="1" si="108"/>
        <v>0</v>
      </c>
    </row>
    <row r="431" spans="1:17" x14ac:dyDescent="0.2">
      <c r="A431" s="60">
        <v>17</v>
      </c>
      <c r="B431" s="48" t="s">
        <v>1125</v>
      </c>
      <c r="C431" s="56" t="s">
        <v>1331</v>
      </c>
      <c r="D431" s="71">
        <f t="shared" ca="1" si="102"/>
        <v>1</v>
      </c>
      <c r="F431" s="71">
        <f t="shared" ca="1" si="103"/>
        <v>0.86483310808290059</v>
      </c>
      <c r="G431" s="71"/>
      <c r="H431" s="71">
        <f t="shared" ca="1" si="104"/>
        <v>4.9294687744991753E-2</v>
      </c>
      <c r="I431" s="71">
        <f t="shared" ca="1" si="105"/>
        <v>8.5872204172107572E-2</v>
      </c>
      <c r="K431" s="71"/>
      <c r="L431" s="71">
        <f t="shared" ca="1" si="106"/>
        <v>6.7883081595753356E-6</v>
      </c>
      <c r="M431" s="71"/>
      <c r="N431" s="71">
        <f t="shared" ca="1" si="107"/>
        <v>8.5865415863947997E-2</v>
      </c>
      <c r="O431" s="71">
        <f t="shared" ca="1" si="108"/>
        <v>2.7161428289086749E-2</v>
      </c>
      <c r="P431" s="71">
        <f t="shared" ca="1" si="108"/>
        <v>5.8703987574861255E-2</v>
      </c>
      <c r="Q431" s="71">
        <f t="shared" ca="1" si="108"/>
        <v>0</v>
      </c>
    </row>
    <row r="432" spans="1:17" x14ac:dyDescent="0.2">
      <c r="A432" s="60">
        <v>18</v>
      </c>
      <c r="B432" s="48" t="s">
        <v>1126</v>
      </c>
      <c r="C432" s="56" t="s">
        <v>1332</v>
      </c>
      <c r="D432" s="71">
        <f t="shared" ca="1" si="102"/>
        <v>1</v>
      </c>
      <c r="F432" s="71">
        <f t="shared" ca="1" si="103"/>
        <v>0.86751393086941209</v>
      </c>
      <c r="G432" s="71"/>
      <c r="H432" s="71">
        <f t="shared" ca="1" si="104"/>
        <v>4.5918106094815017E-2</v>
      </c>
      <c r="I432" s="71">
        <f t="shared" ca="1" si="105"/>
        <v>8.6567963035772827E-2</v>
      </c>
      <c r="K432" s="71"/>
      <c r="L432" s="71">
        <f t="shared" ca="1" si="106"/>
        <v>4.7967329463820627E-6</v>
      </c>
      <c r="M432" s="71"/>
      <c r="N432" s="71">
        <f t="shared" ca="1" si="107"/>
        <v>8.6563166302826441E-2</v>
      </c>
      <c r="O432" s="71">
        <f t="shared" ca="1" si="108"/>
        <v>2.8246068103915035E-2</v>
      </c>
      <c r="P432" s="71">
        <f t="shared" ca="1" si="108"/>
        <v>5.8317098198911406E-2</v>
      </c>
      <c r="Q432" s="71">
        <f t="shared" ca="1" si="108"/>
        <v>0</v>
      </c>
    </row>
    <row r="433" spans="1:17" x14ac:dyDescent="0.2">
      <c r="A433" s="60">
        <v>19</v>
      </c>
      <c r="B433" s="48" t="s">
        <v>1127</v>
      </c>
      <c r="C433" s="56" t="s">
        <v>1333</v>
      </c>
      <c r="D433" s="71">
        <f t="shared" ca="1" si="102"/>
        <v>1.0000000000000002</v>
      </c>
      <c r="F433" s="71">
        <f t="shared" ca="1" si="103"/>
        <v>0.86209606691412732</v>
      </c>
      <c r="G433" s="71"/>
      <c r="H433" s="71">
        <f t="shared" ca="1" si="104"/>
        <v>5.0629763313373821E-2</v>
      </c>
      <c r="I433" s="71">
        <f t="shared" ca="1" si="105"/>
        <v>8.7274169772498925E-2</v>
      </c>
      <c r="K433" s="71"/>
      <c r="L433" s="71">
        <f t="shared" ca="1" si="106"/>
        <v>7.6224545173374676E-6</v>
      </c>
      <c r="M433" s="71"/>
      <c r="N433" s="71">
        <f t="shared" ca="1" si="107"/>
        <v>8.7266547317981585E-2</v>
      </c>
      <c r="O433" s="71">
        <f t="shared" ca="1" si="108"/>
        <v>2.7229376913737481E-2</v>
      </c>
      <c r="P433" s="71">
        <f t="shared" ca="1" si="108"/>
        <v>6.0037170404244097E-2</v>
      </c>
      <c r="Q433" s="71">
        <f t="shared" ca="1" si="108"/>
        <v>0</v>
      </c>
    </row>
    <row r="434" spans="1:17" x14ac:dyDescent="0.2">
      <c r="A434" s="60">
        <v>20</v>
      </c>
      <c r="B434" s="48" t="s">
        <v>1197</v>
      </c>
      <c r="C434" s="51" t="s">
        <v>1129</v>
      </c>
      <c r="D434" s="71">
        <f t="shared" ca="1" si="102"/>
        <v>0</v>
      </c>
      <c r="F434" s="71">
        <f t="shared" ca="1" si="103"/>
        <v>0</v>
      </c>
      <c r="G434" s="71"/>
      <c r="H434" s="71">
        <f t="shared" ca="1" si="104"/>
        <v>0</v>
      </c>
      <c r="I434" s="71">
        <f t="shared" ca="1" si="105"/>
        <v>0</v>
      </c>
      <c r="K434" s="71"/>
      <c r="L434" s="71">
        <f t="shared" ca="1" si="106"/>
        <v>0</v>
      </c>
      <c r="M434" s="71"/>
      <c r="N434" s="71">
        <f t="shared" ca="1" si="107"/>
        <v>0</v>
      </c>
      <c r="O434" s="71">
        <f t="shared" ca="1" si="108"/>
        <v>0</v>
      </c>
      <c r="P434" s="71">
        <f t="shared" ca="1" si="108"/>
        <v>0</v>
      </c>
      <c r="Q434" s="71">
        <f t="shared" ca="1" si="108"/>
        <v>0</v>
      </c>
    </row>
    <row r="435" spans="1:17" x14ac:dyDescent="0.2">
      <c r="A435" s="60">
        <v>21</v>
      </c>
      <c r="B435" s="48" t="s">
        <v>1198</v>
      </c>
      <c r="C435" s="51" t="s">
        <v>1131</v>
      </c>
      <c r="D435" s="71">
        <f t="shared" ca="1" si="102"/>
        <v>0</v>
      </c>
      <c r="F435" s="71">
        <f t="shared" ca="1" si="103"/>
        <v>0</v>
      </c>
      <c r="G435" s="71"/>
      <c r="H435" s="71">
        <f t="shared" ca="1" si="104"/>
        <v>0</v>
      </c>
      <c r="I435" s="71">
        <f t="shared" ca="1" si="105"/>
        <v>0</v>
      </c>
      <c r="K435" s="71"/>
      <c r="L435" s="71">
        <f t="shared" ref="L435:L454" ca="1" si="109">IF(L187&lt;&gt;0,IF($D187=0,1,+L187/$D187),0)</f>
        <v>0</v>
      </c>
      <c r="M435" s="71"/>
      <c r="N435" s="71">
        <f t="shared" ca="1" si="107"/>
        <v>0</v>
      </c>
      <c r="O435" s="71">
        <f t="shared" ref="O435:Q454" ca="1" si="110">IF(O187&lt;&gt;0,IF($D187=0,1,+O187/$D187),0)</f>
        <v>0</v>
      </c>
      <c r="P435" s="71">
        <f t="shared" ca="1" si="110"/>
        <v>0</v>
      </c>
      <c r="Q435" s="71">
        <f t="shared" ca="1" si="110"/>
        <v>0</v>
      </c>
    </row>
    <row r="436" spans="1:17" x14ac:dyDescent="0.2">
      <c r="A436" s="60">
        <v>22</v>
      </c>
      <c r="B436" s="48" t="s">
        <v>1199</v>
      </c>
      <c r="C436" s="51" t="s">
        <v>1133</v>
      </c>
      <c r="D436" s="71">
        <f t="shared" ca="1" si="102"/>
        <v>0</v>
      </c>
      <c r="F436" s="71">
        <f t="shared" ca="1" si="103"/>
        <v>0</v>
      </c>
      <c r="G436" s="71"/>
      <c r="H436" s="71">
        <f t="shared" ca="1" si="104"/>
        <v>0</v>
      </c>
      <c r="I436" s="71">
        <f t="shared" ca="1" si="105"/>
        <v>0</v>
      </c>
      <c r="K436" s="71"/>
      <c r="L436" s="71">
        <f t="shared" ca="1" si="109"/>
        <v>0</v>
      </c>
      <c r="M436" s="71"/>
      <c r="N436" s="71">
        <f t="shared" ca="1" si="107"/>
        <v>0</v>
      </c>
      <c r="O436" s="71">
        <f t="shared" ca="1" si="110"/>
        <v>0</v>
      </c>
      <c r="P436" s="71">
        <f t="shared" ca="1" si="110"/>
        <v>0</v>
      </c>
      <c r="Q436" s="71">
        <f t="shared" ca="1" si="110"/>
        <v>0</v>
      </c>
    </row>
    <row r="437" spans="1:17" x14ac:dyDescent="0.2">
      <c r="A437" s="60">
        <v>23</v>
      </c>
      <c r="B437" s="48" t="s">
        <v>1200</v>
      </c>
      <c r="C437" s="51" t="s">
        <v>1135</v>
      </c>
      <c r="D437" s="71">
        <f t="shared" ca="1" si="102"/>
        <v>0</v>
      </c>
      <c r="F437" s="71">
        <f t="shared" ca="1" si="103"/>
        <v>0</v>
      </c>
      <c r="G437" s="71"/>
      <c r="H437" s="71">
        <f t="shared" ca="1" si="104"/>
        <v>0</v>
      </c>
      <c r="I437" s="71">
        <f t="shared" ca="1" si="105"/>
        <v>0</v>
      </c>
      <c r="K437" s="71"/>
      <c r="L437" s="71">
        <f t="shared" ca="1" si="109"/>
        <v>0</v>
      </c>
      <c r="M437" s="71"/>
      <c r="N437" s="71">
        <f t="shared" ca="1" si="107"/>
        <v>0</v>
      </c>
      <c r="O437" s="71">
        <f t="shared" ca="1" si="110"/>
        <v>0</v>
      </c>
      <c r="P437" s="71">
        <f t="shared" ca="1" si="110"/>
        <v>0</v>
      </c>
      <c r="Q437" s="71">
        <f t="shared" ca="1" si="110"/>
        <v>0</v>
      </c>
    </row>
    <row r="438" spans="1:17" x14ac:dyDescent="0.2">
      <c r="A438" s="60">
        <v>24</v>
      </c>
      <c r="B438" s="48" t="s">
        <v>1201</v>
      </c>
      <c r="C438" s="51" t="s">
        <v>1137</v>
      </c>
      <c r="D438" s="71">
        <f t="shared" ca="1" si="102"/>
        <v>0</v>
      </c>
      <c r="F438" s="71">
        <f t="shared" ca="1" si="103"/>
        <v>0</v>
      </c>
      <c r="G438" s="71"/>
      <c r="H438" s="71">
        <f t="shared" ca="1" si="104"/>
        <v>0</v>
      </c>
      <c r="I438" s="71">
        <f t="shared" ca="1" si="105"/>
        <v>0</v>
      </c>
      <c r="K438" s="71"/>
      <c r="L438" s="71">
        <f t="shared" ca="1" si="109"/>
        <v>0</v>
      </c>
      <c r="M438" s="71"/>
      <c r="N438" s="71">
        <f t="shared" ca="1" si="107"/>
        <v>0</v>
      </c>
      <c r="O438" s="71">
        <f t="shared" ca="1" si="110"/>
        <v>0</v>
      </c>
      <c r="P438" s="71">
        <f t="shared" ca="1" si="110"/>
        <v>0</v>
      </c>
      <c r="Q438" s="71">
        <f t="shared" ca="1" si="110"/>
        <v>0</v>
      </c>
    </row>
    <row r="439" spans="1:17" x14ac:dyDescent="0.2">
      <c r="A439" s="60">
        <v>25</v>
      </c>
      <c r="B439" s="48" t="s">
        <v>1202</v>
      </c>
      <c r="C439" s="51" t="s">
        <v>1139</v>
      </c>
      <c r="D439" s="71">
        <f t="shared" ca="1" si="102"/>
        <v>0</v>
      </c>
      <c r="F439" s="71">
        <f t="shared" ca="1" si="103"/>
        <v>0</v>
      </c>
      <c r="G439" s="71"/>
      <c r="H439" s="71">
        <f t="shared" ca="1" si="104"/>
        <v>0</v>
      </c>
      <c r="I439" s="71">
        <f t="shared" ca="1" si="105"/>
        <v>0</v>
      </c>
      <c r="K439" s="71"/>
      <c r="L439" s="71">
        <f t="shared" ca="1" si="109"/>
        <v>0</v>
      </c>
      <c r="M439" s="71"/>
      <c r="N439" s="71">
        <f t="shared" ca="1" si="107"/>
        <v>0</v>
      </c>
      <c r="O439" s="71">
        <f t="shared" ca="1" si="110"/>
        <v>0</v>
      </c>
      <c r="P439" s="71">
        <f t="shared" ca="1" si="110"/>
        <v>0</v>
      </c>
      <c r="Q439" s="71">
        <f t="shared" ca="1" si="110"/>
        <v>0</v>
      </c>
    </row>
    <row r="440" spans="1:17" x14ac:dyDescent="0.2">
      <c r="A440" s="60">
        <v>26</v>
      </c>
      <c r="B440" s="48" t="s">
        <v>1140</v>
      </c>
      <c r="C440" s="56" t="s">
        <v>1334</v>
      </c>
      <c r="D440" s="71">
        <f t="shared" ca="1" si="102"/>
        <v>1</v>
      </c>
      <c r="F440" s="71">
        <f t="shared" ca="1" si="103"/>
        <v>0.8065742256281383</v>
      </c>
      <c r="G440" s="71"/>
      <c r="H440" s="71">
        <f t="shared" ca="1" si="104"/>
        <v>0.11247818618537095</v>
      </c>
      <c r="I440" s="71">
        <f t="shared" ca="1" si="105"/>
        <v>8.0947588186490754E-2</v>
      </c>
      <c r="K440" s="71"/>
      <c r="L440" s="71">
        <f t="shared" ca="1" si="109"/>
        <v>6.9475160385340169E-6</v>
      </c>
      <c r="M440" s="71"/>
      <c r="N440" s="71">
        <f t="shared" ca="1" si="107"/>
        <v>8.0940640670452216E-2</v>
      </c>
      <c r="O440" s="71">
        <f t="shared" ca="1" si="110"/>
        <v>2.5255533537087677E-2</v>
      </c>
      <c r="P440" s="71">
        <f t="shared" ca="1" si="110"/>
        <v>5.5685107133364539E-2</v>
      </c>
      <c r="Q440" s="71">
        <f t="shared" ca="1" si="110"/>
        <v>0</v>
      </c>
    </row>
    <row r="441" spans="1:17" x14ac:dyDescent="0.2">
      <c r="A441" s="60">
        <v>27</v>
      </c>
      <c r="B441" s="48" t="s">
        <v>1141</v>
      </c>
      <c r="C441" s="56" t="s">
        <v>1335</v>
      </c>
      <c r="D441" s="71">
        <f t="shared" ca="1" si="102"/>
        <v>1</v>
      </c>
      <c r="F441" s="71">
        <f t="shared" ca="1" si="103"/>
        <v>0.80453094923015556</v>
      </c>
      <c r="G441" s="71"/>
      <c r="H441" s="71">
        <f t="shared" ca="1" si="104"/>
        <v>0.11366636301375287</v>
      </c>
      <c r="I441" s="71">
        <f t="shared" ca="1" si="105"/>
        <v>8.1802687756091549E-2</v>
      </c>
      <c r="K441" s="71"/>
      <c r="L441" s="71">
        <f t="shared" ca="1" si="109"/>
        <v>7.0209069586026716E-6</v>
      </c>
      <c r="M441" s="71"/>
      <c r="N441" s="71">
        <f t="shared" ca="1" si="107"/>
        <v>8.1795666849132947E-2</v>
      </c>
      <c r="O441" s="71">
        <f t="shared" ca="1" si="110"/>
        <v>2.5522323398792374E-2</v>
      </c>
      <c r="P441" s="71">
        <f t="shared" ca="1" si="110"/>
        <v>5.6273343450340581E-2</v>
      </c>
      <c r="Q441" s="71">
        <f t="shared" ca="1" si="110"/>
        <v>0</v>
      </c>
    </row>
    <row r="442" spans="1:17" x14ac:dyDescent="0.2">
      <c r="A442" s="60">
        <v>28</v>
      </c>
      <c r="B442" s="48" t="s">
        <v>1142</v>
      </c>
      <c r="C442" s="51" t="s">
        <v>1143</v>
      </c>
      <c r="D442" s="71">
        <f t="shared" ca="1" si="102"/>
        <v>1</v>
      </c>
      <c r="F442" s="71">
        <f t="shared" ca="1" si="103"/>
        <v>0.80246280753473243</v>
      </c>
      <c r="G442" s="71"/>
      <c r="H442" s="71">
        <f t="shared" ca="1" si="104"/>
        <v>0.11486899915379656</v>
      </c>
      <c r="I442" s="71">
        <f t="shared" ca="1" si="105"/>
        <v>8.266819331147103E-2</v>
      </c>
      <c r="K442" s="71"/>
      <c r="L442" s="71">
        <f t="shared" ca="1" si="109"/>
        <v>7.0951909967334427E-6</v>
      </c>
      <c r="M442" s="71"/>
      <c r="N442" s="71">
        <f t="shared" ca="1" si="107"/>
        <v>8.2661098120474299E-2</v>
      </c>
      <c r="O442" s="71">
        <f t="shared" ca="1" si="110"/>
        <v>2.5792359913408013E-2</v>
      </c>
      <c r="P442" s="71">
        <f t="shared" ca="1" si="110"/>
        <v>5.6868738207066283E-2</v>
      </c>
      <c r="Q442" s="71">
        <f t="shared" ca="1" si="110"/>
        <v>0</v>
      </c>
    </row>
    <row r="443" spans="1:17" x14ac:dyDescent="0.2">
      <c r="A443" s="60">
        <v>29</v>
      </c>
      <c r="B443" s="48" t="s">
        <v>1144</v>
      </c>
      <c r="C443" s="51" t="s">
        <v>1145</v>
      </c>
      <c r="D443" s="71">
        <f t="shared" si="102"/>
        <v>0</v>
      </c>
      <c r="F443" s="71">
        <f t="shared" si="103"/>
        <v>0</v>
      </c>
      <c r="G443" s="71"/>
      <c r="H443" s="71">
        <f t="shared" si="104"/>
        <v>0</v>
      </c>
      <c r="I443" s="71">
        <f t="shared" si="105"/>
        <v>0</v>
      </c>
      <c r="K443" s="71"/>
      <c r="L443" s="71">
        <f t="shared" si="109"/>
        <v>0</v>
      </c>
      <c r="M443" s="71"/>
      <c r="N443" s="71">
        <f t="shared" si="107"/>
        <v>0</v>
      </c>
      <c r="O443" s="71">
        <f t="shared" si="110"/>
        <v>0</v>
      </c>
      <c r="P443" s="71">
        <f t="shared" si="110"/>
        <v>0</v>
      </c>
      <c r="Q443" s="71">
        <f t="shared" si="110"/>
        <v>0</v>
      </c>
    </row>
    <row r="444" spans="1:17" x14ac:dyDescent="0.2">
      <c r="A444" s="60">
        <v>30</v>
      </c>
      <c r="B444" s="48" t="s">
        <v>1146</v>
      </c>
      <c r="C444" s="56" t="s">
        <v>1336</v>
      </c>
      <c r="D444" s="71">
        <f t="shared" ca="1" si="102"/>
        <v>0.99999999999999989</v>
      </c>
      <c r="F444" s="71">
        <f t="shared" ca="1" si="103"/>
        <v>0.93840847389480264</v>
      </c>
      <c r="G444" s="71"/>
      <c r="H444" s="71">
        <f t="shared" ca="1" si="104"/>
        <v>5.6899776237475712E-2</v>
      </c>
      <c r="I444" s="71">
        <f t="shared" ca="1" si="105"/>
        <v>4.6917498677216118E-3</v>
      </c>
      <c r="K444" s="71"/>
      <c r="L444" s="71">
        <f t="shared" ca="1" si="109"/>
        <v>9.8074082923509269E-5</v>
      </c>
      <c r="M444" s="71"/>
      <c r="N444" s="71">
        <f t="shared" ca="1" si="107"/>
        <v>4.5936757847981026E-3</v>
      </c>
      <c r="O444" s="71">
        <f t="shared" ca="1" si="110"/>
        <v>2.9730423317378902E-3</v>
      </c>
      <c r="P444" s="71">
        <f t="shared" ca="1" si="110"/>
        <v>1.6206334530602124E-3</v>
      </c>
      <c r="Q444" s="71">
        <f t="shared" ca="1" si="110"/>
        <v>0</v>
      </c>
    </row>
    <row r="445" spans="1:17" x14ac:dyDescent="0.2">
      <c r="A445" s="60">
        <v>31</v>
      </c>
      <c r="B445" s="48" t="s">
        <v>1147</v>
      </c>
      <c r="C445" s="56" t="s">
        <v>1337</v>
      </c>
      <c r="D445" s="71">
        <f t="shared" ca="1" si="102"/>
        <v>1</v>
      </c>
      <c r="F445" s="71">
        <f t="shared" ca="1" si="103"/>
        <v>0.92520057867888672</v>
      </c>
      <c r="G445" s="71"/>
      <c r="H445" s="71">
        <f t="shared" ca="1" si="104"/>
        <v>7.4185601612482235E-2</v>
      </c>
      <c r="I445" s="71">
        <f t="shared" ca="1" si="105"/>
        <v>6.1381970863107812E-4</v>
      </c>
      <c r="K445" s="71"/>
      <c r="L445" s="71">
        <f t="shared" ca="1" si="109"/>
        <v>1.3413613826381354E-4</v>
      </c>
      <c r="M445" s="71"/>
      <c r="N445" s="71">
        <f t="shared" ca="1" si="107"/>
        <v>4.7968357036726455E-4</v>
      </c>
      <c r="O445" s="71">
        <f t="shared" ca="1" si="110"/>
        <v>4.7071350123928179E-4</v>
      </c>
      <c r="P445" s="71">
        <f t="shared" ca="1" si="110"/>
        <v>8.9700691279827507E-6</v>
      </c>
      <c r="Q445" s="71">
        <f t="shared" ca="1" si="110"/>
        <v>0</v>
      </c>
    </row>
    <row r="446" spans="1:17" x14ac:dyDescent="0.2">
      <c r="A446" s="60">
        <v>32</v>
      </c>
      <c r="B446" s="48" t="s">
        <v>1148</v>
      </c>
      <c r="C446" s="51" t="s">
        <v>1149</v>
      </c>
      <c r="D446" s="71">
        <f t="shared" ca="1" si="102"/>
        <v>0.99999999999999978</v>
      </c>
      <c r="F446" s="71">
        <f t="shared" ca="1" si="103"/>
        <v>0.94084668465142973</v>
      </c>
      <c r="G446" s="71"/>
      <c r="H446" s="71">
        <f t="shared" ca="1" si="104"/>
        <v>5.6025851478961691E-2</v>
      </c>
      <c r="I446" s="71">
        <f t="shared" ca="1" si="105"/>
        <v>3.1274638696084079E-3</v>
      </c>
      <c r="K446" s="71"/>
      <c r="L446" s="71">
        <f t="shared" ca="1" si="109"/>
        <v>1.1301941664240644E-4</v>
      </c>
      <c r="M446" s="71"/>
      <c r="N446" s="71">
        <f t="shared" ca="1" si="107"/>
        <v>3.0144444529660013E-3</v>
      </c>
      <c r="O446" s="71">
        <f t="shared" ca="1" si="110"/>
        <v>2.5904362890761044E-3</v>
      </c>
      <c r="P446" s="71">
        <f t="shared" ca="1" si="110"/>
        <v>4.2400816388989669E-4</v>
      </c>
      <c r="Q446" s="71">
        <f t="shared" ca="1" si="110"/>
        <v>0</v>
      </c>
    </row>
    <row r="447" spans="1:17" x14ac:dyDescent="0.2">
      <c r="A447" s="60">
        <v>33</v>
      </c>
      <c r="B447" s="48" t="s">
        <v>1150</v>
      </c>
      <c r="C447" s="51" t="s">
        <v>1151</v>
      </c>
      <c r="D447" s="71">
        <f t="shared" si="102"/>
        <v>0</v>
      </c>
      <c r="F447" s="71">
        <f t="shared" si="103"/>
        <v>0</v>
      </c>
      <c r="G447" s="71"/>
      <c r="H447" s="71">
        <f t="shared" si="104"/>
        <v>0</v>
      </c>
      <c r="I447" s="71">
        <f t="shared" si="105"/>
        <v>0</v>
      </c>
      <c r="K447" s="71"/>
      <c r="L447" s="71">
        <f t="shared" si="109"/>
        <v>0</v>
      </c>
      <c r="M447" s="71"/>
      <c r="N447" s="71">
        <f t="shared" si="107"/>
        <v>0</v>
      </c>
      <c r="O447" s="71">
        <f t="shared" si="110"/>
        <v>0</v>
      </c>
      <c r="P447" s="71">
        <f t="shared" si="110"/>
        <v>0</v>
      </c>
      <c r="Q447" s="71">
        <f t="shared" si="110"/>
        <v>0</v>
      </c>
    </row>
    <row r="448" spans="1:17" x14ac:dyDescent="0.2">
      <c r="A448" s="60">
        <v>34</v>
      </c>
      <c r="B448" s="48" t="s">
        <v>1154</v>
      </c>
      <c r="C448" s="56" t="s">
        <v>1338</v>
      </c>
      <c r="D448" s="71">
        <f t="shared" ca="1" si="102"/>
        <v>1</v>
      </c>
      <c r="F448" s="71">
        <f t="shared" ca="1" si="103"/>
        <v>0.94610805683145516</v>
      </c>
      <c r="G448" s="71"/>
      <c r="H448" s="71">
        <f t="shared" ca="1" si="104"/>
        <v>5.2647634542542648E-2</v>
      </c>
      <c r="I448" s="71">
        <f t="shared" ca="1" si="105"/>
        <v>1.2443086260023042E-3</v>
      </c>
      <c r="K448" s="71"/>
      <c r="L448" s="71">
        <f t="shared" ca="1" si="109"/>
        <v>9.3657638516302455E-6</v>
      </c>
      <c r="M448" s="71"/>
      <c r="N448" s="71">
        <f t="shared" ca="1" si="107"/>
        <v>1.2349428621506739E-3</v>
      </c>
      <c r="O448" s="71">
        <f t="shared" ca="1" si="110"/>
        <v>6.6095533467219172E-4</v>
      </c>
      <c r="P448" s="71">
        <f t="shared" ca="1" si="110"/>
        <v>5.739875274784822E-4</v>
      </c>
      <c r="Q448" s="71">
        <f t="shared" ca="1" si="110"/>
        <v>0</v>
      </c>
    </row>
    <row r="449" spans="1:17" x14ac:dyDescent="0.2">
      <c r="A449" s="60">
        <v>35</v>
      </c>
      <c r="B449" s="48" t="s">
        <v>1155</v>
      </c>
      <c r="C449" s="51" t="s">
        <v>1156</v>
      </c>
      <c r="D449" s="71">
        <f t="shared" ca="1" si="102"/>
        <v>1</v>
      </c>
      <c r="F449" s="71">
        <f t="shared" ca="1" si="103"/>
        <v>0.94610805683145505</v>
      </c>
      <c r="G449" s="71"/>
      <c r="H449" s="71">
        <f t="shared" ca="1" si="104"/>
        <v>5.2647634542542648E-2</v>
      </c>
      <c r="I449" s="71">
        <f t="shared" ca="1" si="105"/>
        <v>1.2443086260023042E-3</v>
      </c>
      <c r="K449" s="71"/>
      <c r="L449" s="71">
        <f t="shared" ca="1" si="109"/>
        <v>9.3657638516302455E-6</v>
      </c>
      <c r="M449" s="71"/>
      <c r="N449" s="71">
        <f t="shared" ca="1" si="107"/>
        <v>1.2349428621506739E-3</v>
      </c>
      <c r="O449" s="71">
        <f t="shared" ca="1" si="110"/>
        <v>6.6095533467219172E-4</v>
      </c>
      <c r="P449" s="71">
        <f t="shared" ca="1" si="110"/>
        <v>5.739875274784822E-4</v>
      </c>
      <c r="Q449" s="71">
        <f t="shared" ca="1" si="110"/>
        <v>0</v>
      </c>
    </row>
    <row r="450" spans="1:17" x14ac:dyDescent="0.2">
      <c r="A450" s="60">
        <v>36</v>
      </c>
      <c r="B450" s="48" t="s">
        <v>1203</v>
      </c>
      <c r="C450" s="56" t="s">
        <v>1339</v>
      </c>
      <c r="D450" s="71">
        <f t="shared" ca="1" si="102"/>
        <v>0.99999999999999989</v>
      </c>
      <c r="F450" s="71">
        <f t="shared" ca="1" si="103"/>
        <v>0.99929613448218801</v>
      </c>
      <c r="G450" s="71"/>
      <c r="H450" s="71">
        <f t="shared" ca="1" si="104"/>
        <v>7.0376897554701558E-4</v>
      </c>
      <c r="I450" s="71">
        <f t="shared" ca="1" si="105"/>
        <v>9.6542264898935563E-8</v>
      </c>
      <c r="K450" s="71"/>
      <c r="L450" s="71">
        <f t="shared" ca="1" si="109"/>
        <v>9.6542264898935563E-8</v>
      </c>
      <c r="M450" s="71"/>
      <c r="N450" s="71">
        <f t="shared" ca="1" si="107"/>
        <v>0</v>
      </c>
      <c r="O450" s="71">
        <f t="shared" ca="1" si="110"/>
        <v>0</v>
      </c>
      <c r="P450" s="71">
        <f t="shared" ca="1" si="110"/>
        <v>0</v>
      </c>
      <c r="Q450" s="71">
        <f t="shared" ca="1" si="110"/>
        <v>0</v>
      </c>
    </row>
    <row r="451" spans="1:17" x14ac:dyDescent="0.2">
      <c r="A451" s="60">
        <v>37</v>
      </c>
      <c r="B451" s="48" t="s">
        <v>1158</v>
      </c>
      <c r="C451" s="51" t="s">
        <v>1159</v>
      </c>
      <c r="D451" s="71">
        <f t="shared" ca="1" si="102"/>
        <v>1</v>
      </c>
      <c r="F451" s="71">
        <f t="shared" ca="1" si="103"/>
        <v>0.94610805683145505</v>
      </c>
      <c r="G451" s="71"/>
      <c r="H451" s="71">
        <f t="shared" ca="1" si="104"/>
        <v>5.2647634542542648E-2</v>
      </c>
      <c r="I451" s="71">
        <f t="shared" ca="1" si="105"/>
        <v>1.2443086260023042E-3</v>
      </c>
      <c r="K451" s="71"/>
      <c r="L451" s="71">
        <f t="shared" ca="1" si="109"/>
        <v>9.3657638516302455E-6</v>
      </c>
      <c r="M451" s="71"/>
      <c r="N451" s="71">
        <f t="shared" ca="1" si="107"/>
        <v>1.2349428621506739E-3</v>
      </c>
      <c r="O451" s="71">
        <f t="shared" ca="1" si="110"/>
        <v>6.6095533467219172E-4</v>
      </c>
      <c r="P451" s="71">
        <f t="shared" ca="1" si="110"/>
        <v>5.739875274784822E-4</v>
      </c>
      <c r="Q451" s="71">
        <f t="shared" ca="1" si="110"/>
        <v>0</v>
      </c>
    </row>
    <row r="452" spans="1:17" x14ac:dyDescent="0.2">
      <c r="A452" s="60">
        <v>38</v>
      </c>
      <c r="B452" s="48" t="s">
        <v>1160</v>
      </c>
      <c r="C452" s="56" t="s">
        <v>1340</v>
      </c>
      <c r="D452" s="71">
        <f t="shared" ca="1" si="102"/>
        <v>0.99999999999999989</v>
      </c>
      <c r="F452" s="71">
        <f t="shared" ca="1" si="103"/>
        <v>0.94596923008515077</v>
      </c>
      <c r="G452" s="71"/>
      <c r="H452" s="71">
        <f t="shared" ca="1" si="104"/>
        <v>5.4023359049037684E-2</v>
      </c>
      <c r="I452" s="71">
        <f t="shared" ca="1" si="105"/>
        <v>7.4108658114527512E-6</v>
      </c>
      <c r="K452" s="71"/>
      <c r="L452" s="71">
        <f t="shared" ca="1" si="109"/>
        <v>7.4108658114527512E-6</v>
      </c>
      <c r="M452" s="71"/>
      <c r="N452" s="71">
        <f t="shared" ca="1" si="107"/>
        <v>0</v>
      </c>
      <c r="O452" s="71">
        <f t="shared" ca="1" si="110"/>
        <v>0</v>
      </c>
      <c r="P452" s="71">
        <f t="shared" ca="1" si="110"/>
        <v>0</v>
      </c>
      <c r="Q452" s="71">
        <f t="shared" ca="1" si="110"/>
        <v>0</v>
      </c>
    </row>
    <row r="453" spans="1:17" x14ac:dyDescent="0.2">
      <c r="A453" s="60">
        <v>39</v>
      </c>
      <c r="B453" s="48" t="s">
        <v>1161</v>
      </c>
      <c r="C453" s="51" t="s">
        <v>1162</v>
      </c>
      <c r="D453" s="71">
        <f t="shared" ca="1" si="102"/>
        <v>1</v>
      </c>
      <c r="F453" s="71">
        <f t="shared" ca="1" si="103"/>
        <v>0.99929613448218813</v>
      </c>
      <c r="G453" s="71"/>
      <c r="H453" s="71">
        <f t="shared" ca="1" si="104"/>
        <v>7.0376897554701558E-4</v>
      </c>
      <c r="I453" s="71">
        <f t="shared" ca="1" si="105"/>
        <v>9.6542264898935563E-8</v>
      </c>
      <c r="K453" s="71"/>
      <c r="L453" s="71">
        <f t="shared" ca="1" si="109"/>
        <v>9.6542264898935563E-8</v>
      </c>
      <c r="M453" s="71"/>
      <c r="N453" s="71">
        <f t="shared" ca="1" si="107"/>
        <v>0</v>
      </c>
      <c r="O453" s="71">
        <f t="shared" ca="1" si="110"/>
        <v>0</v>
      </c>
      <c r="P453" s="71">
        <f t="shared" ca="1" si="110"/>
        <v>0</v>
      </c>
      <c r="Q453" s="71">
        <f t="shared" ca="1" si="110"/>
        <v>0</v>
      </c>
    </row>
    <row r="454" spans="1:17" x14ac:dyDescent="0.2">
      <c r="A454" s="60">
        <v>40</v>
      </c>
      <c r="B454" s="48" t="s">
        <v>1163</v>
      </c>
      <c r="C454" s="51" t="s">
        <v>447</v>
      </c>
      <c r="D454" s="71">
        <f t="shared" ca="1" si="102"/>
        <v>1</v>
      </c>
      <c r="F454" s="71">
        <f t="shared" ca="1" si="103"/>
        <v>0.89775834708469027</v>
      </c>
      <c r="G454" s="71"/>
      <c r="H454" s="71">
        <f t="shared" ca="1" si="104"/>
        <v>5.6725086364232888E-2</v>
      </c>
      <c r="I454" s="71">
        <f t="shared" ca="1" si="105"/>
        <v>4.5516566551076797E-2</v>
      </c>
      <c r="K454" s="71"/>
      <c r="L454" s="71">
        <f t="shared" ca="1" si="109"/>
        <v>3.0089481883477772E-5</v>
      </c>
      <c r="M454" s="71"/>
      <c r="N454" s="71">
        <f t="shared" ca="1" si="107"/>
        <v>4.5486477069193322E-2</v>
      </c>
      <c r="O454" s="71">
        <f t="shared" ca="1" si="110"/>
        <v>1.4756115427042211E-2</v>
      </c>
      <c r="P454" s="71">
        <f t="shared" ca="1" si="110"/>
        <v>3.0730361642151111E-2</v>
      </c>
      <c r="Q454" s="71">
        <f t="shared" ca="1" si="110"/>
        <v>4.7206853474656552E-20</v>
      </c>
    </row>
    <row r="455" spans="1:17" x14ac:dyDescent="0.2">
      <c r="C455" s="58"/>
    </row>
    <row r="456" spans="1:17" x14ac:dyDescent="0.2">
      <c r="B456" s="69" t="s">
        <v>1096</v>
      </c>
    </row>
    <row r="457" spans="1:17" x14ac:dyDescent="0.2">
      <c r="B457" s="67" t="s">
        <v>493</v>
      </c>
    </row>
    <row r="458" spans="1:17" x14ac:dyDescent="0.2">
      <c r="A458" s="60">
        <v>1</v>
      </c>
      <c r="B458" s="48" t="s">
        <v>1164</v>
      </c>
      <c r="C458" s="51" t="s">
        <v>1165</v>
      </c>
      <c r="D458" s="71">
        <f t="shared" ref="D458:D464" ca="1" si="111">SUM(F458:I458)+K458</f>
        <v>1</v>
      </c>
      <c r="F458" s="71">
        <f t="shared" ref="F458:F466" ca="1" si="112">IF(F210&lt;&gt;0,IF($D210=0,1,+F210/$D210),0)</f>
        <v>0.94977596455376279</v>
      </c>
      <c r="G458" s="71"/>
      <c r="H458" s="71">
        <f t="shared" ref="H458:H466" ca="1" si="113">IF(H210&lt;&gt;0,IF($D210=0,1,+H210/$D210),0)</f>
        <v>5.0218814415418159E-2</v>
      </c>
      <c r="I458" s="71">
        <f t="shared" ref="I458:I466" ca="1" si="114">IF(I210&lt;&gt;0,IF($D210=0,1,+I210/$D210),0)</f>
        <v>5.2210308190352702E-6</v>
      </c>
      <c r="K458" s="71"/>
      <c r="L458" s="71">
        <f t="shared" ref="L458:L466" ca="1" si="115">IF(L210&lt;&gt;0,IF($D210=0,1,+L210/$D210),0)</f>
        <v>5.2210308190352702E-6</v>
      </c>
      <c r="M458" s="71"/>
      <c r="N458" s="71">
        <f t="shared" ref="N458:N464" ca="1" si="116">SUM(O458:Q458)</f>
        <v>0</v>
      </c>
      <c r="O458" s="71">
        <f t="shared" ref="O458:Q466" ca="1" si="117">IF(O210&lt;&gt;0,IF($D210=0,1,+O210/$D210),0)</f>
        <v>0</v>
      </c>
      <c r="P458" s="71">
        <f t="shared" ca="1" si="117"/>
        <v>0</v>
      </c>
      <c r="Q458" s="71">
        <f t="shared" ca="1" si="117"/>
        <v>0</v>
      </c>
    </row>
    <row r="459" spans="1:17" x14ac:dyDescent="0.2">
      <c r="A459" s="60">
        <v>2</v>
      </c>
      <c r="B459" s="48" t="s">
        <v>1166</v>
      </c>
      <c r="C459" s="51" t="s">
        <v>1167</v>
      </c>
      <c r="D459" s="71">
        <f t="shared" ca="1" si="111"/>
        <v>1</v>
      </c>
      <c r="F459" s="71">
        <f t="shared" ca="1" si="112"/>
        <v>0.99938461352026797</v>
      </c>
      <c r="G459" s="71"/>
      <c r="H459" s="71">
        <f t="shared" ca="1" si="113"/>
        <v>6.1530207326083411E-4</v>
      </c>
      <c r="I459" s="71">
        <f t="shared" ca="1" si="114"/>
        <v>8.4406471176766574E-8</v>
      </c>
      <c r="K459" s="71"/>
      <c r="L459" s="71">
        <f t="shared" ca="1" si="115"/>
        <v>8.4406471176766574E-8</v>
      </c>
      <c r="M459" s="71"/>
      <c r="N459" s="71">
        <f t="shared" ca="1" si="116"/>
        <v>0</v>
      </c>
      <c r="O459" s="71">
        <f t="shared" ca="1" si="117"/>
        <v>0</v>
      </c>
      <c r="P459" s="71">
        <f t="shared" ca="1" si="117"/>
        <v>0</v>
      </c>
      <c r="Q459" s="71">
        <f t="shared" ca="1" si="117"/>
        <v>0</v>
      </c>
    </row>
    <row r="460" spans="1:17" x14ac:dyDescent="0.2">
      <c r="A460" s="60">
        <v>3</v>
      </c>
      <c r="B460" s="48" t="s">
        <v>1168</v>
      </c>
      <c r="C460" s="51" t="s">
        <v>1169</v>
      </c>
      <c r="D460" s="71">
        <f t="shared" ca="1" si="111"/>
        <v>1</v>
      </c>
      <c r="F460" s="71">
        <f t="shared" ca="1" si="112"/>
        <v>0.99668691788381247</v>
      </c>
      <c r="G460" s="71"/>
      <c r="H460" s="71">
        <f t="shared" ca="1" si="113"/>
        <v>0</v>
      </c>
      <c r="I460" s="71">
        <f t="shared" ca="1" si="114"/>
        <v>3.3130821161875346E-3</v>
      </c>
      <c r="K460" s="71"/>
      <c r="L460" s="71">
        <f t="shared" ca="1" si="115"/>
        <v>1.1972723704296189E-4</v>
      </c>
      <c r="M460" s="71"/>
      <c r="N460" s="71">
        <f t="shared" ca="1" si="116"/>
        <v>3.1933548791445729E-3</v>
      </c>
      <c r="O460" s="71">
        <f t="shared" ca="1" si="117"/>
        <v>2.7441813879486463E-3</v>
      </c>
      <c r="P460" s="71">
        <f t="shared" ca="1" si="117"/>
        <v>4.4917349119592647E-4</v>
      </c>
      <c r="Q460" s="71">
        <f t="shared" ca="1" si="117"/>
        <v>0</v>
      </c>
    </row>
    <row r="461" spans="1:17" x14ac:dyDescent="0.2">
      <c r="A461" s="60">
        <v>4</v>
      </c>
      <c r="B461" s="48" t="s">
        <v>1170</v>
      </c>
      <c r="C461" s="51" t="s">
        <v>1171</v>
      </c>
      <c r="D461" s="71">
        <f t="shared" ca="1" si="111"/>
        <v>1</v>
      </c>
      <c r="F461" s="71">
        <f t="shared" ca="1" si="112"/>
        <v>1</v>
      </c>
      <c r="G461" s="71"/>
      <c r="H461" s="71">
        <f t="shared" si="113"/>
        <v>0</v>
      </c>
      <c r="I461" s="71">
        <f t="shared" si="114"/>
        <v>0</v>
      </c>
      <c r="K461" s="71"/>
      <c r="L461" s="71">
        <f t="shared" si="115"/>
        <v>0</v>
      </c>
      <c r="M461" s="71"/>
      <c r="N461" s="71">
        <f t="shared" si="116"/>
        <v>0</v>
      </c>
      <c r="O461" s="71">
        <f t="shared" si="117"/>
        <v>0</v>
      </c>
      <c r="P461" s="71">
        <f t="shared" si="117"/>
        <v>0</v>
      </c>
      <c r="Q461" s="71">
        <f t="shared" si="117"/>
        <v>0</v>
      </c>
    </row>
    <row r="462" spans="1:17" x14ac:dyDescent="0.2">
      <c r="A462" s="60">
        <v>5</v>
      </c>
      <c r="B462" s="48" t="s">
        <v>1172</v>
      </c>
      <c r="C462" s="51" t="s">
        <v>1173</v>
      </c>
      <c r="D462" s="71">
        <f t="shared" ca="1" si="111"/>
        <v>1</v>
      </c>
      <c r="F462" s="71">
        <f t="shared" si="112"/>
        <v>0</v>
      </c>
      <c r="G462" s="71"/>
      <c r="H462" s="71">
        <f t="shared" ca="1" si="113"/>
        <v>1</v>
      </c>
      <c r="I462" s="71">
        <f t="shared" si="114"/>
        <v>0</v>
      </c>
      <c r="K462" s="71"/>
      <c r="L462" s="71">
        <f t="shared" si="115"/>
        <v>0</v>
      </c>
      <c r="M462" s="71"/>
      <c r="N462" s="71">
        <f t="shared" si="116"/>
        <v>0</v>
      </c>
      <c r="O462" s="71">
        <f t="shared" si="117"/>
        <v>0</v>
      </c>
      <c r="P462" s="71">
        <f t="shared" si="117"/>
        <v>0</v>
      </c>
      <c r="Q462" s="71">
        <f t="shared" si="117"/>
        <v>0</v>
      </c>
    </row>
    <row r="463" spans="1:17" x14ac:dyDescent="0.2">
      <c r="A463" s="60">
        <v>6</v>
      </c>
      <c r="B463" s="48" t="s">
        <v>1174</v>
      </c>
      <c r="C463" s="51" t="s">
        <v>1175</v>
      </c>
      <c r="D463" s="71">
        <f t="shared" si="111"/>
        <v>0</v>
      </c>
      <c r="F463" s="71">
        <f t="shared" si="112"/>
        <v>0</v>
      </c>
      <c r="G463" s="71"/>
      <c r="H463" s="71">
        <f t="shared" si="113"/>
        <v>0</v>
      </c>
      <c r="I463" s="71">
        <f t="shared" si="114"/>
        <v>0</v>
      </c>
      <c r="K463" s="71"/>
      <c r="L463" s="71">
        <f t="shared" si="115"/>
        <v>0</v>
      </c>
      <c r="M463" s="71"/>
      <c r="N463" s="71">
        <f t="shared" si="116"/>
        <v>0</v>
      </c>
      <c r="O463" s="71">
        <f t="shared" si="117"/>
        <v>0</v>
      </c>
      <c r="P463" s="71">
        <f t="shared" si="117"/>
        <v>0</v>
      </c>
      <c r="Q463" s="71">
        <f t="shared" si="117"/>
        <v>0</v>
      </c>
    </row>
    <row r="464" spans="1:17" x14ac:dyDescent="0.2">
      <c r="A464" s="60">
        <v>7</v>
      </c>
      <c r="B464" s="48" t="s">
        <v>1176</v>
      </c>
      <c r="C464" s="51" t="s">
        <v>1177</v>
      </c>
      <c r="D464" s="71">
        <f t="shared" ca="1" si="111"/>
        <v>1</v>
      </c>
      <c r="F464" s="71">
        <f t="shared" si="112"/>
        <v>0</v>
      </c>
      <c r="G464" s="71"/>
      <c r="H464" s="71">
        <f t="shared" si="113"/>
        <v>0</v>
      </c>
      <c r="I464" s="71">
        <f t="shared" ca="1" si="114"/>
        <v>1</v>
      </c>
      <c r="K464" s="71"/>
      <c r="L464" s="71">
        <f t="shared" si="115"/>
        <v>0</v>
      </c>
      <c r="M464" s="71"/>
      <c r="N464" s="71">
        <f t="shared" ca="1" si="116"/>
        <v>1</v>
      </c>
      <c r="O464" s="71">
        <f t="shared" ca="1" si="117"/>
        <v>0.32422366307970424</v>
      </c>
      <c r="P464" s="71">
        <f t="shared" ca="1" si="117"/>
        <v>0.67577633692029571</v>
      </c>
      <c r="Q464" s="71">
        <f t="shared" si="117"/>
        <v>0</v>
      </c>
    </row>
    <row r="465" spans="1:17" x14ac:dyDescent="0.2">
      <c r="A465" s="60">
        <v>8</v>
      </c>
      <c r="B465" s="70" t="s">
        <v>1363</v>
      </c>
      <c r="C465" s="51" t="s">
        <v>1364</v>
      </c>
      <c r="D465" s="71">
        <f t="shared" ref="D465" ca="1" si="118">SUM(F465:I465)+K465</f>
        <v>1</v>
      </c>
      <c r="F465" s="71">
        <f t="shared" ca="1" si="112"/>
        <v>0.8786138824468086</v>
      </c>
      <c r="G465" s="71"/>
      <c r="H465" s="71">
        <f t="shared" ca="1" si="113"/>
        <v>5.5732172393129359E-2</v>
      </c>
      <c r="I465" s="71">
        <f t="shared" ca="1" si="114"/>
        <v>6.5653945160062135E-2</v>
      </c>
      <c r="K465" s="71"/>
      <c r="L465" s="71">
        <f t="shared" ca="1" si="115"/>
        <v>3.1002407141825237E-5</v>
      </c>
      <c r="M465" s="71"/>
      <c r="N465" s="71">
        <f t="shared" ref="N465" ca="1" si="119">SUM(O465:Q465)</f>
        <v>6.5622942752920313E-2</v>
      </c>
      <c r="O465" s="71">
        <f t="shared" ca="1" si="117"/>
        <v>2.0849613160379313E-2</v>
      </c>
      <c r="P465" s="71">
        <f t="shared" ca="1" si="117"/>
        <v>4.4773329592540996E-2</v>
      </c>
      <c r="Q465" s="71">
        <f t="shared" si="117"/>
        <v>0</v>
      </c>
    </row>
    <row r="466" spans="1:17" x14ac:dyDescent="0.2">
      <c r="A466" s="60">
        <v>9</v>
      </c>
      <c r="B466" s="70" t="s">
        <v>1531</v>
      </c>
      <c r="C466" s="56" t="s">
        <v>1532</v>
      </c>
      <c r="D466" s="71">
        <f t="shared" ref="D466" ca="1" si="120">SUM(F466:I466)+K466</f>
        <v>1</v>
      </c>
      <c r="F466" s="71">
        <f t="shared" ca="1" si="112"/>
        <v>0.9246940375175865</v>
      </c>
      <c r="G466" s="71"/>
      <c r="H466" s="71">
        <f t="shared" si="113"/>
        <v>0</v>
      </c>
      <c r="I466" s="71">
        <f t="shared" ca="1" si="114"/>
        <v>7.530596248241346E-2</v>
      </c>
      <c r="K466" s="71"/>
      <c r="L466" s="71">
        <f t="shared" si="115"/>
        <v>0</v>
      </c>
      <c r="M466" s="71"/>
      <c r="N466" s="71">
        <f t="shared" ref="N466" ca="1" si="121">SUM(O466:Q466)</f>
        <v>7.5305962482413474E-2</v>
      </c>
      <c r="O466" s="71">
        <f t="shared" ca="1" si="117"/>
        <v>2.3917210411279158E-2</v>
      </c>
      <c r="P466" s="71">
        <f t="shared" ca="1" si="117"/>
        <v>5.138875207113431E-2</v>
      </c>
      <c r="Q466" s="71">
        <f t="shared" si="117"/>
        <v>0</v>
      </c>
    </row>
    <row r="467" spans="1:17" x14ac:dyDescent="0.2">
      <c r="A467" s="60">
        <v>10</v>
      </c>
    </row>
    <row r="468" spans="1:17" x14ac:dyDescent="0.2">
      <c r="A468" s="60">
        <v>11</v>
      </c>
    </row>
    <row r="469" spans="1:17" x14ac:dyDescent="0.2">
      <c r="A469" s="60">
        <v>12</v>
      </c>
    </row>
    <row r="470" spans="1:17" x14ac:dyDescent="0.2">
      <c r="A470" s="60">
        <v>13</v>
      </c>
    </row>
    <row r="471" spans="1:17" x14ac:dyDescent="0.2">
      <c r="A471" s="60">
        <v>14</v>
      </c>
    </row>
    <row r="472" spans="1:17" x14ac:dyDescent="0.2">
      <c r="A472" s="60">
        <v>15</v>
      </c>
    </row>
    <row r="473" spans="1:17" x14ac:dyDescent="0.2">
      <c r="A473" s="60">
        <v>16</v>
      </c>
    </row>
    <row r="474" spans="1:17" x14ac:dyDescent="0.2">
      <c r="A474" s="60">
        <v>17</v>
      </c>
    </row>
    <row r="475" spans="1:17" x14ac:dyDescent="0.2">
      <c r="A475" s="60">
        <v>18</v>
      </c>
      <c r="C475" s="58"/>
    </row>
    <row r="476" spans="1:17" x14ac:dyDescent="0.2">
      <c r="A476" s="60">
        <v>19</v>
      </c>
      <c r="C476" s="58"/>
    </row>
    <row r="477" spans="1:17" x14ac:dyDescent="0.2">
      <c r="A477" s="60">
        <v>20</v>
      </c>
      <c r="C477" s="58"/>
    </row>
    <row r="478" spans="1:17" x14ac:dyDescent="0.2">
      <c r="A478" s="60">
        <v>21</v>
      </c>
      <c r="C478" s="58"/>
    </row>
    <row r="479" spans="1:17" x14ac:dyDescent="0.2">
      <c r="A479" s="60">
        <v>22</v>
      </c>
      <c r="C479" s="58"/>
    </row>
    <row r="480" spans="1:17" x14ac:dyDescent="0.2">
      <c r="A480" s="60">
        <v>23</v>
      </c>
      <c r="C480" s="58"/>
    </row>
    <row r="481" spans="1:3" x14ac:dyDescent="0.2">
      <c r="A481" s="60">
        <v>24</v>
      </c>
      <c r="C481" s="58"/>
    </row>
    <row r="482" spans="1:3" x14ac:dyDescent="0.2">
      <c r="A482" s="60">
        <v>25</v>
      </c>
      <c r="C482" s="58"/>
    </row>
    <row r="483" spans="1:3" x14ac:dyDescent="0.2">
      <c r="A483" s="60">
        <v>26</v>
      </c>
      <c r="C483" s="58"/>
    </row>
    <row r="484" spans="1:3" x14ac:dyDescent="0.2">
      <c r="A484" s="60">
        <v>27</v>
      </c>
      <c r="C484" s="58"/>
    </row>
    <row r="485" spans="1:3" x14ac:dyDescent="0.2">
      <c r="A485" s="60">
        <v>28</v>
      </c>
      <c r="C485" s="58"/>
    </row>
    <row r="486" spans="1:3" x14ac:dyDescent="0.2">
      <c r="A486" s="60">
        <v>29</v>
      </c>
      <c r="C486" s="58"/>
    </row>
    <row r="487" spans="1:3" x14ac:dyDescent="0.2">
      <c r="A487" s="60">
        <v>30</v>
      </c>
      <c r="C487" s="58"/>
    </row>
    <row r="488" spans="1:3" x14ac:dyDescent="0.2">
      <c r="A488" s="60">
        <v>31</v>
      </c>
      <c r="C488" s="58"/>
    </row>
    <row r="489" spans="1:3" x14ac:dyDescent="0.2">
      <c r="A489" s="60">
        <v>32</v>
      </c>
      <c r="C489" s="58"/>
    </row>
    <row r="490" spans="1:3" x14ac:dyDescent="0.2">
      <c r="A490" s="60">
        <v>33</v>
      </c>
      <c r="C490" s="58"/>
    </row>
    <row r="491" spans="1:3" x14ac:dyDescent="0.2">
      <c r="A491" s="60">
        <v>34</v>
      </c>
      <c r="C491" s="58"/>
    </row>
    <row r="492" spans="1:3" x14ac:dyDescent="0.2">
      <c r="A492" s="60">
        <v>35</v>
      </c>
      <c r="C492" s="58"/>
    </row>
    <row r="493" spans="1:3" x14ac:dyDescent="0.2">
      <c r="A493" s="60">
        <v>36</v>
      </c>
      <c r="C493" s="58"/>
    </row>
    <row r="494" spans="1:3" x14ac:dyDescent="0.2">
      <c r="A494" s="60">
        <v>37</v>
      </c>
      <c r="C494" s="58"/>
    </row>
    <row r="495" spans="1:3" x14ac:dyDescent="0.2">
      <c r="A495" s="60">
        <v>38</v>
      </c>
      <c r="C495" s="58"/>
    </row>
    <row r="496" spans="1:3" x14ac:dyDescent="0.2">
      <c r="A496" s="60">
        <v>39</v>
      </c>
      <c r="C496" s="58"/>
    </row>
    <row r="497" spans="1:17" x14ac:dyDescent="0.2">
      <c r="A497" s="60">
        <v>40</v>
      </c>
      <c r="C497" s="58"/>
    </row>
    <row r="499" spans="1:17" x14ac:dyDescent="0.2">
      <c r="B499" s="64" t="s">
        <v>1178</v>
      </c>
      <c r="C499" s="58"/>
    </row>
    <row r="500" spans="1:17" x14ac:dyDescent="0.2">
      <c r="B500" s="67" t="s">
        <v>493</v>
      </c>
      <c r="C500" s="58"/>
    </row>
    <row r="501" spans="1:17" x14ac:dyDescent="0.2">
      <c r="A501" s="57">
        <v>1</v>
      </c>
      <c r="B501" s="217" t="s">
        <v>1379</v>
      </c>
      <c r="C501" s="58"/>
      <c r="D501" s="71">
        <f t="shared" ref="D501:D511" si="122">SUM(F501:I501)+K501</f>
        <v>1</v>
      </c>
      <c r="F501" s="71">
        <f t="shared" ref="F501:F511" si="123">IF(F253&lt;&gt;0,IF($D253=0,1,+F253/$D253),0)</f>
        <v>0.93576741014647702</v>
      </c>
      <c r="G501" s="71"/>
      <c r="H501" s="71">
        <f t="shared" ref="H501:I511" si="124">IF(H253&lt;&gt;0,IF($D253=0,1,+H253/$D253),0)</f>
        <v>6.4220701074288178E-2</v>
      </c>
      <c r="I501" s="71">
        <f t="shared" si="124"/>
        <v>1.1888779234845978E-5</v>
      </c>
      <c r="K501" s="71"/>
      <c r="L501" s="71">
        <f t="shared" ref="L501:L511" si="125">IF(L253&lt;&gt;0,IF($D253=0,1,+L253/$D253),0)</f>
        <v>1.1888779234845978E-5</v>
      </c>
      <c r="M501" s="71"/>
      <c r="N501" s="71">
        <f t="shared" ref="N501:N511" si="126">SUM(O501:Q501)</f>
        <v>0</v>
      </c>
      <c r="O501" s="71">
        <f t="shared" ref="O501:Q511" si="127">IF(O253&lt;&gt;0,IF($D253=0,1,+O253/$D253),0)</f>
        <v>0</v>
      </c>
      <c r="P501" s="71">
        <f t="shared" si="127"/>
        <v>0</v>
      </c>
      <c r="Q501" s="71">
        <f t="shared" si="127"/>
        <v>0</v>
      </c>
    </row>
    <row r="502" spans="1:17" x14ac:dyDescent="0.2">
      <c r="A502" s="57">
        <v>2</v>
      </c>
      <c r="B502" s="217" t="s">
        <v>1380</v>
      </c>
      <c r="C502" s="58"/>
      <c r="D502" s="71">
        <f t="shared" si="122"/>
        <v>1</v>
      </c>
      <c r="F502" s="71">
        <f t="shared" si="123"/>
        <v>0.96508446193441544</v>
      </c>
      <c r="G502" s="71"/>
      <c r="H502" s="71">
        <f t="shared" si="124"/>
        <v>3.4915538065584631E-2</v>
      </c>
      <c r="I502" s="71">
        <f t="shared" si="124"/>
        <v>0</v>
      </c>
      <c r="K502" s="71"/>
      <c r="L502" s="71">
        <f t="shared" si="125"/>
        <v>0</v>
      </c>
      <c r="M502" s="71"/>
      <c r="N502" s="71">
        <f t="shared" si="126"/>
        <v>0</v>
      </c>
      <c r="O502" s="71">
        <f t="shared" si="127"/>
        <v>0</v>
      </c>
      <c r="P502" s="71">
        <f t="shared" si="127"/>
        <v>0</v>
      </c>
      <c r="Q502" s="71">
        <f t="shared" si="127"/>
        <v>0</v>
      </c>
    </row>
    <row r="503" spans="1:17" x14ac:dyDescent="0.2">
      <c r="A503" s="57">
        <v>3</v>
      </c>
      <c r="B503" s="217" t="s">
        <v>1383</v>
      </c>
      <c r="C503" s="58"/>
      <c r="D503" s="71">
        <f t="shared" si="122"/>
        <v>1</v>
      </c>
      <c r="F503" s="71">
        <f t="shared" si="123"/>
        <v>0.93752377934128805</v>
      </c>
      <c r="G503" s="71"/>
      <c r="H503" s="71">
        <f t="shared" si="124"/>
        <v>6.2476220658712008E-2</v>
      </c>
      <c r="I503" s="71">
        <f t="shared" si="124"/>
        <v>0</v>
      </c>
      <c r="K503" s="71"/>
      <c r="L503" s="71">
        <f t="shared" si="125"/>
        <v>0</v>
      </c>
      <c r="M503" s="71"/>
      <c r="N503" s="71">
        <f t="shared" si="126"/>
        <v>0</v>
      </c>
      <c r="O503" s="71">
        <f t="shared" si="127"/>
        <v>0</v>
      </c>
      <c r="P503" s="71">
        <f t="shared" si="127"/>
        <v>0</v>
      </c>
      <c r="Q503" s="71">
        <f t="shared" si="127"/>
        <v>0</v>
      </c>
    </row>
    <row r="504" spans="1:17" x14ac:dyDescent="0.2">
      <c r="A504" s="57">
        <v>4</v>
      </c>
      <c r="B504" s="217" t="s">
        <v>1381</v>
      </c>
      <c r="C504" s="58"/>
      <c r="D504" s="71">
        <f t="shared" si="122"/>
        <v>1</v>
      </c>
      <c r="F504" s="71">
        <f t="shared" si="123"/>
        <v>0.99054872167395058</v>
      </c>
      <c r="G504" s="71"/>
      <c r="H504" s="71">
        <f t="shared" si="124"/>
        <v>9.4512783260494847E-3</v>
      </c>
      <c r="I504" s="71">
        <f t="shared" si="124"/>
        <v>0</v>
      </c>
      <c r="K504" s="71"/>
      <c r="L504" s="71">
        <f t="shared" si="125"/>
        <v>0</v>
      </c>
      <c r="M504" s="71"/>
      <c r="N504" s="71">
        <f t="shared" si="126"/>
        <v>0</v>
      </c>
      <c r="O504" s="71">
        <f t="shared" si="127"/>
        <v>0</v>
      </c>
      <c r="P504" s="71">
        <f t="shared" si="127"/>
        <v>0</v>
      </c>
      <c r="Q504" s="71">
        <f t="shared" si="127"/>
        <v>0</v>
      </c>
    </row>
    <row r="505" spans="1:17" x14ac:dyDescent="0.2">
      <c r="A505" s="57">
        <v>5</v>
      </c>
      <c r="B505" s="217" t="s">
        <v>1382</v>
      </c>
      <c r="C505" s="58"/>
      <c r="D505" s="71">
        <f t="shared" si="122"/>
        <v>1</v>
      </c>
      <c r="F505" s="71">
        <f t="shared" si="123"/>
        <v>0.67927445143628939</v>
      </c>
      <c r="G505" s="71"/>
      <c r="H505" s="71">
        <f t="shared" si="124"/>
        <v>0.32072554856371066</v>
      </c>
      <c r="I505" s="71">
        <f t="shared" si="124"/>
        <v>0</v>
      </c>
      <c r="K505" s="71"/>
      <c r="L505" s="71">
        <f t="shared" si="125"/>
        <v>0</v>
      </c>
      <c r="M505" s="71"/>
      <c r="N505" s="71">
        <f t="shared" si="126"/>
        <v>0</v>
      </c>
      <c r="O505" s="71">
        <f t="shared" si="127"/>
        <v>0</v>
      </c>
      <c r="P505" s="71">
        <f t="shared" si="127"/>
        <v>0</v>
      </c>
      <c r="Q505" s="71">
        <f t="shared" si="127"/>
        <v>0</v>
      </c>
    </row>
    <row r="506" spans="1:17" x14ac:dyDescent="0.2">
      <c r="A506" s="57">
        <v>6</v>
      </c>
      <c r="B506" s="217" t="s">
        <v>1384</v>
      </c>
      <c r="C506" s="58"/>
      <c r="D506" s="71">
        <f t="shared" si="122"/>
        <v>1</v>
      </c>
      <c r="F506" s="71">
        <f t="shared" si="123"/>
        <v>0.96995608007628276</v>
      </c>
      <c r="G506" s="71"/>
      <c r="H506" s="71">
        <f t="shared" si="124"/>
        <v>3.0043919923717331E-2</v>
      </c>
      <c r="I506" s="71">
        <f t="shared" si="124"/>
        <v>0</v>
      </c>
      <c r="K506" s="71"/>
      <c r="L506" s="71">
        <f t="shared" si="125"/>
        <v>0</v>
      </c>
      <c r="M506" s="71"/>
      <c r="N506" s="71">
        <f t="shared" si="126"/>
        <v>0</v>
      </c>
      <c r="O506" s="71">
        <f t="shared" si="127"/>
        <v>0</v>
      </c>
      <c r="P506" s="71">
        <f t="shared" si="127"/>
        <v>0</v>
      </c>
      <c r="Q506" s="71">
        <f t="shared" si="127"/>
        <v>0</v>
      </c>
    </row>
    <row r="507" spans="1:17" x14ac:dyDescent="0.2">
      <c r="A507" s="57">
        <v>7</v>
      </c>
      <c r="B507" s="217" t="s">
        <v>1385</v>
      </c>
      <c r="C507" s="58"/>
      <c r="D507" s="71">
        <f t="shared" si="122"/>
        <v>1</v>
      </c>
      <c r="F507" s="71">
        <f t="shared" si="123"/>
        <v>0.94383098026083057</v>
      </c>
      <c r="G507" s="71"/>
      <c r="H507" s="71">
        <f t="shared" si="124"/>
        <v>5.6169019739169421E-2</v>
      </c>
      <c r="I507" s="71">
        <f t="shared" si="124"/>
        <v>0</v>
      </c>
      <c r="K507" s="71"/>
      <c r="L507" s="71">
        <f t="shared" si="125"/>
        <v>0</v>
      </c>
      <c r="M507" s="71"/>
      <c r="N507" s="71">
        <f t="shared" si="126"/>
        <v>0</v>
      </c>
      <c r="O507" s="71">
        <f t="shared" si="127"/>
        <v>0</v>
      </c>
      <c r="P507" s="71">
        <f t="shared" si="127"/>
        <v>0</v>
      </c>
      <c r="Q507" s="71">
        <f t="shared" si="127"/>
        <v>0</v>
      </c>
    </row>
    <row r="508" spans="1:17" x14ac:dyDescent="0.2">
      <c r="A508" s="57">
        <v>8</v>
      </c>
      <c r="B508" s="217" t="s">
        <v>1386</v>
      </c>
      <c r="C508" s="58"/>
      <c r="D508" s="71">
        <f t="shared" si="122"/>
        <v>1</v>
      </c>
      <c r="F508" s="71">
        <f t="shared" si="123"/>
        <v>0.96491941009541582</v>
      </c>
      <c r="G508" s="71"/>
      <c r="H508" s="71">
        <f t="shared" si="124"/>
        <v>3.5080589904584153E-2</v>
      </c>
      <c r="I508" s="71">
        <f t="shared" si="124"/>
        <v>0</v>
      </c>
      <c r="K508" s="71"/>
      <c r="L508" s="71">
        <f t="shared" si="125"/>
        <v>0</v>
      </c>
      <c r="M508" s="71"/>
      <c r="N508" s="71">
        <f t="shared" si="126"/>
        <v>0</v>
      </c>
      <c r="O508" s="71">
        <f t="shared" si="127"/>
        <v>0</v>
      </c>
      <c r="P508" s="71">
        <f t="shared" si="127"/>
        <v>0</v>
      </c>
      <c r="Q508" s="71">
        <f t="shared" si="127"/>
        <v>0</v>
      </c>
    </row>
    <row r="509" spans="1:17" x14ac:dyDescent="0.2">
      <c r="A509" s="57">
        <v>9</v>
      </c>
      <c r="B509" s="217" t="s">
        <v>1387</v>
      </c>
      <c r="C509" s="58"/>
      <c r="D509" s="71">
        <f t="shared" si="122"/>
        <v>1</v>
      </c>
      <c r="F509" s="71">
        <f t="shared" si="123"/>
        <v>0</v>
      </c>
      <c r="G509" s="71"/>
      <c r="H509" s="71">
        <f t="shared" si="124"/>
        <v>0</v>
      </c>
      <c r="I509" s="71">
        <f t="shared" si="124"/>
        <v>1</v>
      </c>
      <c r="K509" s="71"/>
      <c r="L509" s="71">
        <f t="shared" si="125"/>
        <v>0</v>
      </c>
      <c r="M509" s="71"/>
      <c r="N509" s="71">
        <f t="shared" si="126"/>
        <v>1</v>
      </c>
      <c r="O509" s="71">
        <f t="shared" si="127"/>
        <v>0.32389575319830471</v>
      </c>
      <c r="P509" s="71">
        <f t="shared" si="127"/>
        <v>0.67610424680169534</v>
      </c>
      <c r="Q509" s="71">
        <f t="shared" si="127"/>
        <v>0</v>
      </c>
    </row>
    <row r="510" spans="1:17" x14ac:dyDescent="0.2">
      <c r="A510" s="60">
        <v>10</v>
      </c>
      <c r="B510" s="48" t="s">
        <v>1179</v>
      </c>
      <c r="C510" s="58"/>
      <c r="D510" s="71">
        <f t="shared" si="122"/>
        <v>0</v>
      </c>
      <c r="F510" s="71">
        <f t="shared" si="123"/>
        <v>0</v>
      </c>
      <c r="G510" s="71"/>
      <c r="H510" s="71">
        <f t="shared" si="124"/>
        <v>0</v>
      </c>
      <c r="I510" s="71">
        <f t="shared" si="124"/>
        <v>0</v>
      </c>
      <c r="K510" s="71"/>
      <c r="L510" s="71">
        <f t="shared" si="125"/>
        <v>0</v>
      </c>
      <c r="M510" s="71"/>
      <c r="N510" s="71">
        <f t="shared" si="126"/>
        <v>0</v>
      </c>
      <c r="O510" s="71">
        <f t="shared" si="127"/>
        <v>0</v>
      </c>
      <c r="P510" s="71">
        <f t="shared" si="127"/>
        <v>0</v>
      </c>
      <c r="Q510" s="71">
        <f t="shared" si="127"/>
        <v>0</v>
      </c>
    </row>
    <row r="511" spans="1:17" x14ac:dyDescent="0.2">
      <c r="A511" s="60">
        <v>11</v>
      </c>
      <c r="B511" s="113" t="s">
        <v>1378</v>
      </c>
      <c r="C511" s="58"/>
      <c r="D511" s="71">
        <f t="shared" si="122"/>
        <v>0</v>
      </c>
      <c r="F511" s="71">
        <f t="shared" si="123"/>
        <v>0</v>
      </c>
      <c r="G511" s="71"/>
      <c r="H511" s="71">
        <f t="shared" si="124"/>
        <v>0</v>
      </c>
      <c r="I511" s="71">
        <f t="shared" si="124"/>
        <v>0</v>
      </c>
      <c r="K511" s="71"/>
      <c r="L511" s="71">
        <f t="shared" si="125"/>
        <v>0</v>
      </c>
      <c r="M511" s="71"/>
      <c r="N511" s="71">
        <f t="shared" si="126"/>
        <v>0</v>
      </c>
      <c r="O511" s="71">
        <f t="shared" si="127"/>
        <v>0</v>
      </c>
      <c r="P511" s="71">
        <f t="shared" si="127"/>
        <v>0</v>
      </c>
      <c r="Q511" s="71">
        <f t="shared" si="127"/>
        <v>0</v>
      </c>
    </row>
    <row r="512" spans="1:17" x14ac:dyDescent="0.2">
      <c r="A512" s="60">
        <v>12</v>
      </c>
      <c r="C512" s="58"/>
      <c r="D512" s="71"/>
      <c r="F512" s="71"/>
      <c r="G512" s="71"/>
      <c r="H512" s="71"/>
      <c r="I512" s="71"/>
      <c r="K512" s="71"/>
      <c r="L512" s="71"/>
      <c r="M512" s="71"/>
      <c r="N512" s="71"/>
      <c r="O512" s="71"/>
      <c r="P512" s="71"/>
      <c r="Q512" s="71"/>
    </row>
    <row r="513" spans="1:17" x14ac:dyDescent="0.2">
      <c r="A513" s="60">
        <v>13</v>
      </c>
      <c r="C513" s="58"/>
      <c r="D513" s="71"/>
      <c r="F513" s="71"/>
      <c r="G513" s="71"/>
      <c r="H513" s="71"/>
      <c r="I513" s="71"/>
      <c r="K513" s="71"/>
      <c r="L513" s="71"/>
      <c r="M513" s="71"/>
      <c r="N513" s="71"/>
      <c r="O513" s="71"/>
      <c r="P513" s="71"/>
      <c r="Q513" s="71"/>
    </row>
    <row r="514" spans="1:17" x14ac:dyDescent="0.2">
      <c r="A514" s="60">
        <v>14</v>
      </c>
      <c r="C514" s="58"/>
    </row>
    <row r="515" spans="1:17" x14ac:dyDescent="0.2">
      <c r="A515" s="60">
        <v>15</v>
      </c>
      <c r="C515" s="58"/>
    </row>
    <row r="516" spans="1:17" x14ac:dyDescent="0.2">
      <c r="A516" s="60">
        <v>16</v>
      </c>
      <c r="C516" s="58"/>
    </row>
    <row r="517" spans="1:17" x14ac:dyDescent="0.2">
      <c r="A517" s="60">
        <v>17</v>
      </c>
      <c r="C517" s="58"/>
    </row>
    <row r="518" spans="1:17" x14ac:dyDescent="0.2">
      <c r="A518" s="60">
        <v>18</v>
      </c>
      <c r="C518" s="58"/>
    </row>
    <row r="519" spans="1:17" x14ac:dyDescent="0.2">
      <c r="C519" s="58"/>
    </row>
    <row r="520" spans="1:17" x14ac:dyDescent="0.2">
      <c r="C520" s="58"/>
    </row>
    <row r="521" spans="1:17" x14ac:dyDescent="0.2">
      <c r="C521" s="58"/>
    </row>
    <row r="522" spans="1:17" x14ac:dyDescent="0.2">
      <c r="C522" s="58"/>
    </row>
    <row r="523" spans="1:17" x14ac:dyDescent="0.2">
      <c r="C523" s="58"/>
    </row>
    <row r="524" spans="1:17" x14ac:dyDescent="0.2">
      <c r="C524" s="58"/>
    </row>
    <row r="525" spans="1:17" x14ac:dyDescent="0.2">
      <c r="C525" s="58"/>
    </row>
    <row r="526" spans="1:17" x14ac:dyDescent="0.2">
      <c r="C526" s="58"/>
    </row>
    <row r="527" spans="1:17" x14ac:dyDescent="0.2">
      <c r="C527" s="58"/>
    </row>
    <row r="528" spans="1:17" x14ac:dyDescent="0.2">
      <c r="B528" s="72"/>
      <c r="C528" s="58"/>
    </row>
    <row r="529" spans="1:17" x14ac:dyDescent="0.2">
      <c r="C529" s="58"/>
    </row>
    <row r="530" spans="1:17" x14ac:dyDescent="0.2">
      <c r="C530" s="58"/>
    </row>
    <row r="531" spans="1:17" x14ac:dyDescent="0.2">
      <c r="C531" s="58"/>
    </row>
    <row r="532" spans="1:17" x14ac:dyDescent="0.2">
      <c r="C532" s="58"/>
    </row>
    <row r="533" spans="1:17" x14ac:dyDescent="0.2">
      <c r="C533" s="58"/>
    </row>
    <row r="534" spans="1:17" x14ac:dyDescent="0.2">
      <c r="C534" s="58"/>
    </row>
    <row r="535" spans="1:17" x14ac:dyDescent="0.2">
      <c r="C535" s="58"/>
    </row>
    <row r="536" spans="1:17" x14ac:dyDescent="0.2">
      <c r="C536" s="58"/>
    </row>
    <row r="537" spans="1:17" x14ac:dyDescent="0.2">
      <c r="B537" s="64" t="s">
        <v>1208</v>
      </c>
      <c r="C537" s="58"/>
      <c r="D537" s="58"/>
      <c r="E537" s="58"/>
      <c r="F537" s="58"/>
      <c r="G537" s="58"/>
      <c r="I537" s="58"/>
      <c r="J537" s="58"/>
      <c r="K537" s="58"/>
    </row>
    <row r="538" spans="1:17" x14ac:dyDescent="0.2">
      <c r="C538" s="58"/>
    </row>
    <row r="539" spans="1:17" x14ac:dyDescent="0.2">
      <c r="B539" s="48" t="s">
        <v>1209</v>
      </c>
      <c r="C539" s="58"/>
    </row>
    <row r="540" spans="1:17" x14ac:dyDescent="0.2">
      <c r="C540" s="58"/>
    </row>
    <row r="541" spans="1:17" x14ac:dyDescent="0.2">
      <c r="A541" s="60">
        <v>1</v>
      </c>
      <c r="B541" s="48" t="s">
        <v>1210</v>
      </c>
      <c r="C541" s="58"/>
      <c r="D541" s="66">
        <f ca="1">SUM(F541:I541)+K541</f>
        <v>6492570022.5200014</v>
      </c>
      <c r="F541" s="60">
        <f ca="1">F753</f>
        <v>5653048566.0583582</v>
      </c>
      <c r="H541" s="60">
        <f ca="1">H753</f>
        <v>385619848.42484289</v>
      </c>
      <c r="I541" s="60">
        <f ca="1">(L541+M541+N541)</f>
        <v>453901608.03680044</v>
      </c>
      <c r="L541" s="60">
        <f ca="1">L753</f>
        <v>204724.27671333775</v>
      </c>
      <c r="M541" s="60"/>
      <c r="N541" s="60">
        <f ca="1">SUM(O541:Q541)</f>
        <v>453696883.76008713</v>
      </c>
      <c r="O541" s="60">
        <f ca="1">O753</f>
        <v>144053837.02218154</v>
      </c>
      <c r="P541" s="60">
        <f ca="1">P753</f>
        <v>309643046.73790562</v>
      </c>
      <c r="Q541" s="60">
        <f ca="1">Q753</f>
        <v>8.8488281144771059E-12</v>
      </c>
    </row>
    <row r="542" spans="1:17" x14ac:dyDescent="0.2">
      <c r="C542" s="58"/>
    </row>
    <row r="543" spans="1:17" x14ac:dyDescent="0.2">
      <c r="A543" s="60">
        <v>2</v>
      </c>
      <c r="B543" s="48" t="s">
        <v>1211</v>
      </c>
      <c r="C543" s="58"/>
      <c r="D543" s="66">
        <f ca="1">SUM(F543:I543)+K543</f>
        <v>2419286203.2700005</v>
      </c>
      <c r="F543" s="60">
        <f ca="1">F796</f>
        <v>2091528460.1268773</v>
      </c>
      <c r="H543" s="60">
        <f ca="1">H796</f>
        <v>159664577.96647444</v>
      </c>
      <c r="I543" s="60">
        <f ca="1">(L543+M543+N543)</f>
        <v>168093165.17664853</v>
      </c>
      <c r="L543" s="60">
        <f ca="1">L796</f>
        <v>156838.07680747</v>
      </c>
      <c r="M543" s="60"/>
      <c r="N543" s="60">
        <f ca="1">SUM(O543:Q543)</f>
        <v>167936327.09984106</v>
      </c>
      <c r="O543" s="60">
        <f ca="1">O796</f>
        <v>53369104.810249016</v>
      </c>
      <c r="P543" s="60">
        <f ca="1">P796</f>
        <v>114567222.28959204</v>
      </c>
      <c r="Q543" s="60">
        <f ca="1">Q796</f>
        <v>3.5056204241065819E-12</v>
      </c>
    </row>
    <row r="544" spans="1:17" x14ac:dyDescent="0.2">
      <c r="A544" s="60">
        <v>3</v>
      </c>
      <c r="B544" s="48" t="s">
        <v>1212</v>
      </c>
      <c r="C544" s="58"/>
      <c r="D544" s="66">
        <f ca="1">SUM(F544:I544)+K544</f>
        <v>4073283819.250001</v>
      </c>
      <c r="F544" s="60">
        <f ca="1">F541-F543</f>
        <v>3561520105.9314809</v>
      </c>
      <c r="H544" s="60">
        <f ca="1">H541-H543</f>
        <v>225955270.45836845</v>
      </c>
      <c r="I544" s="60">
        <f ca="1">(L544+M544+N544)</f>
        <v>285808442.86015201</v>
      </c>
      <c r="L544" s="60">
        <f ca="1">L541-L543</f>
        <v>47886.199905867747</v>
      </c>
      <c r="M544" s="60"/>
      <c r="N544" s="60">
        <f ca="1">SUM(O544:Q544)</f>
        <v>285760556.66024613</v>
      </c>
      <c r="O544" s="60">
        <f ca="1">O541-O543</f>
        <v>90684732.211932525</v>
      </c>
      <c r="P544" s="60">
        <f ca="1">P541-P543</f>
        <v>195075824.44831359</v>
      </c>
      <c r="Q544" s="60">
        <f ca="1">Q541-Q543</f>
        <v>5.3432076903705236E-12</v>
      </c>
    </row>
    <row r="545" spans="1:17" x14ac:dyDescent="0.2">
      <c r="C545" s="58"/>
    </row>
    <row r="546" spans="1:17" x14ac:dyDescent="0.2">
      <c r="A546" s="60">
        <v>4</v>
      </c>
      <c r="B546" s="48" t="s">
        <v>1216</v>
      </c>
      <c r="C546" s="58"/>
      <c r="D546" s="66">
        <f ca="1">SUM(F546:I546)+K546</f>
        <v>345238438.32000029</v>
      </c>
      <c r="F546" s="60">
        <f ca="1">F825</f>
        <v>299562999.97091067</v>
      </c>
      <c r="H546" s="60">
        <f ca="1">H825</f>
        <v>18539713.584298965</v>
      </c>
      <c r="I546" s="60">
        <f ca="1">(L546+M546+N546)</f>
        <v>27135724.764790684</v>
      </c>
      <c r="L546" s="60">
        <f ca="1">L825</f>
        <v>2778.9719701127019</v>
      </c>
      <c r="M546" s="60"/>
      <c r="N546" s="60">
        <f ca="1">SUM(O546:Q546)</f>
        <v>27132945.792820573</v>
      </c>
      <c r="O546" s="60">
        <f ca="1">O825</f>
        <v>8513304.0579622462</v>
      </c>
      <c r="P546" s="60">
        <f ca="1">P825</f>
        <v>18619641.734858327</v>
      </c>
      <c r="Q546" s="60">
        <f ca="1">Q825</f>
        <v>8.7070196738875489E-13</v>
      </c>
    </row>
    <row r="547" spans="1:17" x14ac:dyDescent="0.2">
      <c r="A547" s="60">
        <v>5</v>
      </c>
      <c r="B547" s="48" t="s">
        <v>1217</v>
      </c>
      <c r="C547" s="58"/>
      <c r="D547" s="66">
        <f ca="1">SUM(F547:I547)+K547</f>
        <v>4418522257.5700016</v>
      </c>
      <c r="F547" s="60">
        <f ca="1">F544+F546</f>
        <v>3861083105.9023914</v>
      </c>
      <c r="H547" s="60">
        <f ca="1">H544+H546</f>
        <v>244494984.04266742</v>
      </c>
      <c r="I547" s="60">
        <f ca="1">(L547+M547+N547)</f>
        <v>312944167.62494266</v>
      </c>
      <c r="L547" s="60">
        <f ca="1">L544+L546</f>
        <v>50665.17187598045</v>
      </c>
      <c r="M547" s="60"/>
      <c r="N547" s="60">
        <f ca="1">SUM(O547:Q547)</f>
        <v>312893502.45306671</v>
      </c>
      <c r="O547" s="60">
        <f ca="1">O544+O546</f>
        <v>99198036.269894779</v>
      </c>
      <c r="P547" s="60">
        <f ca="1">P544+P546</f>
        <v>213695466.18317193</v>
      </c>
      <c r="Q547" s="60">
        <f ca="1">Q544+Q546</f>
        <v>6.2139096577592784E-12</v>
      </c>
    </row>
    <row r="548" spans="1:17" x14ac:dyDescent="0.2">
      <c r="C548" s="58"/>
    </row>
    <row r="549" spans="1:17" x14ac:dyDescent="0.2">
      <c r="B549" s="48" t="s">
        <v>1218</v>
      </c>
      <c r="C549" s="58"/>
    </row>
    <row r="550" spans="1:17" x14ac:dyDescent="0.2">
      <c r="A550" s="60">
        <v>6</v>
      </c>
      <c r="B550" s="48" t="s">
        <v>1219</v>
      </c>
      <c r="C550" s="58"/>
      <c r="D550" s="66">
        <f t="shared" ref="D550:D555" ca="1" si="128">SUM(F550:I550)+K550</f>
        <v>43434958.902090006</v>
      </c>
      <c r="F550" s="60">
        <f ca="1">F836</f>
        <v>37642730.803150259</v>
      </c>
      <c r="H550" s="60">
        <f ca="1">H836</f>
        <v>2561509.7063087318</v>
      </c>
      <c r="I550" s="60">
        <f t="shared" ref="I550:I555" ca="1" si="129">(L550+M550+N550)</f>
        <v>3230718.3926310134</v>
      </c>
      <c r="L550" s="60">
        <f ca="1">L836</f>
        <v>1156.8577562733033</v>
      </c>
      <c r="M550" s="60"/>
      <c r="N550" s="60">
        <f t="shared" ref="N550:N555" ca="1" si="130">SUM(O550:Q550)</f>
        <v>3229561.5348747401</v>
      </c>
      <c r="O550" s="60">
        <f ca="1">O836</f>
        <v>1020690.0384793777</v>
      </c>
      <c r="P550" s="60">
        <f ca="1">P836</f>
        <v>2208871.4963953621</v>
      </c>
      <c r="Q550" s="60">
        <f ca="1">Q836</f>
        <v>0</v>
      </c>
    </row>
    <row r="551" spans="1:17" x14ac:dyDescent="0.2">
      <c r="A551" s="60">
        <v>7</v>
      </c>
      <c r="B551" s="48" t="s">
        <v>1220</v>
      </c>
      <c r="C551" s="58"/>
      <c r="D551" s="66">
        <f t="shared" ca="1" si="128"/>
        <v>89278977.999999985</v>
      </c>
      <c r="F551" s="60">
        <f ca="1">F829</f>
        <v>77455484.262884691</v>
      </c>
      <c r="H551" s="60">
        <f ca="1">H829</f>
        <v>4095410.6387411822</v>
      </c>
      <c r="I551" s="60">
        <f t="shared" ca="1" si="129"/>
        <v>7728083.098374119</v>
      </c>
      <c r="L551" s="60">
        <f ca="1">L829</f>
        <v>425.78195862202313</v>
      </c>
      <c r="M551" s="60"/>
      <c r="N551" s="60">
        <f t="shared" ca="1" si="130"/>
        <v>7727657.3164154971</v>
      </c>
      <c r="O551" s="60">
        <f ca="1">O829</f>
        <v>2522667.1611161698</v>
      </c>
      <c r="P551" s="60">
        <f ca="1">P829</f>
        <v>5204990.1552993273</v>
      </c>
      <c r="Q551" s="60">
        <f ca="1">Q829</f>
        <v>0</v>
      </c>
    </row>
    <row r="552" spans="1:17" x14ac:dyDescent="0.2">
      <c r="A552" s="60">
        <v>8</v>
      </c>
      <c r="B552" s="48" t="s">
        <v>1221</v>
      </c>
      <c r="C552" s="58"/>
      <c r="D552" s="66">
        <f t="shared" ca="1" si="128"/>
        <v>7326675.9999999991</v>
      </c>
      <c r="F552" s="60">
        <f ca="1">F842</f>
        <v>6567466.8476915052</v>
      </c>
      <c r="H552" s="60">
        <f ca="1">H842</f>
        <v>360096.60715444217</v>
      </c>
      <c r="I552" s="60">
        <f t="shared" ca="1" si="129"/>
        <v>399112.54515405226</v>
      </c>
      <c r="L552" s="60">
        <f ca="1">L842</f>
        <v>195.76879170054093</v>
      </c>
      <c r="M552" s="60"/>
      <c r="N552" s="60">
        <f t="shared" ca="1" si="130"/>
        <v>398916.77636235172</v>
      </c>
      <c r="O552" s="60">
        <f ca="1">O842</f>
        <v>127831.72843074553</v>
      </c>
      <c r="P552" s="60">
        <f ca="1">P842</f>
        <v>271085.04793160618</v>
      </c>
      <c r="Q552" s="60">
        <f ca="1">Q842</f>
        <v>1.8334901919395626E-13</v>
      </c>
    </row>
    <row r="553" spans="1:17" x14ac:dyDescent="0.2">
      <c r="A553" s="60">
        <v>9</v>
      </c>
      <c r="B553" s="48" t="s">
        <v>1222</v>
      </c>
      <c r="C553" s="58"/>
      <c r="D553" s="66">
        <f t="shared" ca="1" si="128"/>
        <v>104067439.13621081</v>
      </c>
      <c r="F553" s="60">
        <f ca="1">F844</f>
        <v>96090910.252275959</v>
      </c>
      <c r="H553" s="60">
        <f>H844</f>
        <v>0</v>
      </c>
      <c r="I553" s="60">
        <f t="shared" ca="1" si="129"/>
        <v>7976528.8839348536</v>
      </c>
      <c r="L553" s="60">
        <f ca="1">L844</f>
        <v>1716.2047600187343</v>
      </c>
      <c r="M553" s="60"/>
      <c r="N553" s="60">
        <f t="shared" ca="1" si="130"/>
        <v>7974812.6791748349</v>
      </c>
      <c r="O553" s="60">
        <f ca="1">O844</f>
        <v>2592827.9473244175</v>
      </c>
      <c r="P553" s="60">
        <f ca="1">P844</f>
        <v>5381984.7318504173</v>
      </c>
      <c r="Q553" s="60">
        <f ca="1">Q844</f>
        <v>6.1148525802722101E-13</v>
      </c>
    </row>
    <row r="554" spans="1:17" x14ac:dyDescent="0.2">
      <c r="A554" s="60">
        <v>10</v>
      </c>
      <c r="B554" s="48" t="s">
        <v>1223</v>
      </c>
      <c r="C554" s="58"/>
      <c r="D554" s="66">
        <f t="shared" ca="1" si="128"/>
        <v>480272</v>
      </c>
      <c r="F554" s="60">
        <f ca="1">F848</f>
        <v>415670.69643548207</v>
      </c>
      <c r="H554" s="60">
        <f ca="1">H848</f>
        <v>24411.106095953157</v>
      </c>
      <c r="I554" s="60">
        <f t="shared" ca="1" si="129"/>
        <v>40190.197468564773</v>
      </c>
      <c r="L554" s="60">
        <f ca="1">L848</f>
        <v>3.6752643926457633</v>
      </c>
      <c r="M554" s="60"/>
      <c r="N554" s="60">
        <f t="shared" ca="1" si="130"/>
        <v>40186.522204172128</v>
      </c>
      <c r="O554" s="60">
        <f ca="1">O848</f>
        <v>12539.214551051777</v>
      </c>
      <c r="P554" s="60">
        <f ca="1">P848</f>
        <v>27647.307653120348</v>
      </c>
      <c r="Q554" s="60">
        <f ca="1">Q848</f>
        <v>0</v>
      </c>
    </row>
    <row r="555" spans="1:17" x14ac:dyDescent="0.2">
      <c r="A555" s="60">
        <v>11</v>
      </c>
      <c r="B555" s="48" t="s">
        <v>1224</v>
      </c>
      <c r="C555" s="58"/>
      <c r="D555" s="66">
        <f t="shared" ca="1" si="128"/>
        <v>244588324.03830078</v>
      </c>
      <c r="F555" s="60">
        <f ca="1">SUM(F550:F554)</f>
        <v>218172262.86243787</v>
      </c>
      <c r="H555" s="60">
        <f ca="1">SUM(H550:H554)</f>
        <v>7041428.0583003089</v>
      </c>
      <c r="I555" s="60">
        <f t="shared" ca="1" si="129"/>
        <v>19374633.117562603</v>
      </c>
      <c r="L555" s="60">
        <f ca="1">SUM(L550:L554)</f>
        <v>3498.2885310072475</v>
      </c>
      <c r="M555" s="60"/>
      <c r="N555" s="60">
        <f t="shared" ca="1" si="130"/>
        <v>19371134.829031594</v>
      </c>
      <c r="O555" s="60">
        <f ca="1">SUM(O550:O554)</f>
        <v>6276556.0899017621</v>
      </c>
      <c r="P555" s="60">
        <f ca="1">SUM(P550:P554)</f>
        <v>13094578.739129832</v>
      </c>
      <c r="Q555" s="60">
        <f ca="1">SUM(Q550:Q554)</f>
        <v>7.9483427722117725E-13</v>
      </c>
    </row>
    <row r="556" spans="1:17" x14ac:dyDescent="0.2">
      <c r="C556" s="58"/>
    </row>
    <row r="557" spans="1:17" x14ac:dyDescent="0.2">
      <c r="B557" s="48" t="s">
        <v>1225</v>
      </c>
      <c r="C557" s="58"/>
    </row>
    <row r="558" spans="1:17" x14ac:dyDescent="0.2">
      <c r="A558" s="60">
        <v>12</v>
      </c>
      <c r="B558" s="48" t="s">
        <v>1226</v>
      </c>
      <c r="C558" s="58"/>
      <c r="D558" s="66">
        <f ca="1">SUM(F558:I558)+K558</f>
        <v>502196487</v>
      </c>
      <c r="F558" s="60">
        <f ca="1">F877</f>
        <v>439643556.61911047</v>
      </c>
      <c r="H558" s="60">
        <f ca="1">H877</f>
        <v>28594743.338706903</v>
      </c>
      <c r="I558" s="60">
        <f t="shared" ref="I558:I564" ca="1" si="131">(L558+M558+N558)</f>
        <v>33958187.042182602</v>
      </c>
      <c r="L558" s="60">
        <f ca="1">L877</f>
        <v>15555.226944573948</v>
      </c>
      <c r="M558" s="60"/>
      <c r="N558" s="60">
        <f t="shared" ref="N558:N564" ca="1" si="132">SUM(O558:Q558)</f>
        <v>33942631.815238029</v>
      </c>
      <c r="O558" s="60">
        <f ca="1">O877</f>
        <v>10778578.07570019</v>
      </c>
      <c r="P558" s="60">
        <f ca="1">P877</f>
        <v>23164053.739537839</v>
      </c>
      <c r="Q558" s="60">
        <f ca="1">Q877</f>
        <v>6.5897646045559955E-13</v>
      </c>
    </row>
    <row r="559" spans="1:17" x14ac:dyDescent="0.2">
      <c r="A559" s="60">
        <v>13</v>
      </c>
      <c r="B559" s="48" t="s">
        <v>1227</v>
      </c>
      <c r="C559" s="58"/>
      <c r="D559" s="66">
        <f ca="1">SUM(F559:I559)+K559</f>
        <v>100707740</v>
      </c>
      <c r="F559" s="60">
        <f ca="1">F886</f>
        <v>86299724.418162271</v>
      </c>
      <c r="H559" s="60">
        <f ca="1">H886</f>
        <v>5223560.284217543</v>
      </c>
      <c r="I559" s="60">
        <f t="shared" ca="1" si="131"/>
        <v>9184455.2976201847</v>
      </c>
      <c r="L559" s="60">
        <f ca="1">L886</f>
        <v>763.04225188133717</v>
      </c>
      <c r="M559" s="60"/>
      <c r="N559" s="60">
        <f t="shared" ca="1" si="132"/>
        <v>9183692.2553683035</v>
      </c>
      <c r="O559" s="60">
        <f ca="1">O886</f>
        <v>2865544.9948077453</v>
      </c>
      <c r="P559" s="60">
        <f ca="1">P886</f>
        <v>6318147.2605605591</v>
      </c>
      <c r="Q559" s="60">
        <f ca="1">Q886</f>
        <v>0</v>
      </c>
    </row>
    <row r="560" spans="1:17" x14ac:dyDescent="0.2">
      <c r="A560" s="60">
        <v>14</v>
      </c>
      <c r="B560" s="48" t="s">
        <v>1228</v>
      </c>
      <c r="C560" s="58"/>
      <c r="D560" s="66">
        <f ca="1">SUM(F560:I560)+K560</f>
        <v>3147887.16</v>
      </c>
      <c r="F560" s="60">
        <f ca="1">F888</f>
        <v>2936188.7806725097</v>
      </c>
      <c r="H560" s="60">
        <f ca="1">H888</f>
        <v>211698.37932749046</v>
      </c>
      <c r="I560" s="60">
        <f t="shared" ca="1" si="131"/>
        <v>0</v>
      </c>
      <c r="L560" s="60">
        <f ca="1">L888</f>
        <v>0</v>
      </c>
      <c r="M560" s="60"/>
      <c r="N560" s="60">
        <f t="shared" ca="1" si="132"/>
        <v>0</v>
      </c>
      <c r="O560" s="60">
        <f t="shared" ref="O560:Q562" ca="1" si="133">O888</f>
        <v>0</v>
      </c>
      <c r="P560" s="60">
        <f t="shared" ca="1" si="133"/>
        <v>0</v>
      </c>
      <c r="Q560" s="60">
        <f t="shared" ca="1" si="133"/>
        <v>0</v>
      </c>
    </row>
    <row r="561" spans="1:17" x14ac:dyDescent="0.2">
      <c r="A561" s="60">
        <v>15</v>
      </c>
      <c r="B561" s="70" t="s">
        <v>871</v>
      </c>
      <c r="C561" s="58"/>
      <c r="D561" s="60">
        <f>D889</f>
        <v>23057677.960000001</v>
      </c>
      <c r="F561" s="60">
        <f>F889</f>
        <v>0</v>
      </c>
      <c r="H561" s="60">
        <f ca="1">H889</f>
        <v>525361.27</v>
      </c>
      <c r="I561" s="60">
        <f t="shared" ca="1" si="131"/>
        <v>0</v>
      </c>
      <c r="L561" s="60">
        <f ca="1">L889</f>
        <v>0</v>
      </c>
      <c r="M561" s="60"/>
      <c r="N561" s="60">
        <f t="shared" ca="1" si="132"/>
        <v>0</v>
      </c>
      <c r="O561" s="60">
        <f t="shared" ca="1" si="133"/>
        <v>0</v>
      </c>
      <c r="P561" s="60">
        <f t="shared" ca="1" si="133"/>
        <v>0</v>
      </c>
      <c r="Q561" s="60">
        <f t="shared" ca="1" si="133"/>
        <v>0</v>
      </c>
    </row>
    <row r="562" spans="1:17" x14ac:dyDescent="0.2">
      <c r="A562" s="60">
        <v>16</v>
      </c>
      <c r="B562" s="48" t="s">
        <v>754</v>
      </c>
      <c r="C562" s="58"/>
      <c r="D562" s="60">
        <f ca="1">D890</f>
        <v>-2824747</v>
      </c>
      <c r="F562" s="60">
        <f ca="1">F890</f>
        <v>0</v>
      </c>
      <c r="H562" s="60">
        <f ca="1">H890</f>
        <v>-2824747</v>
      </c>
      <c r="I562" s="60">
        <f t="shared" ca="1" si="131"/>
        <v>0</v>
      </c>
      <c r="L562" s="60">
        <f ca="1">L890</f>
        <v>0</v>
      </c>
      <c r="M562" s="60"/>
      <c r="N562" s="60">
        <f t="shared" ca="1" si="132"/>
        <v>0</v>
      </c>
      <c r="O562" s="60">
        <f t="shared" ca="1" si="133"/>
        <v>0</v>
      </c>
      <c r="P562" s="60">
        <f t="shared" ca="1" si="133"/>
        <v>0</v>
      </c>
      <c r="Q562" s="60">
        <f t="shared" ca="1" si="133"/>
        <v>0</v>
      </c>
    </row>
    <row r="563" spans="1:17" x14ac:dyDescent="0.2">
      <c r="A563" s="60">
        <v>17</v>
      </c>
      <c r="B563" s="70" t="s">
        <v>870</v>
      </c>
      <c r="D563" s="60">
        <f>D891</f>
        <v>59597737.969999999</v>
      </c>
      <c r="F563" s="60">
        <f>F891</f>
        <v>0</v>
      </c>
      <c r="H563" s="60">
        <f ca="1">H891</f>
        <v>3265538.018409566</v>
      </c>
      <c r="I563" s="66">
        <f t="shared" si="131"/>
        <v>0</v>
      </c>
      <c r="J563" s="60"/>
      <c r="K563" s="60"/>
      <c r="L563" s="66">
        <f>L891</f>
        <v>0</v>
      </c>
      <c r="M563" s="60"/>
      <c r="N563" s="66">
        <f t="shared" si="132"/>
        <v>0</v>
      </c>
      <c r="O563" s="66">
        <f>O891</f>
        <v>0</v>
      </c>
      <c r="P563" s="66">
        <f>P891</f>
        <v>0</v>
      </c>
      <c r="Q563" s="60">
        <f>Q891</f>
        <v>0</v>
      </c>
    </row>
    <row r="564" spans="1:17" x14ac:dyDescent="0.2">
      <c r="A564" s="60">
        <v>18</v>
      </c>
      <c r="B564" s="48" t="s">
        <v>1229</v>
      </c>
      <c r="C564" s="58"/>
      <c r="D564" s="60">
        <f ca="1">SUM(D558:D563)</f>
        <v>685882783.09000003</v>
      </c>
      <c r="F564" s="60">
        <f ca="1">SUM(F558:F563)</f>
        <v>528879469.81794524</v>
      </c>
      <c r="H564" s="60">
        <f ca="1">SUM(H558:H563)</f>
        <v>34996154.290661506</v>
      </c>
      <c r="I564" s="60">
        <f t="shared" ca="1" si="131"/>
        <v>43142642.339802794</v>
      </c>
      <c r="L564" s="60">
        <f ca="1">SUM(L558:L563)</f>
        <v>16318.269196455285</v>
      </c>
      <c r="M564" s="60"/>
      <c r="N564" s="60">
        <f t="shared" ca="1" si="132"/>
        <v>43126324.070606336</v>
      </c>
      <c r="O564" s="60">
        <f ca="1">SUM(O558:O563)</f>
        <v>13644123.070507936</v>
      </c>
      <c r="P564" s="60">
        <f ca="1">SUM(P558:P563)</f>
        <v>29482201.0000984</v>
      </c>
      <c r="Q564" s="60">
        <f ca="1">SUM(Q558:Q563)</f>
        <v>6.5897646045559955E-13</v>
      </c>
    </row>
    <row r="565" spans="1:17" x14ac:dyDescent="0.2">
      <c r="C565" s="58"/>
    </row>
    <row r="566" spans="1:17" x14ac:dyDescent="0.2">
      <c r="A566" s="60">
        <v>19</v>
      </c>
      <c r="B566" s="48" t="s">
        <v>1230</v>
      </c>
      <c r="C566" s="58"/>
      <c r="D566" s="60">
        <f ca="1">D547+D555-D564</f>
        <v>3977227798.518302</v>
      </c>
      <c r="F566" s="60">
        <f ca="1">F547+F555-F564</f>
        <v>3550375898.9468842</v>
      </c>
      <c r="H566" s="60">
        <f ca="1">H547+H555-H564</f>
        <v>216540257.81030622</v>
      </c>
      <c r="I566" s="60">
        <f ca="1">(L566+M566+N566)</f>
        <v>289176158.40270245</v>
      </c>
      <c r="L566" s="60">
        <f ca="1">L547+L555-L564</f>
        <v>37845.191210532408</v>
      </c>
      <c r="M566" s="60"/>
      <c r="N566" s="60">
        <f ca="1">SUM(O566:Q566)</f>
        <v>289138313.21149194</v>
      </c>
      <c r="O566" s="60">
        <f ca="1">O547+O555-O564</f>
        <v>91830469.28928861</v>
      </c>
      <c r="P566" s="60">
        <f ca="1">P547+P555-P564</f>
        <v>197307843.92220336</v>
      </c>
      <c r="Q566" s="60">
        <f ca="1">Q547+Q555-Q564</f>
        <v>6.3497674745248559E-12</v>
      </c>
    </row>
    <row r="567" spans="1:17" x14ac:dyDescent="0.2">
      <c r="C567" s="58"/>
    </row>
    <row r="568" spans="1:17" x14ac:dyDescent="0.2">
      <c r="B568" s="48" t="s">
        <v>1231</v>
      </c>
      <c r="C568" s="58"/>
    </row>
    <row r="569" spans="1:17" x14ac:dyDescent="0.2">
      <c r="A569" s="60">
        <v>20</v>
      </c>
      <c r="B569" s="48" t="s">
        <v>1232</v>
      </c>
      <c r="C569" s="58"/>
      <c r="D569" s="66">
        <f ca="1">SUM(F569:I569)+K569</f>
        <v>1522035956.74</v>
      </c>
      <c r="F569" s="60">
        <f ca="1">F932</f>
        <v>1342076919.5654504</v>
      </c>
      <c r="H569" s="60">
        <f ca="1">H932</f>
        <v>75816559.35003905</v>
      </c>
      <c r="I569" s="60">
        <f ca="1">(L569+M569+N569)</f>
        <v>104142477.82451053</v>
      </c>
      <c r="L569" s="60">
        <f ca="1">L932</f>
        <v>6663.0818311375333</v>
      </c>
      <c r="M569" s="60"/>
      <c r="N569" s="60">
        <f ca="1">SUM(O569:Q569)</f>
        <v>104135814.74267939</v>
      </c>
      <c r="O569" s="60">
        <f ca="1">O932</f>
        <v>33654442.050709493</v>
      </c>
      <c r="P569" s="60">
        <f ca="1">P932</f>
        <v>70481372.691969886</v>
      </c>
      <c r="Q569" s="60">
        <f ca="1">Q932</f>
        <v>0</v>
      </c>
    </row>
    <row r="570" spans="1:17" x14ac:dyDescent="0.2">
      <c r="C570" s="58"/>
    </row>
    <row r="571" spans="1:17" x14ac:dyDescent="0.2">
      <c r="B571" s="48" t="s">
        <v>1233</v>
      </c>
      <c r="C571" s="58"/>
    </row>
    <row r="572" spans="1:17" x14ac:dyDescent="0.2">
      <c r="A572" s="60">
        <v>21</v>
      </c>
      <c r="B572" s="48" t="s">
        <v>1234</v>
      </c>
      <c r="C572" s="58"/>
      <c r="D572" s="66">
        <f t="shared" ref="D572:D581" ca="1" si="134">SUM(F572:I572)+K572</f>
        <v>980861389.39999998</v>
      </c>
      <c r="F572" s="60">
        <f ca="1">F1105</f>
        <v>858787982.80655313</v>
      </c>
      <c r="H572" s="60">
        <f ca="1">H1105</f>
        <v>49298743.593609117</v>
      </c>
      <c r="I572" s="60">
        <f t="shared" ref="I572:I582" ca="1" si="135">(L572+M572+N572)</f>
        <v>72774662.999837756</v>
      </c>
      <c r="L572" s="60">
        <f ca="1">L1105</f>
        <v>14249.990768725833</v>
      </c>
      <c r="M572" s="60"/>
      <c r="N572" s="60">
        <f t="shared" ref="N572:N582" ca="1" si="136">SUM(O572:Q572)</f>
        <v>72760413.009069026</v>
      </c>
      <c r="O572" s="60">
        <f ca="1">O1105</f>
        <v>23657671.477011081</v>
      </c>
      <c r="P572" s="60">
        <f ca="1">P1105</f>
        <v>49102741.532057948</v>
      </c>
      <c r="Q572" s="60">
        <f ca="1">Q1105</f>
        <v>4.8918820642177681E-12</v>
      </c>
    </row>
    <row r="573" spans="1:17" x14ac:dyDescent="0.2">
      <c r="A573" s="60">
        <v>22</v>
      </c>
      <c r="B573" s="48" t="s">
        <v>1235</v>
      </c>
      <c r="C573" s="58"/>
      <c r="D573" s="66">
        <f t="shared" ca="1" si="134"/>
        <v>192192743.09</v>
      </c>
      <c r="F573" s="60">
        <f ca="1">F1153</f>
        <v>167700748.64225844</v>
      </c>
      <c r="H573" s="60">
        <f ca="1">H1153</f>
        <v>10428735.887909818</v>
      </c>
      <c r="I573" s="60">
        <f t="shared" ca="1" si="135"/>
        <v>14063258.55983174</v>
      </c>
      <c r="L573" s="60">
        <f ca="1">L1153</f>
        <v>3776.6514252515553</v>
      </c>
      <c r="M573" s="60"/>
      <c r="N573" s="60">
        <f t="shared" ca="1" si="136"/>
        <v>14059481.908406489</v>
      </c>
      <c r="O573" s="60">
        <f ca="1">O1153</f>
        <v>4451800.5717718694</v>
      </c>
      <c r="P573" s="60">
        <f ca="1">P1153</f>
        <v>9607681.3366346192</v>
      </c>
      <c r="Q573" s="60">
        <f ca="1">Q1153</f>
        <v>1.0228976989095669E-14</v>
      </c>
    </row>
    <row r="574" spans="1:17" x14ac:dyDescent="0.2">
      <c r="A574" s="60">
        <v>23</v>
      </c>
      <c r="B574" s="48" t="s">
        <v>733</v>
      </c>
      <c r="C574" s="58"/>
      <c r="D574" s="66">
        <f t="shared" ca="1" si="134"/>
        <v>-6011854.4199999999</v>
      </c>
      <c r="F574" s="60">
        <f ca="1">F1179</f>
        <v>-5207773.4701500861</v>
      </c>
      <c r="H574" s="60">
        <f ca="1">H1179</f>
        <v>-303782.3994945992</v>
      </c>
      <c r="I574" s="60">
        <f ca="1">(L574+M574+N574)</f>
        <v>-500298.55035531416</v>
      </c>
      <c r="L574" s="60">
        <f ca="1">L1179</f>
        <v>-45.73148406846969</v>
      </c>
      <c r="M574" s="60"/>
      <c r="N574" s="60">
        <f ca="1">SUM(O574:Q574)</f>
        <v>-500252.81887124572</v>
      </c>
      <c r="O574" s="60">
        <f ca="1">O1179</f>
        <v>-156153.93622331505</v>
      </c>
      <c r="P574" s="60">
        <f ca="1">P1179</f>
        <v>-344098.8826479307</v>
      </c>
      <c r="Q574" s="60">
        <f>Q1154</f>
        <v>0</v>
      </c>
    </row>
    <row r="575" spans="1:17" x14ac:dyDescent="0.2">
      <c r="A575" s="60">
        <v>24</v>
      </c>
      <c r="B575" s="48" t="s">
        <v>1236</v>
      </c>
      <c r="C575" s="58"/>
      <c r="D575" s="66">
        <f t="shared" ca="1" si="134"/>
        <v>29144073.939999998</v>
      </c>
      <c r="F575" s="60">
        <f ca="1">F1213</f>
        <v>25846050.149582114</v>
      </c>
      <c r="H575" s="60">
        <f ca="1">H1213</f>
        <v>1501720.9336556299</v>
      </c>
      <c r="I575" s="60">
        <f t="shared" ca="1" si="135"/>
        <v>1796302.8567622532</v>
      </c>
      <c r="L575" s="60">
        <f ca="1">L1213</f>
        <v>465.49928022000717</v>
      </c>
      <c r="M575" s="60"/>
      <c r="N575" s="60">
        <f t="shared" ca="1" si="136"/>
        <v>1795837.3574820333</v>
      </c>
      <c r="O575" s="60">
        <f ca="1">O1213</f>
        <v>573097.75526088523</v>
      </c>
      <c r="P575" s="60">
        <f ca="1">P1213</f>
        <v>1222739.6022211481</v>
      </c>
      <c r="Q575" s="60">
        <f ca="1">Q1213</f>
        <v>5.0249717274480587E-13</v>
      </c>
    </row>
    <row r="576" spans="1:17" x14ac:dyDescent="0.2">
      <c r="A576" s="60">
        <v>25</v>
      </c>
      <c r="B576" s="48" t="s">
        <v>1237</v>
      </c>
      <c r="C576" s="58"/>
      <c r="D576" s="60">
        <f ca="1">D1281+D1291</f>
        <v>98561044.560000002</v>
      </c>
      <c r="F576" s="60">
        <f ca="1">F1281+F1291</f>
        <v>89659333.980000004</v>
      </c>
      <c r="H576" s="60">
        <f ca="1">H1281+H1291</f>
        <v>4324429.4808333945</v>
      </c>
      <c r="I576" s="60">
        <f t="shared" ca="1" si="135"/>
        <v>4532757.88</v>
      </c>
      <c r="L576" s="60">
        <f ca="1">L1281+L1291</f>
        <v>-4836.32</v>
      </c>
      <c r="M576" s="60"/>
      <c r="N576" s="60">
        <f t="shared" ca="1" si="136"/>
        <v>4537594.2</v>
      </c>
      <c r="O576" s="60">
        <f ca="1">O1281+O1291</f>
        <v>1455234.28</v>
      </c>
      <c r="P576" s="60">
        <f ca="1">P1281+P1291</f>
        <v>3082359.92</v>
      </c>
      <c r="Q576" s="60">
        <f ca="1">Q1281+Q1291</f>
        <v>-2.1595292485899491E-13</v>
      </c>
    </row>
    <row r="577" spans="1:23" x14ac:dyDescent="0.2">
      <c r="A577" s="60">
        <v>26</v>
      </c>
      <c r="B577" s="70" t="s">
        <v>869</v>
      </c>
      <c r="C577" s="58"/>
      <c r="D577" s="66">
        <f t="shared" ca="1" si="134"/>
        <v>-886.52</v>
      </c>
      <c r="F577" s="60">
        <f ca="1">F1215</f>
        <v>-767.27434829426568</v>
      </c>
      <c r="H577" s="60">
        <f ca="1">H1215</f>
        <v>-45.059744844972002</v>
      </c>
      <c r="I577" s="60">
        <f t="shared" ca="1" si="135"/>
        <v>-74.185906860762316</v>
      </c>
      <c r="L577" s="60">
        <f ca="1">L1215</f>
        <v>-6.7840627589539305E-3</v>
      </c>
      <c r="M577" s="60"/>
      <c r="N577" s="60">
        <f t="shared" ca="1" si="136"/>
        <v>-74.179122798003363</v>
      </c>
      <c r="O577" s="60">
        <f t="shared" ref="O577:Q579" ca="1" si="137">O1215</f>
        <v>-23.145768405816746</v>
      </c>
      <c r="P577" s="60">
        <f t="shared" ca="1" si="137"/>
        <v>-51.033354392186617</v>
      </c>
      <c r="Q577" s="60">
        <f t="shared" ca="1" si="137"/>
        <v>0</v>
      </c>
    </row>
    <row r="578" spans="1:23" x14ac:dyDescent="0.2">
      <c r="A578" s="60">
        <v>27</v>
      </c>
      <c r="B578" s="70" t="s">
        <v>872</v>
      </c>
      <c r="C578" s="58"/>
      <c r="D578" s="60">
        <f>D1216</f>
        <v>-44239.442779999998</v>
      </c>
      <c r="F578" s="60">
        <f>F1216</f>
        <v>0</v>
      </c>
      <c r="H578" s="60">
        <f ca="1">H1216</f>
        <v>-2627.5584491273084</v>
      </c>
      <c r="I578" s="60">
        <f>(L578+M578+N578)</f>
        <v>0</v>
      </c>
      <c r="L578" s="60">
        <f>L1216</f>
        <v>0</v>
      </c>
      <c r="M578" s="60"/>
      <c r="N578" s="60">
        <f>SUM(O578:Q578)</f>
        <v>0</v>
      </c>
      <c r="O578" s="60">
        <f t="shared" si="137"/>
        <v>0</v>
      </c>
      <c r="P578" s="60">
        <f t="shared" si="137"/>
        <v>0</v>
      </c>
      <c r="Q578" s="60">
        <f t="shared" si="137"/>
        <v>0</v>
      </c>
    </row>
    <row r="579" spans="1:23" x14ac:dyDescent="0.2">
      <c r="A579" s="60">
        <v>28</v>
      </c>
      <c r="B579" s="70" t="s">
        <v>873</v>
      </c>
      <c r="C579" s="58"/>
      <c r="D579" s="60">
        <f>D1217</f>
        <v>734837.09506999992</v>
      </c>
      <c r="F579" s="60">
        <f>F1217</f>
        <v>0</v>
      </c>
      <c r="H579" s="60">
        <f ca="1">H1217</f>
        <v>20131.95930772278</v>
      </c>
      <c r="I579" s="60">
        <f>(L579+M579+N579)</f>
        <v>0</v>
      </c>
      <c r="L579" s="60">
        <f>L1217</f>
        <v>0</v>
      </c>
      <c r="M579" s="60"/>
      <c r="N579" s="60">
        <f>SUM(O579:Q579)</f>
        <v>0</v>
      </c>
      <c r="O579" s="60">
        <f t="shared" si="137"/>
        <v>0</v>
      </c>
      <c r="P579" s="60">
        <f t="shared" si="137"/>
        <v>0</v>
      </c>
      <c r="Q579" s="60">
        <f t="shared" si="137"/>
        <v>0</v>
      </c>
    </row>
    <row r="580" spans="1:23" x14ac:dyDescent="0.2">
      <c r="A580" s="60">
        <v>29</v>
      </c>
      <c r="B580" s="70" t="s">
        <v>514</v>
      </c>
      <c r="C580" s="58"/>
      <c r="D580" s="60">
        <f>T$1263</f>
        <v>1373106</v>
      </c>
      <c r="F580" s="60">
        <v>0</v>
      </c>
      <c r="H580" s="60">
        <f ca="1">H$1263</f>
        <v>1719.4505384607828</v>
      </c>
      <c r="I580" s="60">
        <f>(L580+M580+N580)</f>
        <v>0</v>
      </c>
      <c r="L580" s="60">
        <f>L$110</f>
        <v>0</v>
      </c>
      <c r="M580" s="60"/>
      <c r="N580" s="60">
        <f>SUM(O580:Q580)</f>
        <v>0</v>
      </c>
      <c r="O580" s="60">
        <f>O$110</f>
        <v>0</v>
      </c>
      <c r="P580" s="60">
        <f>P$110</f>
        <v>0</v>
      </c>
      <c r="Q580" s="60">
        <f>Q$110</f>
        <v>0</v>
      </c>
    </row>
    <row r="581" spans="1:23" x14ac:dyDescent="0.2">
      <c r="A581" s="60">
        <v>30</v>
      </c>
      <c r="B581" s="48" t="s">
        <v>734</v>
      </c>
      <c r="C581" s="58"/>
      <c r="D581" s="66">
        <f t="shared" ca="1" si="134"/>
        <v>2934108.65</v>
      </c>
      <c r="F581" s="60">
        <f ca="1">F1202</f>
        <v>2542421.2187266927</v>
      </c>
      <c r="H581" s="60">
        <f ca="1">H1202</f>
        <v>147970.42271558015</v>
      </c>
      <c r="I581" s="60">
        <f ca="1">(L581+M581+N581)</f>
        <v>243717.00855772704</v>
      </c>
      <c r="L581" s="60">
        <f ca="1">L1202</f>
        <v>22.274729384982912</v>
      </c>
      <c r="M581" s="60"/>
      <c r="N581" s="60">
        <f ca="1">SUM(O581:Q581)</f>
        <v>243694.73382834205</v>
      </c>
      <c r="O581" s="60">
        <f ca="1">O1202</f>
        <v>76079.552451402837</v>
      </c>
      <c r="P581" s="60">
        <f ca="1">P1202</f>
        <v>167615.1813769392</v>
      </c>
      <c r="Q581" s="60">
        <f ca="1">Q1202</f>
        <v>0</v>
      </c>
    </row>
    <row r="582" spans="1:23" x14ac:dyDescent="0.2">
      <c r="A582" s="60">
        <v>31</v>
      </c>
      <c r="B582" s="48" t="s">
        <v>1238</v>
      </c>
      <c r="C582" s="58"/>
      <c r="D582" s="60">
        <f ca="1">SUM(D572:D581)</f>
        <v>1299744322.3522899</v>
      </c>
      <c r="F582" s="60">
        <f ca="1">SUM(F572:F581)</f>
        <v>1139327996.0526218</v>
      </c>
      <c r="H582" s="60">
        <f ca="1">SUM(H572:H581)</f>
        <v>65416996.710881166</v>
      </c>
      <c r="I582" s="60">
        <f t="shared" ca="1" si="135"/>
        <v>92910326.568727314</v>
      </c>
      <c r="L582" s="60">
        <f ca="1">SUM(L572:L581)</f>
        <v>13632.357935451146</v>
      </c>
      <c r="M582" s="60"/>
      <c r="N582" s="60">
        <f t="shared" ca="1" si="136"/>
        <v>92896694.210791856</v>
      </c>
      <c r="O582" s="60">
        <f ca="1">SUM(O572:O581)</f>
        <v>30057706.554503523</v>
      </c>
      <c r="P582" s="60">
        <f ca="1">SUM(P572:P581)</f>
        <v>62838987.656288333</v>
      </c>
      <c r="Q582" s="60">
        <f ca="1">SUM(Q572:Q577)</f>
        <v>5.188655289092674E-12</v>
      </c>
    </row>
    <row r="583" spans="1:23" ht="13.5" thickBot="1" x14ac:dyDescent="0.25">
      <c r="C583" s="58"/>
      <c r="T583" s="76" t="s">
        <v>149</v>
      </c>
      <c r="U583" s="75"/>
      <c r="V583" s="75"/>
      <c r="W583" s="75"/>
    </row>
    <row r="584" spans="1:23" ht="13.5" thickBot="1" x14ac:dyDescent="0.25">
      <c r="A584" s="60">
        <v>32</v>
      </c>
      <c r="B584" s="48" t="s">
        <v>71</v>
      </c>
      <c r="C584" s="58"/>
      <c r="D584" s="60">
        <f ca="1">D569-D582</f>
        <v>222291634.38771009</v>
      </c>
      <c r="F584" s="60">
        <f ca="1">F569-F582</f>
        <v>202748923.51282859</v>
      </c>
      <c r="H584" s="60">
        <f ca="1">H569-H582</f>
        <v>10399562.639157884</v>
      </c>
      <c r="I584" s="60">
        <f ca="1">(L584+M584+N584)</f>
        <v>11232151.25578321</v>
      </c>
      <c r="L584" s="60">
        <f ca="1">L569-L582</f>
        <v>-6969.2761043136124</v>
      </c>
      <c r="M584" s="60"/>
      <c r="N584" s="60">
        <f ca="1">SUM(O584:Q584)</f>
        <v>11239120.531887524</v>
      </c>
      <c r="O584" s="60">
        <f ca="1">O569-O582</f>
        <v>3596735.4962059706</v>
      </c>
      <c r="P584" s="60">
        <f ca="1">P569-P582</f>
        <v>7642385.0356815532</v>
      </c>
      <c r="Q584" s="60">
        <f ca="1">Q569-Q582</f>
        <v>-5.188655289092674E-12</v>
      </c>
      <c r="T584" s="339">
        <v>224355338.11999989</v>
      </c>
      <c r="U584" s="75"/>
      <c r="V584" s="75"/>
      <c r="W584" s="77">
        <f ca="1">D584+D580+D579+D578-T584</f>
        <v>-7.9999774694442749E-2</v>
      </c>
    </row>
    <row r="585" spans="1:23" x14ac:dyDescent="0.2">
      <c r="A585" s="60">
        <v>33</v>
      </c>
      <c r="B585" s="48" t="s">
        <v>428</v>
      </c>
      <c r="C585" s="58"/>
      <c r="D585" s="73">
        <f ca="1">IF(D566=0,0,(IF(OR((+D584/D566)&lt;-10000,(+D584/D566)&gt;10000),0,+D584/D566)))</f>
        <v>5.5891099441305277E-2</v>
      </c>
      <c r="F585" s="73">
        <f ca="1">IF(F566=0,0,(IF(OR((+F584/F566)&lt;-10000,(+F584/F566)&gt;10000),0,+F584/F566)))</f>
        <v>5.7106326001415277E-2</v>
      </c>
      <c r="G585" s="73"/>
      <c r="H585" s="73">
        <f ca="1">IF(H566=0,0,(IF(OR((+H584/H566)&lt;-10000,(+H584/H566)&gt;10000),0,+H584/H566)))</f>
        <v>4.8026001004709794E-2</v>
      </c>
      <c r="I585" s="73">
        <f ca="1">IF(I566=0,0,(IF(OR((+I584/I566)&lt;-10000,(+I584/I566)&gt;10000),0,+I584/I566)))</f>
        <v>3.8841899407701108E-2</v>
      </c>
      <c r="K585" s="73"/>
      <c r="L585" s="73">
        <f ca="1">IF(L566=0,0,(IF(OR((+L584/L566)&lt;-10000,(+L584/L566)&gt;10000),0,+L584/L566)))</f>
        <v>-0.18415222334440329</v>
      </c>
      <c r="M585" s="73"/>
      <c r="N585" s="73">
        <f ca="1">IF(N566=0,0,(IF(OR((+N584/N566)&lt;-10000,(+N584/N566)&gt;10000),0,+N584/N566)))</f>
        <v>3.8871087013870077E-2</v>
      </c>
      <c r="O585" s="73">
        <f ca="1">IF(O566=0,0,(IF(OR((+O584/O566)&lt;-10000,(+O584/O566)&gt;10000),0,+O584/O566)))</f>
        <v>3.916712529122951E-2</v>
      </c>
      <c r="P585" s="73">
        <f ca="1">IF(P566=0,0,(IF(OR((+P584/P566)&lt;-10000,(+P584/P566)&gt;10000),0,+P584/P566)))</f>
        <v>3.8733305700177204E-2</v>
      </c>
      <c r="Q585" s="73">
        <f ca="1">IF(Q566=0,0,(IF(OR((+Q584/Q566)&lt;-10000,(+Q584/Q566)&gt;10000),0,+Q584/Q566)))</f>
        <v>-0.81714099136849638</v>
      </c>
      <c r="T585" s="174"/>
      <c r="W585" s="50"/>
    </row>
    <row r="586" spans="1:23" x14ac:dyDescent="0.2">
      <c r="C586" s="58"/>
    </row>
    <row r="587" spans="1:23" x14ac:dyDescent="0.2">
      <c r="C587" s="58"/>
      <c r="D587" s="74"/>
      <c r="F587" s="74"/>
      <c r="G587" s="74"/>
      <c r="H587" s="74"/>
      <c r="I587" s="74"/>
      <c r="K587" s="74"/>
      <c r="L587" s="74"/>
      <c r="M587" s="74"/>
      <c r="N587" s="74"/>
      <c r="O587" s="74"/>
      <c r="P587" s="74"/>
      <c r="Q587" s="74"/>
    </row>
    <row r="588" spans="1:23" x14ac:dyDescent="0.2">
      <c r="C588" s="58"/>
    </row>
    <row r="589" spans="1:23" x14ac:dyDescent="0.2">
      <c r="C589" s="58"/>
    </row>
    <row r="590" spans="1:23" x14ac:dyDescent="0.2">
      <c r="B590" s="64" t="s">
        <v>72</v>
      </c>
      <c r="C590" s="58"/>
    </row>
    <row r="591" spans="1:23" x14ac:dyDescent="0.2">
      <c r="C591" s="58"/>
    </row>
    <row r="592" spans="1:23" x14ac:dyDescent="0.2">
      <c r="B592" s="48" t="s">
        <v>73</v>
      </c>
      <c r="C592" s="58"/>
    </row>
    <row r="593" spans="1:25" x14ac:dyDescent="0.2">
      <c r="A593" s="60">
        <v>1</v>
      </c>
      <c r="B593" s="70" t="s">
        <v>874</v>
      </c>
      <c r="C593" s="51" t="s">
        <v>726</v>
      </c>
      <c r="D593" s="66">
        <f ca="1">SUM(F593:I593)+K593</f>
        <v>44455.58</v>
      </c>
      <c r="F593" s="60">
        <f ca="1">INDEX(INDIRECT($C593),1,F$12+1)*$T593</f>
        <v>38707.20384349145</v>
      </c>
      <c r="H593" s="60">
        <f ca="1">INDEX(INDIRECT($C593),1,H$12+1)*$T593</f>
        <v>2640.4184492252903</v>
      </c>
      <c r="I593" s="60">
        <f ca="1">(L593+M593+N593)</f>
        <v>3107.957707283264</v>
      </c>
      <c r="L593" s="60">
        <f ca="1">INDEX(INDIRECT($C593),1,L$12+1)*$T593</f>
        <v>1.401789247742923</v>
      </c>
      <c r="M593" s="60"/>
      <c r="N593" s="60">
        <f ca="1">SUM(O593:Q593)</f>
        <v>3106.5559180355212</v>
      </c>
      <c r="O593" s="60">
        <f t="shared" ref="O593:Q595" ca="1" si="138">INDEX(INDIRECT($C593),1,O$12+1)*$T593</f>
        <v>986.36626332576793</v>
      </c>
      <c r="P593" s="60">
        <f t="shared" ca="1" si="138"/>
        <v>2120.1896547097531</v>
      </c>
      <c r="Q593" s="60">
        <f t="shared" ca="1" si="138"/>
        <v>6.0589746878764566E-17</v>
      </c>
      <c r="T593" s="292">
        <f>PIS!L57+PIS!L224</f>
        <v>44455.58</v>
      </c>
      <c r="U593" s="50"/>
      <c r="V593" s="50"/>
      <c r="W593" s="50"/>
      <c r="X593" s="50"/>
      <c r="Y593" s="50"/>
    </row>
    <row r="594" spans="1:25" x14ac:dyDescent="0.2">
      <c r="A594" s="60">
        <v>2</v>
      </c>
      <c r="B594" s="70" t="s">
        <v>875</v>
      </c>
      <c r="C594" s="51" t="s">
        <v>728</v>
      </c>
      <c r="D594" s="66">
        <f ca="1">SUM(F594:I594)+K594</f>
        <v>55918.829999999994</v>
      </c>
      <c r="F594" s="60">
        <f ca="1">INDEX(INDIRECT($C594),1,F$12+1)*$T594</f>
        <v>55918.829999999994</v>
      </c>
      <c r="H594" s="60">
        <f ca="1">INDEX(INDIRECT($C594),1,H$12+1)*$T594</f>
        <v>0</v>
      </c>
      <c r="I594" s="60">
        <f ca="1">(L594+M594+N594)</f>
        <v>0</v>
      </c>
      <c r="L594" s="60">
        <f ca="1">INDEX(INDIRECT($C594),1,L$12+1)*$T594</f>
        <v>0</v>
      </c>
      <c r="M594" s="60"/>
      <c r="N594" s="60">
        <f ca="1">SUM(O594:Q594)</f>
        <v>0</v>
      </c>
      <c r="O594" s="60">
        <f t="shared" ca="1" si="138"/>
        <v>0</v>
      </c>
      <c r="P594" s="60">
        <f t="shared" ca="1" si="138"/>
        <v>0</v>
      </c>
      <c r="Q594" s="60">
        <f t="shared" ca="1" si="138"/>
        <v>0</v>
      </c>
      <c r="T594" s="292">
        <f>PIS!L58</f>
        <v>55918.829999999994</v>
      </c>
      <c r="U594" s="55"/>
      <c r="V594" s="50"/>
      <c r="W594" s="50"/>
      <c r="X594" s="50"/>
      <c r="Y594" s="50"/>
    </row>
    <row r="595" spans="1:25" x14ac:dyDescent="0.2">
      <c r="A595" s="60">
        <v>3</v>
      </c>
      <c r="B595" s="70" t="s">
        <v>876</v>
      </c>
      <c r="C595" s="51" t="s">
        <v>726</v>
      </c>
      <c r="D595" s="66">
        <f ca="1">SUM(F595:I595)+K595</f>
        <v>60103758.670000002</v>
      </c>
      <c r="F595" s="60">
        <f ca="1">INDEX(INDIRECT($C595),1,F$12+1)*$T595</f>
        <v>52331978.0913826</v>
      </c>
      <c r="H595" s="60">
        <f ca="1">INDEX(INDIRECT($C595),1,H$12+1)*$T595</f>
        <v>3569834.7262605163</v>
      </c>
      <c r="I595" s="60">
        <f ca="1">(L595+M595+N595)</f>
        <v>4201945.8523568874</v>
      </c>
      <c r="L595" s="60">
        <f ca="1">INDEX(INDIRECT($C595),1,L$12+1)*$T595</f>
        <v>1895.2132140114129</v>
      </c>
      <c r="M595" s="60"/>
      <c r="N595" s="60">
        <f ca="1">SUM(O595:Q595)</f>
        <v>4200050.6391428756</v>
      </c>
      <c r="O595" s="60">
        <f t="shared" ca="1" si="138"/>
        <v>1333563.072423341</v>
      </c>
      <c r="P595" s="60">
        <f t="shared" ca="1" si="138"/>
        <v>2866487.5667195348</v>
      </c>
      <c r="Q595" s="60">
        <f t="shared" ca="1" si="138"/>
        <v>8.1917084970607769E-14</v>
      </c>
      <c r="T595" s="292">
        <f>PIS!L59+PIS!L60+PIS!L146+PIS!L147</f>
        <v>60103758.670000002</v>
      </c>
      <c r="U595" s="55"/>
    </row>
    <row r="596" spans="1:25" x14ac:dyDescent="0.2">
      <c r="A596" s="60">
        <v>4</v>
      </c>
      <c r="B596" s="48" t="s">
        <v>74</v>
      </c>
      <c r="C596" s="58"/>
      <c r="D596" s="66">
        <f ca="1">SUM(F596:I596)+K596</f>
        <v>60204133.080000013</v>
      </c>
      <c r="F596" s="60">
        <f ca="1">F594+F593+F595</f>
        <v>52426604.125226095</v>
      </c>
      <c r="H596" s="60">
        <f ca="1">H594+H593+H595</f>
        <v>3572475.1447097417</v>
      </c>
      <c r="I596" s="60">
        <f ca="1">(L596+M596+N596)</f>
        <v>4205053.8100641705</v>
      </c>
      <c r="L596" s="60">
        <f ca="1">L594+L593+L595</f>
        <v>1896.6150032591559</v>
      </c>
      <c r="M596" s="60"/>
      <c r="N596" s="60">
        <f ca="1">SUM(O596:Q596)</f>
        <v>4203157.1950609116</v>
      </c>
      <c r="O596" s="60">
        <f ca="1">O594+O593+O595</f>
        <v>1334549.4386866668</v>
      </c>
      <c r="P596" s="60">
        <f ca="1">P594+P593+P595</f>
        <v>2868607.7563742446</v>
      </c>
      <c r="Q596" s="60">
        <f ca="1">Q594+Q593+Q595</f>
        <v>8.1977674717486535E-14</v>
      </c>
      <c r="T596" s="50"/>
      <c r="U596" s="78" t="str">
        <f ca="1">IF(D596=SUM(T593:T595),"ok","err")</f>
        <v>ok</v>
      </c>
    </row>
    <row r="597" spans="1:25" x14ac:dyDescent="0.2">
      <c r="C597" s="58"/>
      <c r="T597" s="79"/>
    </row>
    <row r="598" spans="1:25" x14ac:dyDescent="0.2">
      <c r="B598" s="48" t="s">
        <v>75</v>
      </c>
      <c r="C598" s="58"/>
      <c r="T598" s="79"/>
      <c r="U598" s="50"/>
      <c r="V598" s="50"/>
      <c r="W598" s="50"/>
      <c r="X598" s="50"/>
      <c r="Y598" s="50"/>
    </row>
    <row r="599" spans="1:25" x14ac:dyDescent="0.2">
      <c r="B599" s="70" t="s">
        <v>670</v>
      </c>
      <c r="C599" s="58"/>
      <c r="T599" s="79"/>
      <c r="U599" s="50"/>
      <c r="V599" s="50"/>
      <c r="W599" s="50"/>
      <c r="X599" s="50"/>
      <c r="Y599" s="50"/>
    </row>
    <row r="600" spans="1:25" x14ac:dyDescent="0.2">
      <c r="A600" s="60">
        <v>5</v>
      </c>
      <c r="B600" s="70" t="s">
        <v>473</v>
      </c>
      <c r="C600" s="51" t="s">
        <v>614</v>
      </c>
      <c r="D600" s="66">
        <f ca="1">SUM(F600:I600)+K600</f>
        <v>10881103.859999999</v>
      </c>
      <c r="F600" s="60">
        <f ca="1">INDEX(INDIRECT($C600),1,F$12+1)*$T600</f>
        <v>9417488.4637726378</v>
      </c>
      <c r="H600" s="60">
        <f ca="1">INDEX(INDIRECT($C600),1,H$12+1)*$T600</f>
        <v>553061.14195194689</v>
      </c>
      <c r="I600" s="60">
        <f ca="1">(L600+M600+N600)</f>
        <v>910554.25427541544</v>
      </c>
      <c r="L600" s="60">
        <f ca="1">INDEX(INDIRECT($C600),1,L$12+1)*$T600</f>
        <v>83.267260155366884</v>
      </c>
      <c r="M600" s="60"/>
      <c r="N600" s="60">
        <f ca="1">SUM(O600:Q600)</f>
        <v>910470.98701526003</v>
      </c>
      <c r="O600" s="60">
        <f t="shared" ref="O600:Q608" ca="1" si="139">INDEX(INDIRECT($C600),1,O$12+1)*$T600</f>
        <v>284090.0486657928</v>
      </c>
      <c r="P600" s="60">
        <f t="shared" ca="1" si="139"/>
        <v>626380.93834946724</v>
      </c>
      <c r="Q600" s="60">
        <f t="shared" ca="1" si="139"/>
        <v>0</v>
      </c>
      <c r="T600" s="327">
        <f>PIS!L78</f>
        <v>10881103.859999999</v>
      </c>
      <c r="U600" s="55"/>
      <c r="V600" s="50"/>
      <c r="W600" s="50"/>
      <c r="X600" s="50"/>
      <c r="Y600" s="50"/>
    </row>
    <row r="601" spans="1:25" x14ac:dyDescent="0.2">
      <c r="A601" s="60">
        <v>6</v>
      </c>
      <c r="B601" s="70" t="s">
        <v>467</v>
      </c>
      <c r="C601" s="51" t="s">
        <v>614</v>
      </c>
      <c r="D601" s="66">
        <f t="shared" ref="D601:D606" ca="1" si="140">SUM(F601:I601)+K601</f>
        <v>331497470.49000001</v>
      </c>
      <c r="F601" s="60">
        <f t="shared" ref="F601:F606" ca="1" si="141">INDEX(INDIRECT($C601),1,F$12+1)*$T601</f>
        <v>286907803.13068211</v>
      </c>
      <c r="H601" s="60">
        <f t="shared" ref="H601:H606" ca="1" si="142">INDEX(INDIRECT($C601),1,H$12+1)*$T601</f>
        <v>16849243.600858454</v>
      </c>
      <c r="I601" s="60">
        <f t="shared" ref="I601:I606" ca="1" si="143">(L601+M601+N601)</f>
        <v>27740423.758459419</v>
      </c>
      <c r="L601" s="60">
        <f t="shared" ref="L601:L606" ca="1" si="144">INDEX(INDIRECT($C601),1,L$12+1)*$T601</f>
        <v>2536.7725987441213</v>
      </c>
      <c r="M601" s="60"/>
      <c r="N601" s="60">
        <f t="shared" ref="N601:N606" ca="1" si="145">SUM(O601:Q601)</f>
        <v>27737886.985860676</v>
      </c>
      <c r="O601" s="60">
        <f t="shared" ca="1" si="139"/>
        <v>8654924.5127866399</v>
      </c>
      <c r="P601" s="60">
        <f t="shared" ca="1" si="139"/>
        <v>19082962.473074038</v>
      </c>
      <c r="Q601" s="60">
        <f t="shared" ca="1" si="139"/>
        <v>0</v>
      </c>
      <c r="T601" s="327">
        <f>PIS!L79+PIS!L80+PIS!L160-AFUDC!H6</f>
        <v>331497470.49000001</v>
      </c>
      <c r="U601" s="55"/>
      <c r="V601" s="50"/>
      <c r="W601" s="50">
        <f>AFUDC!H6</f>
        <v>3555684.42</v>
      </c>
      <c r="X601" s="50"/>
      <c r="Y601" s="50"/>
    </row>
    <row r="602" spans="1:25" x14ac:dyDescent="0.2">
      <c r="A602" s="60">
        <v>7</v>
      </c>
      <c r="B602" s="70" t="s">
        <v>468</v>
      </c>
      <c r="C602" s="51" t="s">
        <v>614</v>
      </c>
      <c r="D602" s="66">
        <f t="shared" ca="1" si="140"/>
        <v>2633157904.7700009</v>
      </c>
      <c r="F602" s="60">
        <f t="shared" ca="1" si="141"/>
        <v>2278972290.910861</v>
      </c>
      <c r="H602" s="60">
        <f t="shared" ca="1" si="142"/>
        <v>133837277.58590592</v>
      </c>
      <c r="I602" s="60">
        <f t="shared" ca="1" si="143"/>
        <v>220348336.27323392</v>
      </c>
      <c r="L602" s="60">
        <f t="shared" ca="1" si="144"/>
        <v>20150.147182460998</v>
      </c>
      <c r="M602" s="60"/>
      <c r="N602" s="60">
        <f t="shared" ca="1" si="145"/>
        <v>220328186.12605146</v>
      </c>
      <c r="O602" s="60">
        <f t="shared" ca="1" si="139"/>
        <v>68747984.297874957</v>
      </c>
      <c r="P602" s="60">
        <f t="shared" ca="1" si="139"/>
        <v>151580201.8281765</v>
      </c>
      <c r="Q602" s="60">
        <f t="shared" ca="1" si="139"/>
        <v>0</v>
      </c>
      <c r="T602" s="327">
        <f>PIS!L81+PIS!L82+PIS!L161+PIS!L352-AFUDC!H7</f>
        <v>2633157904.7700009</v>
      </c>
      <c r="U602" s="55"/>
      <c r="V602" s="50"/>
      <c r="W602" s="50">
        <f>AFUDC!H7</f>
        <v>28394345.370000001</v>
      </c>
      <c r="X602" s="50"/>
      <c r="Y602" s="50"/>
    </row>
    <row r="603" spans="1:25" x14ac:dyDescent="0.2">
      <c r="A603" s="60">
        <v>8</v>
      </c>
      <c r="B603" s="70" t="s">
        <v>469</v>
      </c>
      <c r="C603" s="51" t="s">
        <v>614</v>
      </c>
      <c r="D603" s="66">
        <f t="shared" ca="1" si="140"/>
        <v>316044024.84999985</v>
      </c>
      <c r="F603" s="60">
        <f t="shared" ca="1" si="141"/>
        <v>273532997.78807062</v>
      </c>
      <c r="H603" s="60">
        <f t="shared" ca="1" si="142"/>
        <v>16063780.98578598</v>
      </c>
      <c r="I603" s="60">
        <f t="shared" ca="1" si="143"/>
        <v>26447246.076143283</v>
      </c>
      <c r="L603" s="60">
        <f t="shared" ca="1" si="144"/>
        <v>2418.515655794336</v>
      </c>
      <c r="M603" s="60"/>
      <c r="N603" s="60">
        <f t="shared" ca="1" si="145"/>
        <v>26444827.56048749</v>
      </c>
      <c r="O603" s="60">
        <f t="shared" ca="1" si="139"/>
        <v>8251457.1642154614</v>
      </c>
      <c r="P603" s="60">
        <f t="shared" ca="1" si="139"/>
        <v>18193370.39627203</v>
      </c>
      <c r="Q603" s="60">
        <f t="shared" ca="1" si="139"/>
        <v>0</v>
      </c>
      <c r="T603" s="327">
        <f>PIS!L83+PIS!L84+PIS!L162-AFUDC!H8</f>
        <v>316044024.8499999</v>
      </c>
      <c r="U603" s="55"/>
      <c r="V603" s="50"/>
      <c r="W603" s="50">
        <f>AFUDC!H8</f>
        <v>4176304.8499999996</v>
      </c>
      <c r="X603" s="50"/>
      <c r="Y603" s="50"/>
    </row>
    <row r="604" spans="1:25" x14ac:dyDescent="0.2">
      <c r="A604" s="60">
        <v>9</v>
      </c>
      <c r="B604" s="70" t="s">
        <v>470</v>
      </c>
      <c r="C604" s="51" t="s">
        <v>614</v>
      </c>
      <c r="D604" s="66">
        <f t="shared" ca="1" si="140"/>
        <v>209742018.53999999</v>
      </c>
      <c r="F604" s="60">
        <f t="shared" ca="1" si="141"/>
        <v>181529655.9414365</v>
      </c>
      <c r="H604" s="60">
        <f t="shared" ca="1" si="142"/>
        <v>10660697.828229241</v>
      </c>
      <c r="I604" s="60">
        <f t="shared" ca="1" si="143"/>
        <v>17551664.770334255</v>
      </c>
      <c r="L604" s="60">
        <f t="shared" ca="1" si="144"/>
        <v>1605.0433345723038</v>
      </c>
      <c r="M604" s="60"/>
      <c r="N604" s="60">
        <f t="shared" ca="1" si="145"/>
        <v>17550059.726999681</v>
      </c>
      <c r="O604" s="60">
        <f t="shared" ca="1" si="139"/>
        <v>5476063.9197032917</v>
      </c>
      <c r="P604" s="60">
        <f t="shared" ca="1" si="139"/>
        <v>12073995.80729639</v>
      </c>
      <c r="Q604" s="60">
        <f t="shared" ca="1" si="139"/>
        <v>0</v>
      </c>
      <c r="T604" s="327">
        <f>PIS!L85+PIS!L86+PIS!L163-AFUDC!H9</f>
        <v>209742018.53999999</v>
      </c>
      <c r="U604" s="55"/>
      <c r="V604" s="50"/>
      <c r="W604" s="50">
        <f>AFUDC!H9</f>
        <v>2887662.88</v>
      </c>
      <c r="X604" s="50"/>
      <c r="Y604" s="50"/>
    </row>
    <row r="605" spans="1:25" x14ac:dyDescent="0.2">
      <c r="A605" s="60">
        <v>10</v>
      </c>
      <c r="B605" s="70" t="s">
        <v>471</v>
      </c>
      <c r="C605" s="51" t="s">
        <v>614</v>
      </c>
      <c r="D605" s="66">
        <f t="shared" ca="1" si="140"/>
        <v>30545307.669999998</v>
      </c>
      <c r="F605" s="60">
        <f t="shared" ca="1" si="141"/>
        <v>26436663.623998422</v>
      </c>
      <c r="H605" s="60">
        <f t="shared" ca="1" si="142"/>
        <v>1552546.7782129745</v>
      </c>
      <c r="I605" s="60">
        <f t="shared" ca="1" si="143"/>
        <v>2556097.2677885988</v>
      </c>
      <c r="L605" s="60">
        <f t="shared" ca="1" si="144"/>
        <v>233.74688018864418</v>
      </c>
      <c r="M605" s="60"/>
      <c r="N605" s="60">
        <f t="shared" ca="1" si="145"/>
        <v>2555863.5209084102</v>
      </c>
      <c r="O605" s="60">
        <f t="shared" ca="1" si="139"/>
        <v>797494.26658647065</v>
      </c>
      <c r="P605" s="60">
        <f t="shared" ca="1" si="139"/>
        <v>1758369.2543219395</v>
      </c>
      <c r="Q605" s="60">
        <f t="shared" ca="1" si="139"/>
        <v>0</v>
      </c>
      <c r="T605" s="327">
        <f>PIS!L87+PIS!L164-AFUDC!H10</f>
        <v>30545307.669999998</v>
      </c>
      <c r="U605" s="55"/>
      <c r="V605" s="50"/>
      <c r="W605" s="50">
        <f>AFUDC!H10</f>
        <v>261883.53</v>
      </c>
      <c r="X605" s="50"/>
      <c r="Y605" s="50"/>
    </row>
    <row r="606" spans="1:25" x14ac:dyDescent="0.2">
      <c r="A606" s="60">
        <v>11</v>
      </c>
      <c r="B606" s="70" t="s">
        <v>472</v>
      </c>
      <c r="C606" s="51" t="s">
        <v>614</v>
      </c>
      <c r="D606" s="66">
        <f t="shared" ca="1" si="140"/>
        <v>56489771.460000001</v>
      </c>
      <c r="F606" s="60">
        <f t="shared" ca="1" si="141"/>
        <v>48891342.081694163</v>
      </c>
      <c r="H606" s="60">
        <f t="shared" ca="1" si="142"/>
        <v>2871243.3880097251</v>
      </c>
      <c r="I606" s="60">
        <f t="shared" ca="1" si="143"/>
        <v>4727185.9902961124</v>
      </c>
      <c r="L606" s="60">
        <f t="shared" ca="1" si="144"/>
        <v>432.28596627668253</v>
      </c>
      <c r="M606" s="60"/>
      <c r="N606" s="60">
        <f t="shared" ca="1" si="145"/>
        <v>4726753.7043298353</v>
      </c>
      <c r="O606" s="60">
        <f t="shared" ca="1" si="139"/>
        <v>1474867.0842289815</v>
      </c>
      <c r="P606" s="60">
        <f t="shared" ca="1" si="139"/>
        <v>3251886.620100854</v>
      </c>
      <c r="Q606" s="60">
        <f t="shared" ca="1" si="139"/>
        <v>0</v>
      </c>
      <c r="T606" s="327">
        <f>PIS!L88</f>
        <v>56489771.460000001</v>
      </c>
      <c r="U606" s="55"/>
      <c r="V606" s="50"/>
      <c r="W606" s="50">
        <f>AFUDC!H11</f>
        <v>39275881.050000004</v>
      </c>
      <c r="X606" s="50"/>
      <c r="Y606" s="50"/>
    </row>
    <row r="607" spans="1:25" x14ac:dyDescent="0.2">
      <c r="A607" s="60">
        <v>12</v>
      </c>
      <c r="B607" s="70" t="s">
        <v>877</v>
      </c>
      <c r="C607" s="51" t="s">
        <v>616</v>
      </c>
      <c r="D607" s="66">
        <f ca="1">SUM(F607:I607)+K607</f>
        <v>17109215.93</v>
      </c>
      <c r="F607" s="60">
        <f ca="1">INDEX(INDIRECT($C607),1,F$12+1)*$T607</f>
        <v>0</v>
      </c>
      <c r="H607" s="60">
        <f ca="1">INDEX(INDIRECT($C607),1,H$12+1)*$T607</f>
        <v>6465483.27355529</v>
      </c>
      <c r="I607" s="60">
        <f ca="1">(L607+M607+N607)</f>
        <v>10643732.65644471</v>
      </c>
      <c r="L607" s="60">
        <f ca="1">INDEX(INDIRECT($C607),1,L$12+1)*$T607</f>
        <v>0</v>
      </c>
      <c r="M607" s="60"/>
      <c r="N607" s="60">
        <f ca="1">SUM(O607:Q607)</f>
        <v>10643732.65644471</v>
      </c>
      <c r="O607" s="60">
        <f t="shared" ca="1" si="139"/>
        <v>3321114.6444849707</v>
      </c>
      <c r="P607" s="60">
        <f t="shared" ca="1" si="139"/>
        <v>7322618.011959739</v>
      </c>
      <c r="Q607" s="60">
        <f t="shared" ca="1" si="139"/>
        <v>0</v>
      </c>
      <c r="T607" s="292">
        <f>AFUDC!D11+AFUDC!E11</f>
        <v>17109215.93</v>
      </c>
      <c r="U607" s="55"/>
    </row>
    <row r="608" spans="1:25" x14ac:dyDescent="0.2">
      <c r="A608" s="60">
        <v>13</v>
      </c>
      <c r="B608" s="70" t="s">
        <v>878</v>
      </c>
      <c r="C608" s="51" t="s">
        <v>622</v>
      </c>
      <c r="D608" s="66">
        <f ca="1">SUM(F608:I608)+K608</f>
        <v>22166665.119999997</v>
      </c>
      <c r="F608" s="60">
        <f ca="1">INDEX(INDIRECT($C608),1,F$12+1)*$T608</f>
        <v>0</v>
      </c>
      <c r="H608" s="60">
        <f ca="1">INDEX(INDIRECT($C608),1,H$12+1)*$T608</f>
        <v>0</v>
      </c>
      <c r="I608" s="60">
        <f ca="1">(L608+M608+N608)</f>
        <v>22166665.119999997</v>
      </c>
      <c r="L608" s="60">
        <f ca="1">INDEX(INDIRECT($C608),1,L$12+1)*$T608</f>
        <v>0</v>
      </c>
      <c r="M608" s="60"/>
      <c r="N608" s="60">
        <f ca="1">SUM(O608:Q608)</f>
        <v>22166665.119999997</v>
      </c>
      <c r="O608" s="60">
        <f t="shared" ca="1" si="139"/>
        <v>6916561.9360846076</v>
      </c>
      <c r="P608" s="60">
        <f t="shared" ca="1" si="139"/>
        <v>15250103.183915388</v>
      </c>
      <c r="Q608" s="60">
        <f t="shared" ca="1" si="139"/>
        <v>0</v>
      </c>
      <c r="T608" s="292">
        <f>AFUDC!F11+AFUDC!G11</f>
        <v>22166665.119999997</v>
      </c>
      <c r="U608" s="55"/>
    </row>
    <row r="609" spans="1:25" x14ac:dyDescent="0.2">
      <c r="A609" s="60">
        <v>14</v>
      </c>
      <c r="B609" s="70" t="s">
        <v>1082</v>
      </c>
      <c r="D609" s="66">
        <f ca="1">SUM(F609:I609)+K609</f>
        <v>3627633482.6900005</v>
      </c>
      <c r="F609" s="60">
        <f ca="1">SUM(F600:F608)</f>
        <v>3105688241.9405155</v>
      </c>
      <c r="H609" s="60">
        <f ca="1">SUM(H600:H608)</f>
        <v>188853334.58250955</v>
      </c>
      <c r="I609" s="60">
        <f ca="1">(L609+M609+N609)</f>
        <v>333091906.16697574</v>
      </c>
      <c r="L609" s="60">
        <f ca="1">SUM(L600:L608)</f>
        <v>27459.77887819245</v>
      </c>
      <c r="M609" s="60"/>
      <c r="N609" s="60">
        <f ca="1">SUM(O609:Q609)</f>
        <v>333064446.38809752</v>
      </c>
      <c r="O609" s="60">
        <f ca="1">SUM(O600:O608)</f>
        <v>103924557.87463117</v>
      </c>
      <c r="P609" s="60">
        <f ca="1">SUM(P600:P608)</f>
        <v>229139888.51346633</v>
      </c>
      <c r="Q609" s="60">
        <f ca="1">SUM(Q600:Q608)</f>
        <v>0</v>
      </c>
      <c r="T609" s="292">
        <f>PIS!L89+PIS!L165+PIS!L356</f>
        <v>3627633482.6900005</v>
      </c>
      <c r="U609" s="78" t="str">
        <f ca="1">IF(D609=SUM($T600:$T608),"ok","err")</f>
        <v>ok</v>
      </c>
      <c r="V609" s="78" t="str">
        <f>IF(T609=SUM($T600:$T608),"ok","err")</f>
        <v>ok</v>
      </c>
      <c r="W609" s="80" t="s">
        <v>764</v>
      </c>
    </row>
    <row r="610" spans="1:25" x14ac:dyDescent="0.2">
      <c r="T610" s="79"/>
      <c r="U610" s="50"/>
      <c r="V610" s="50"/>
      <c r="W610" s="50"/>
      <c r="X610" s="50"/>
      <c r="Y610" s="50"/>
    </row>
    <row r="611" spans="1:25" x14ac:dyDescent="0.2">
      <c r="B611" s="70" t="s">
        <v>474</v>
      </c>
      <c r="C611" s="58"/>
      <c r="T611" s="79"/>
      <c r="U611" s="50"/>
      <c r="V611" s="50"/>
      <c r="W611" s="50"/>
      <c r="X611" s="50"/>
      <c r="Y611" s="50"/>
    </row>
    <row r="612" spans="1:25" x14ac:dyDescent="0.2">
      <c r="A612" s="60">
        <v>15</v>
      </c>
      <c r="B612" s="70" t="s">
        <v>475</v>
      </c>
      <c r="C612" s="51" t="s">
        <v>614</v>
      </c>
      <c r="D612" s="66">
        <f ca="1">SUM(F612:I612)+K612</f>
        <v>879311.46999999986</v>
      </c>
      <c r="F612" s="60">
        <f ca="1">INDEX(INDIRECT($C612),1,F$12+1)*$T612</f>
        <v>761035.43641646288</v>
      </c>
      <c r="H612" s="60">
        <f ca="1">INDEX(INDIRECT($C612),1,H$12+1)*$T612</f>
        <v>44693.35207040704</v>
      </c>
      <c r="I612" s="60">
        <f ca="1">(L612+M612+N612)</f>
        <v>73582.681513129981</v>
      </c>
      <c r="L612" s="60">
        <f ca="1">INDEX(INDIRECT($C612),1,L$12+1)*$T612</f>
        <v>6.7288997395975683</v>
      </c>
      <c r="M612" s="60"/>
      <c r="N612" s="60">
        <f ca="1">SUM(O612:Q612)</f>
        <v>73575.952613390386</v>
      </c>
      <c r="O612" s="60">
        <f t="shared" ref="O612:Q621" ca="1" si="146">INDEX(INDIRECT($C612),1,O$12+1)*$T612</f>
        <v>22957.564004419844</v>
      </c>
      <c r="P612" s="60">
        <f t="shared" ca="1" si="146"/>
        <v>50618.388608970541</v>
      </c>
      <c r="Q612" s="60">
        <f t="shared" ca="1" si="146"/>
        <v>0</v>
      </c>
      <c r="T612" s="327">
        <f>PIS!L46</f>
        <v>879311.47</v>
      </c>
      <c r="U612" s="55"/>
      <c r="V612" s="50"/>
      <c r="W612" s="50"/>
      <c r="X612" s="50"/>
      <c r="Y612" s="50"/>
    </row>
    <row r="613" spans="1:25" x14ac:dyDescent="0.2">
      <c r="A613" s="60">
        <v>16</v>
      </c>
      <c r="B613" s="70" t="s">
        <v>476</v>
      </c>
      <c r="C613" s="51" t="s">
        <v>614</v>
      </c>
      <c r="D613" s="66">
        <f t="shared" ref="D613:D619" ca="1" si="147">SUM(F613:I613)+K613</f>
        <v>616526.69000000018</v>
      </c>
      <c r="F613" s="60">
        <f t="shared" ref="F613:F619" ca="1" si="148">INDEX(INDIRECT($C613),1,F$12+1)*$T613</f>
        <v>533597.79167505621</v>
      </c>
      <c r="H613" s="60">
        <f t="shared" ref="H613:H619" ca="1" si="149">INDEX(INDIRECT($C613),1,H$12+1)*$T613</f>
        <v>31336.614336411083</v>
      </c>
      <c r="I613" s="60">
        <f t="shared" ref="I613:I619" ca="1" si="150">(L613+M613+N613)</f>
        <v>51592.283988532792</v>
      </c>
      <c r="L613" s="60">
        <f t="shared" ref="L613:L619" ca="1" si="151">INDEX(INDIRECT($C613),1,L$12+1)*$T613</f>
        <v>4.7179485601341593</v>
      </c>
      <c r="M613" s="60"/>
      <c r="N613" s="60">
        <f t="shared" ref="N613:N619" ca="1" si="152">SUM(O613:Q613)</f>
        <v>51587.566039972655</v>
      </c>
      <c r="O613" s="60">
        <f t="shared" ca="1" si="146"/>
        <v>16096.629498200578</v>
      </c>
      <c r="P613" s="60">
        <f t="shared" ca="1" si="146"/>
        <v>35490.936541772076</v>
      </c>
      <c r="Q613" s="60">
        <f t="shared" ca="1" si="146"/>
        <v>0</v>
      </c>
      <c r="T613" s="327">
        <f>PIS!L47+PIS!L137</f>
        <v>616526.69000000006</v>
      </c>
      <c r="U613" s="55"/>
      <c r="V613" s="50"/>
      <c r="W613" s="50"/>
      <c r="X613" s="50"/>
      <c r="Y613" s="50"/>
    </row>
    <row r="614" spans="1:25" x14ac:dyDescent="0.2">
      <c r="A614" s="60">
        <v>17</v>
      </c>
      <c r="B614" s="70" t="s">
        <v>477</v>
      </c>
      <c r="C614" s="51" t="s">
        <v>614</v>
      </c>
      <c r="D614" s="66">
        <f t="shared" ca="1" si="147"/>
        <v>21558917.790000007</v>
      </c>
      <c r="F614" s="60">
        <f t="shared" ca="1" si="148"/>
        <v>18659031.490831457</v>
      </c>
      <c r="H614" s="60">
        <f t="shared" ca="1" si="149"/>
        <v>1095789.5306943192</v>
      </c>
      <c r="I614" s="60">
        <f t="shared" ca="1" si="150"/>
        <v>1804096.7684742273</v>
      </c>
      <c r="L614" s="60">
        <f t="shared" ca="1" si="151"/>
        <v>164.97885135415828</v>
      </c>
      <c r="M614" s="60"/>
      <c r="N614" s="60">
        <f t="shared" ca="1" si="152"/>
        <v>1803931.7896228731</v>
      </c>
      <c r="O614" s="60">
        <f t="shared" ca="1" si="146"/>
        <v>562872.48820938356</v>
      </c>
      <c r="P614" s="60">
        <f t="shared" ca="1" si="146"/>
        <v>1241059.3014134895</v>
      </c>
      <c r="Q614" s="60">
        <f t="shared" ca="1" si="146"/>
        <v>0</v>
      </c>
      <c r="T614" s="327">
        <f>PIS!L48+PIS!L138-AFUDC!H16</f>
        <v>21558917.790000003</v>
      </c>
      <c r="U614" s="55"/>
      <c r="V614" s="50"/>
      <c r="W614" s="50">
        <f>AFUDC!H16</f>
        <v>42952.32</v>
      </c>
      <c r="X614" s="50"/>
      <c r="Y614" s="50"/>
    </row>
    <row r="615" spans="1:25" x14ac:dyDescent="0.2">
      <c r="A615" s="60">
        <v>18</v>
      </c>
      <c r="B615" s="70" t="s">
        <v>478</v>
      </c>
      <c r="C615" s="51" t="s">
        <v>614</v>
      </c>
      <c r="D615" s="66">
        <f t="shared" ca="1" si="147"/>
        <v>4533221.9000000004</v>
      </c>
      <c r="F615" s="60">
        <f t="shared" ca="1" si="148"/>
        <v>3923459.0071242531</v>
      </c>
      <c r="H615" s="60">
        <f t="shared" ca="1" si="149"/>
        <v>230413.10082078149</v>
      </c>
      <c r="I615" s="60">
        <f t="shared" ca="1" si="150"/>
        <v>379349.79205496545</v>
      </c>
      <c r="L615" s="60">
        <f t="shared" ca="1" si="151"/>
        <v>34.69031930454404</v>
      </c>
      <c r="M615" s="60"/>
      <c r="N615" s="60">
        <f t="shared" ca="1" si="152"/>
        <v>379315.10173566092</v>
      </c>
      <c r="O615" s="60">
        <f t="shared" ca="1" si="146"/>
        <v>118355.93582725327</v>
      </c>
      <c r="P615" s="60">
        <f t="shared" ca="1" si="146"/>
        <v>260959.16590840768</v>
      </c>
      <c r="Q615" s="60">
        <f t="shared" ca="1" si="146"/>
        <v>0</v>
      </c>
      <c r="T615" s="327">
        <f>PIS!L49+PIS!L139-AFUDC!H17</f>
        <v>4533221.9000000004</v>
      </c>
      <c r="U615" s="55"/>
      <c r="V615" s="50"/>
      <c r="W615" s="50">
        <f>AFUDC!H17</f>
        <v>16214.220000000001</v>
      </c>
      <c r="X615" s="50"/>
      <c r="Y615" s="50"/>
    </row>
    <row r="616" spans="1:25" x14ac:dyDescent="0.2">
      <c r="A616" s="60">
        <v>19</v>
      </c>
      <c r="B616" s="70" t="s">
        <v>479</v>
      </c>
      <c r="C616" s="51" t="s">
        <v>614</v>
      </c>
      <c r="D616" s="66">
        <f t="shared" ca="1" si="147"/>
        <v>578333.27999999991</v>
      </c>
      <c r="F616" s="60">
        <f t="shared" ca="1" si="148"/>
        <v>500541.77064125455</v>
      </c>
      <c r="H616" s="60">
        <f t="shared" ca="1" si="149"/>
        <v>29395.332346879648</v>
      </c>
      <c r="I616" s="60">
        <f t="shared" ca="1" si="150"/>
        <v>48396.177011865686</v>
      </c>
      <c r="L616" s="60">
        <f t="shared" ca="1" si="151"/>
        <v>4.4256748489731477</v>
      </c>
      <c r="M616" s="60"/>
      <c r="N616" s="60">
        <f t="shared" ca="1" si="152"/>
        <v>48391.751337016714</v>
      </c>
      <c r="O616" s="60">
        <f t="shared" ca="1" si="146"/>
        <v>15099.454225800173</v>
      </c>
      <c r="P616" s="60">
        <f t="shared" ca="1" si="146"/>
        <v>33292.29711121654</v>
      </c>
      <c r="Q616" s="60">
        <f t="shared" ca="1" si="146"/>
        <v>0</v>
      </c>
      <c r="T616" s="327">
        <f>PIS!L50+PIS!L140</f>
        <v>578333.27999999991</v>
      </c>
      <c r="U616" s="55"/>
      <c r="V616" s="50"/>
      <c r="W616" s="50">
        <v>0</v>
      </c>
      <c r="X616" s="50"/>
      <c r="Y616" s="50"/>
    </row>
    <row r="617" spans="1:25" x14ac:dyDescent="0.2">
      <c r="A617" s="60">
        <v>20</v>
      </c>
      <c r="B617" s="70" t="s">
        <v>480</v>
      </c>
      <c r="C617" s="51" t="s">
        <v>614</v>
      </c>
      <c r="D617" s="66">
        <f t="shared" ca="1" si="147"/>
        <v>296203.86</v>
      </c>
      <c r="F617" s="60">
        <f t="shared" ca="1" si="148"/>
        <v>256361.53007686898</v>
      </c>
      <c r="H617" s="60">
        <f t="shared" ca="1" si="149"/>
        <v>15055.351660081902</v>
      </c>
      <c r="I617" s="60">
        <f t="shared" ca="1" si="150"/>
        <v>24786.978263049092</v>
      </c>
      <c r="L617" s="60">
        <f t="shared" ca="1" si="151"/>
        <v>2.2666895001628879</v>
      </c>
      <c r="M617" s="60"/>
      <c r="N617" s="60">
        <f t="shared" ca="1" si="152"/>
        <v>24784.711573548928</v>
      </c>
      <c r="O617" s="60">
        <f t="shared" ca="1" si="146"/>
        <v>7733.4588553771673</v>
      </c>
      <c r="P617" s="60">
        <f t="shared" ca="1" si="146"/>
        <v>17051.25271817176</v>
      </c>
      <c r="Q617" s="60">
        <f t="shared" ca="1" si="146"/>
        <v>0</v>
      </c>
      <c r="T617" s="327">
        <f>PIS!L51+PIS!L141-AFUDC!H18</f>
        <v>296203.86</v>
      </c>
      <c r="U617" s="55"/>
      <c r="V617" s="50"/>
      <c r="W617" s="50">
        <f>AFUDC!H18</f>
        <v>820</v>
      </c>
      <c r="X617" s="50"/>
      <c r="Y617" s="50"/>
    </row>
    <row r="618" spans="1:25" x14ac:dyDescent="0.2">
      <c r="A618" s="60">
        <v>21</v>
      </c>
      <c r="B618" s="70" t="s">
        <v>481</v>
      </c>
      <c r="C618" s="51" t="s">
        <v>614</v>
      </c>
      <c r="D618" s="66">
        <f t="shared" ca="1" si="147"/>
        <v>176359.59</v>
      </c>
      <c r="F618" s="60">
        <f t="shared" ca="1" si="148"/>
        <v>152637.49208443565</v>
      </c>
      <c r="H618" s="60">
        <f t="shared" ca="1" si="149"/>
        <v>8963.9468104091011</v>
      </c>
      <c r="I618" s="60">
        <f t="shared" ca="1" si="150"/>
        <v>14758.151105155246</v>
      </c>
      <c r="L618" s="60">
        <f t="shared" ca="1" si="151"/>
        <v>1.349585487866471</v>
      </c>
      <c r="M618" s="60"/>
      <c r="N618" s="60">
        <f t="shared" ca="1" si="152"/>
        <v>14756.80151966738</v>
      </c>
      <c r="O618" s="60">
        <f t="shared" ca="1" si="146"/>
        <v>4604.496487710142</v>
      </c>
      <c r="P618" s="60">
        <f t="shared" ca="1" si="146"/>
        <v>10152.305031957238</v>
      </c>
      <c r="Q618" s="60">
        <f t="shared" ca="1" si="146"/>
        <v>0</v>
      </c>
      <c r="T618" s="327">
        <f>PIS!L52+PIS!L142</f>
        <v>176359.59</v>
      </c>
      <c r="U618" s="55"/>
      <c r="V618" s="50"/>
      <c r="W618" s="50">
        <f>AFUDC!H20</f>
        <v>0</v>
      </c>
      <c r="X618" s="50"/>
      <c r="Y618" s="50"/>
    </row>
    <row r="619" spans="1:25" x14ac:dyDescent="0.2">
      <c r="A619" s="60">
        <v>22</v>
      </c>
      <c r="B619" s="70" t="s">
        <v>482</v>
      </c>
      <c r="C619" s="51" t="s">
        <v>614</v>
      </c>
      <c r="D619" s="66">
        <f t="shared" ca="1" si="147"/>
        <v>57608.88</v>
      </c>
      <c r="F619" s="60">
        <f t="shared" ca="1" si="148"/>
        <v>49859.919525743979</v>
      </c>
      <c r="H619" s="60">
        <f t="shared" ca="1" si="149"/>
        <v>2928.1250661063605</v>
      </c>
      <c r="I619" s="60">
        <f t="shared" ca="1" si="150"/>
        <v>4820.8354081496554</v>
      </c>
      <c r="L619" s="60">
        <f t="shared" ca="1" si="151"/>
        <v>0.44084990456283657</v>
      </c>
      <c r="M619" s="60"/>
      <c r="N619" s="60">
        <f t="shared" ca="1" si="152"/>
        <v>4820.3945582450924</v>
      </c>
      <c r="O619" s="60">
        <f t="shared" ca="1" si="146"/>
        <v>1504.0854065317062</v>
      </c>
      <c r="P619" s="60">
        <f t="shared" ca="1" si="146"/>
        <v>3316.3091517133867</v>
      </c>
      <c r="Q619" s="60">
        <f t="shared" ca="1" si="146"/>
        <v>0</v>
      </c>
      <c r="T619" s="327">
        <f>PIS!L53+PIS!L143</f>
        <v>57608.88</v>
      </c>
      <c r="U619" s="55"/>
      <c r="V619" s="50"/>
      <c r="W619" s="50"/>
      <c r="X619" s="50"/>
      <c r="Y619" s="50"/>
    </row>
    <row r="620" spans="1:25" x14ac:dyDescent="0.2">
      <c r="A620" s="60">
        <v>23</v>
      </c>
      <c r="B620" s="70" t="s">
        <v>877</v>
      </c>
      <c r="C620" s="51" t="s">
        <v>616</v>
      </c>
      <c r="D620" s="66">
        <f ca="1">SUM(F620:I620)+K620</f>
        <v>820</v>
      </c>
      <c r="F620" s="60">
        <f ca="1">INDEX(INDIRECT($C620),1,F$12+1)*$T620</f>
        <v>0</v>
      </c>
      <c r="H620" s="60">
        <f ca="1">INDEX(INDIRECT($C620),1,H$12+1)*$T620</f>
        <v>309.87371402678519</v>
      </c>
      <c r="I620" s="60">
        <f ca="1">(L620+M620+N620)</f>
        <v>510.12628597321481</v>
      </c>
      <c r="L620" s="60">
        <f ca="1">INDEX(INDIRECT($C620),1,L$12+1)*$T620</f>
        <v>0</v>
      </c>
      <c r="M620" s="60"/>
      <c r="N620" s="60">
        <f ca="1">SUM(O620:Q620)</f>
        <v>510.12628597321481</v>
      </c>
      <c r="O620" s="60">
        <f t="shared" ca="1" si="146"/>
        <v>159.1723442862455</v>
      </c>
      <c r="P620" s="60">
        <f t="shared" ca="1" si="146"/>
        <v>350.9539416869693</v>
      </c>
      <c r="Q620" s="60">
        <f t="shared" ca="1" si="146"/>
        <v>0</v>
      </c>
      <c r="T620" s="292">
        <f>AFUDC!D19+AFUDC!E19</f>
        <v>820</v>
      </c>
      <c r="U620" s="55"/>
    </row>
    <row r="621" spans="1:25" x14ac:dyDescent="0.2">
      <c r="A621" s="60">
        <v>24</v>
      </c>
      <c r="B621" s="70" t="s">
        <v>878</v>
      </c>
      <c r="C621" s="51" t="s">
        <v>622</v>
      </c>
      <c r="D621" s="66">
        <f ca="1">SUM(F621:I621)+K621</f>
        <v>59166.54</v>
      </c>
      <c r="F621" s="60">
        <f ca="1">INDEX(INDIRECT($C621),1,F$12+1)*$T621</f>
        <v>0</v>
      </c>
      <c r="H621" s="60">
        <f ca="1">INDEX(INDIRECT($C621),1,H$12+1)*$T621</f>
        <v>0</v>
      </c>
      <c r="I621" s="60">
        <f ca="1">(L621+M621+N621)</f>
        <v>59166.54</v>
      </c>
      <c r="L621" s="60">
        <f ca="1">INDEX(INDIRECT($C621),1,L$12+1)*$T621</f>
        <v>0</v>
      </c>
      <c r="M621" s="60"/>
      <c r="N621" s="60">
        <f ca="1">SUM(O621:Q621)</f>
        <v>59166.54</v>
      </c>
      <c r="O621" s="60">
        <f t="shared" ca="1" si="146"/>
        <v>18461.461669513752</v>
      </c>
      <c r="P621" s="60">
        <f t="shared" ca="1" si="146"/>
        <v>40705.078330486249</v>
      </c>
      <c r="Q621" s="60">
        <f t="shared" ca="1" si="146"/>
        <v>0</v>
      </c>
      <c r="T621" s="292">
        <f>AFUDC!F19+AFUDC!G19</f>
        <v>59166.54</v>
      </c>
      <c r="U621" s="55"/>
    </row>
    <row r="622" spans="1:25" x14ac:dyDescent="0.2">
      <c r="A622" s="60">
        <v>25</v>
      </c>
      <c r="B622" s="48" t="s">
        <v>78</v>
      </c>
      <c r="D622" s="66">
        <f ca="1">SUM(F622:I622)+K622</f>
        <v>28756470.000000004</v>
      </c>
      <c r="F622" s="60">
        <f ca="1">SUM(F612:F621)</f>
        <v>24836524.438375533</v>
      </c>
      <c r="H622" s="60">
        <f ca="1">SUM(H612:H621)</f>
        <v>1458885.2275194228</v>
      </c>
      <c r="I622" s="60">
        <f ca="1">(L622+M622+N622)</f>
        <v>2461060.3341050483</v>
      </c>
      <c r="L622" s="60">
        <f ca="1">SUM(L612:L621)</f>
        <v>219.59881869999941</v>
      </c>
      <c r="M622" s="60"/>
      <c r="N622" s="60">
        <f ca="1">SUM(O622:Q622)</f>
        <v>2460840.7352863485</v>
      </c>
      <c r="O622" s="60">
        <f ca="1">SUM(O612:O621)</f>
        <v>767844.74652847636</v>
      </c>
      <c r="P622" s="60">
        <f ca="1">SUM(P612:P621)</f>
        <v>1692995.988757872</v>
      </c>
      <c r="Q622" s="60">
        <f ca="1">SUM(Q612:Q621)</f>
        <v>0</v>
      </c>
      <c r="T622" s="292">
        <f>PIS!L54+PIS!L143</f>
        <v>28756470.000000004</v>
      </c>
      <c r="U622" s="78" t="str">
        <f ca="1">IF(D622=SUM($T612:$T621),"ok","err")</f>
        <v>ok</v>
      </c>
      <c r="V622" s="78" t="str">
        <f>IF(T622=SUM($T612:$T621),"ok","err")</f>
        <v>ok</v>
      </c>
      <c r="W622" s="80" t="s">
        <v>763</v>
      </c>
    </row>
    <row r="623" spans="1:25" x14ac:dyDescent="0.2">
      <c r="T623" s="79"/>
      <c r="U623" s="50"/>
      <c r="V623" s="50"/>
      <c r="W623" s="50"/>
      <c r="X623" s="50"/>
      <c r="Y623" s="50"/>
    </row>
    <row r="624" spans="1:25" x14ac:dyDescent="0.2">
      <c r="B624" s="70" t="s">
        <v>483</v>
      </c>
      <c r="C624" s="58"/>
      <c r="T624" s="79"/>
      <c r="U624" s="50"/>
      <c r="V624" s="50"/>
      <c r="W624" s="50"/>
      <c r="X624" s="50"/>
      <c r="Y624" s="50"/>
    </row>
    <row r="625" spans="1:25" x14ac:dyDescent="0.2">
      <c r="A625" s="60">
        <v>26</v>
      </c>
      <c r="B625" s="70" t="s">
        <v>484</v>
      </c>
      <c r="C625" s="51" t="s">
        <v>614</v>
      </c>
      <c r="D625" s="66">
        <f ca="1">SUM(F625:I625)+K625</f>
        <v>294923.71999999997</v>
      </c>
      <c r="F625" s="60">
        <f ca="1">INDEX(INDIRECT($C625),1,F$12+1)*$T625</f>
        <v>255253.58148662237</v>
      </c>
      <c r="H625" s="60">
        <f ca="1">INDEX(INDIRECT($C625),1,H$12+1)*$T625</f>
        <v>14990.285128288098</v>
      </c>
      <c r="I625" s="60">
        <f ca="1">(L625+M625+N625)</f>
        <v>24679.8533850895</v>
      </c>
      <c r="L625" s="60">
        <f ca="1">INDEX(INDIRECT($C625),1,L$12+1)*$T625</f>
        <v>2.2568932743583408</v>
      </c>
      <c r="M625" s="60"/>
      <c r="N625" s="60">
        <f ca="1">SUM(O625:Q625)</f>
        <v>24677.59649181514</v>
      </c>
      <c r="O625" s="60">
        <f t="shared" ref="O625:Q634" ca="1" si="153">INDEX(INDIRECT($C625),1,O$12+1)*$T625</f>
        <v>7700.036232123296</v>
      </c>
      <c r="P625" s="60">
        <f t="shared" ca="1" si="153"/>
        <v>16977.560259691843</v>
      </c>
      <c r="Q625" s="60">
        <f t="shared" ca="1" si="153"/>
        <v>0</v>
      </c>
      <c r="T625" s="292">
        <f>PIS!L64+PIS!L65</f>
        <v>294923.71999999997</v>
      </c>
      <c r="U625" s="55"/>
      <c r="V625" s="50"/>
      <c r="W625" s="50"/>
      <c r="X625" s="50"/>
      <c r="Y625" s="50"/>
    </row>
    <row r="626" spans="1:25" x14ac:dyDescent="0.2">
      <c r="A626" s="60">
        <v>27</v>
      </c>
      <c r="B626" s="70" t="s">
        <v>485</v>
      </c>
      <c r="C626" s="51" t="s">
        <v>614</v>
      </c>
      <c r="D626" s="66">
        <f t="shared" ref="D626:D632" ca="1" si="154">SUM(F626:I626)+K626</f>
        <v>35819882.469999999</v>
      </c>
      <c r="F626" s="60">
        <f t="shared" ref="F626:F632" ca="1" si="155">INDEX(INDIRECT($C626),1,F$12+1)*$T626</f>
        <v>31001756.280903354</v>
      </c>
      <c r="H626" s="60">
        <f t="shared" ref="H626:H632" ca="1" si="156">INDEX(INDIRECT($C626),1,H$12+1)*$T626</f>
        <v>1820641.1186155817</v>
      </c>
      <c r="I626" s="60">
        <f t="shared" ref="I626:I632" ca="1" si="157">(L626+M626+N626)</f>
        <v>2997485.0704810638</v>
      </c>
      <c r="L626" s="60">
        <f t="shared" ref="L626:L632" ca="1" si="158">INDEX(INDIRECT($C626),1,L$12+1)*$T626</f>
        <v>274.11037618421886</v>
      </c>
      <c r="M626" s="60"/>
      <c r="N626" s="60">
        <f t="shared" ref="N626:N632" ca="1" si="159">SUM(O626:Q626)</f>
        <v>2997210.9601048795</v>
      </c>
      <c r="O626" s="60">
        <f t="shared" ca="1" si="153"/>
        <v>935205.86560280097</v>
      </c>
      <c r="P626" s="60">
        <f t="shared" ca="1" si="153"/>
        <v>2062005.0945020786</v>
      </c>
      <c r="Q626" s="60">
        <f t="shared" ca="1" si="153"/>
        <v>0</v>
      </c>
      <c r="T626" s="292">
        <f>PIS!L66+PIS!L151-AFUDC!H24</f>
        <v>35819882.469999999</v>
      </c>
      <c r="U626" s="55"/>
      <c r="V626" s="50"/>
      <c r="W626" s="50">
        <f>AFUDC!H24</f>
        <v>198530.74</v>
      </c>
      <c r="X626" s="50"/>
      <c r="Y626" s="50"/>
    </row>
    <row r="627" spans="1:25" x14ac:dyDescent="0.2">
      <c r="A627" s="60">
        <v>28</v>
      </c>
      <c r="B627" s="70" t="s">
        <v>486</v>
      </c>
      <c r="C627" s="51" t="s">
        <v>614</v>
      </c>
      <c r="D627" s="66">
        <f t="shared" ca="1" si="154"/>
        <v>22685927.640000001</v>
      </c>
      <c r="F627" s="60">
        <f t="shared" ca="1" si="155"/>
        <v>19634447.441041227</v>
      </c>
      <c r="H627" s="60">
        <f t="shared" ca="1" si="156"/>
        <v>1153072.8139578328</v>
      </c>
      <c r="I627" s="60">
        <f t="shared" ca="1" si="157"/>
        <v>1898407.3850009402</v>
      </c>
      <c r="L627" s="60">
        <f t="shared" ca="1" si="158"/>
        <v>173.60325413397061</v>
      </c>
      <c r="M627" s="60"/>
      <c r="N627" s="60">
        <f t="shared" ca="1" si="159"/>
        <v>1898233.7817468061</v>
      </c>
      <c r="O627" s="60">
        <f t="shared" ca="1" si="153"/>
        <v>592297.10240779328</v>
      </c>
      <c r="P627" s="60">
        <f t="shared" ca="1" si="153"/>
        <v>1305936.6793390128</v>
      </c>
      <c r="Q627" s="60">
        <f t="shared" ca="1" si="153"/>
        <v>0</v>
      </c>
      <c r="T627" s="292">
        <f>PIS!L67+PIS!L68+PIS!L152-AFUDC!H25</f>
        <v>22685927.640000001</v>
      </c>
      <c r="U627" s="55"/>
      <c r="V627" s="50"/>
      <c r="W627" s="50">
        <f>AFUDC!H25</f>
        <v>61889.27</v>
      </c>
      <c r="X627" s="50"/>
      <c r="Y627" s="50"/>
    </row>
    <row r="628" spans="1:25" x14ac:dyDescent="0.2">
      <c r="A628" s="60">
        <v>29</v>
      </c>
      <c r="B628" s="70" t="s">
        <v>487</v>
      </c>
      <c r="C628" s="51" t="s">
        <v>614</v>
      </c>
      <c r="D628" s="66">
        <f t="shared" ca="1" si="154"/>
        <v>363401097.91000003</v>
      </c>
      <c r="F628" s="60">
        <f t="shared" ca="1" si="155"/>
        <v>314520079.15029091</v>
      </c>
      <c r="H628" s="60">
        <f t="shared" ca="1" si="156"/>
        <v>18470830.605296314</v>
      </c>
      <c r="I628" s="60">
        <f t="shared" ca="1" si="157"/>
        <v>30410188.154412791</v>
      </c>
      <c r="L628" s="60">
        <f t="shared" ca="1" si="158"/>
        <v>2780.9139724926704</v>
      </c>
      <c r="M628" s="60"/>
      <c r="N628" s="60">
        <f t="shared" ca="1" si="159"/>
        <v>30407407.240440298</v>
      </c>
      <c r="O628" s="60">
        <f t="shared" ca="1" si="153"/>
        <v>9487882.5640080273</v>
      </c>
      <c r="P628" s="60">
        <f t="shared" ca="1" si="153"/>
        <v>20919524.676432271</v>
      </c>
      <c r="Q628" s="60">
        <f t="shared" ca="1" si="153"/>
        <v>0</v>
      </c>
      <c r="T628" s="292">
        <f>PIS!L69+PIS!L153-AFUDC!H26</f>
        <v>363401097.91000003</v>
      </c>
      <c r="U628" s="55"/>
      <c r="V628" s="50"/>
      <c r="W628" s="50">
        <f>AFUDC!H26</f>
        <v>1366002.71</v>
      </c>
      <c r="X628" s="50"/>
      <c r="Y628" s="50"/>
    </row>
    <row r="629" spans="1:25" x14ac:dyDescent="0.2">
      <c r="A629" s="60">
        <v>30</v>
      </c>
      <c r="B629" s="70" t="s">
        <v>488</v>
      </c>
      <c r="C629" s="51" t="s">
        <v>614</v>
      </c>
      <c r="D629" s="66">
        <f t="shared" ca="1" si="154"/>
        <v>59091568.579999998</v>
      </c>
      <c r="F629" s="60">
        <f t="shared" ca="1" si="155"/>
        <v>51143171.921564549</v>
      </c>
      <c r="H629" s="60">
        <f t="shared" ca="1" si="156"/>
        <v>3003486.6700175568</v>
      </c>
      <c r="I629" s="60">
        <f t="shared" ca="1" si="157"/>
        <v>4944909.9884178909</v>
      </c>
      <c r="L629" s="60">
        <f t="shared" ca="1" si="158"/>
        <v>452.19612616946057</v>
      </c>
      <c r="M629" s="60"/>
      <c r="N629" s="60">
        <f t="shared" ca="1" si="159"/>
        <v>4944457.7922917213</v>
      </c>
      <c r="O629" s="60">
        <f t="shared" ca="1" si="153"/>
        <v>1542796.2833203059</v>
      </c>
      <c r="P629" s="60">
        <f t="shared" ca="1" si="153"/>
        <v>3401661.5089714159</v>
      </c>
      <c r="Q629" s="60">
        <f t="shared" ca="1" si="153"/>
        <v>0</v>
      </c>
      <c r="T629" s="292">
        <f>PIS!L70+PIS!L154-AFUDC!H27</f>
        <v>59091568.579999998</v>
      </c>
      <c r="U629" s="55"/>
      <c r="V629" s="50"/>
      <c r="W629" s="50">
        <f>AFUDC!H27</f>
        <v>269192.56</v>
      </c>
      <c r="X629" s="50"/>
      <c r="Y629" s="50"/>
    </row>
    <row r="630" spans="1:25" x14ac:dyDescent="0.2">
      <c r="A630" s="60">
        <v>31</v>
      </c>
      <c r="B630" s="70" t="s">
        <v>489</v>
      </c>
      <c r="C630" s="51" t="s">
        <v>614</v>
      </c>
      <c r="D630" s="66">
        <f t="shared" ca="1" si="154"/>
        <v>44623313.05999998</v>
      </c>
      <c r="F630" s="60">
        <f t="shared" ca="1" si="155"/>
        <v>38621038.946490191</v>
      </c>
      <c r="H630" s="60">
        <f t="shared" ca="1" si="156"/>
        <v>2268098.9719587895</v>
      </c>
      <c r="I630" s="60">
        <f t="shared" ca="1" si="157"/>
        <v>3734175.1415510061</v>
      </c>
      <c r="L630" s="60">
        <f t="shared" ca="1" si="158"/>
        <v>341.47831556139562</v>
      </c>
      <c r="M630" s="60"/>
      <c r="N630" s="60">
        <f t="shared" ca="1" si="159"/>
        <v>3733833.6632354446</v>
      </c>
      <c r="O630" s="60">
        <f t="shared" ca="1" si="153"/>
        <v>1165050.8387707188</v>
      </c>
      <c r="P630" s="60">
        <f t="shared" ca="1" si="153"/>
        <v>2568782.8244647258</v>
      </c>
      <c r="Q630" s="60">
        <f t="shared" ca="1" si="153"/>
        <v>0</v>
      </c>
      <c r="T630" s="292">
        <f>PIS!L71+PIS!L72+PIS!L155-AFUDC!H28</f>
        <v>44623313.059999987</v>
      </c>
      <c r="U630" s="55"/>
      <c r="V630" s="50"/>
      <c r="W630" s="50">
        <f>AFUDC!H28</f>
        <v>184790.76</v>
      </c>
      <c r="X630" s="50"/>
      <c r="Y630" s="50"/>
    </row>
    <row r="631" spans="1:25" x14ac:dyDescent="0.2">
      <c r="A631" s="60">
        <v>32</v>
      </c>
      <c r="B631" s="70" t="s">
        <v>490</v>
      </c>
      <c r="C631" s="51" t="s">
        <v>614</v>
      </c>
      <c r="D631" s="66">
        <f t="shared" ca="1" si="154"/>
        <v>5356925.4699999988</v>
      </c>
      <c r="F631" s="60">
        <f t="shared" ca="1" si="155"/>
        <v>4636366.3525416255</v>
      </c>
      <c r="H631" s="60">
        <f t="shared" ca="1" si="156"/>
        <v>272280.03297357267</v>
      </c>
      <c r="I631" s="60">
        <f t="shared" ca="1" si="157"/>
        <v>448279.08448480046</v>
      </c>
      <c r="L631" s="60">
        <f t="shared" ca="1" si="158"/>
        <v>40.993681567836902</v>
      </c>
      <c r="M631" s="60"/>
      <c r="N631" s="60">
        <f t="shared" ca="1" si="159"/>
        <v>448238.09080323263</v>
      </c>
      <c r="O631" s="60">
        <f t="shared" ca="1" si="153"/>
        <v>139861.65714912355</v>
      </c>
      <c r="P631" s="60">
        <f t="shared" ca="1" si="153"/>
        <v>308376.43365410907</v>
      </c>
      <c r="Q631" s="60">
        <f t="shared" ca="1" si="153"/>
        <v>0</v>
      </c>
      <c r="T631" s="292">
        <f>PIS!L73+PIS!L156-AFUDC!H29</f>
        <v>5356925.4699999988</v>
      </c>
      <c r="U631" s="55"/>
      <c r="V631" s="50"/>
      <c r="W631" s="50">
        <f>AFUDC!H29</f>
        <v>11309.279999999999</v>
      </c>
      <c r="X631" s="50"/>
      <c r="Y631" s="50"/>
    </row>
    <row r="632" spans="1:25" x14ac:dyDescent="0.2">
      <c r="A632" s="60">
        <v>33</v>
      </c>
      <c r="B632" s="70" t="s">
        <v>491</v>
      </c>
      <c r="C632" s="51" t="s">
        <v>614</v>
      </c>
      <c r="D632" s="66">
        <f t="shared" ca="1" si="154"/>
        <v>17790.809999999998</v>
      </c>
      <c r="F632" s="60">
        <f t="shared" ca="1" si="155"/>
        <v>15397.771227244848</v>
      </c>
      <c r="H632" s="60">
        <f t="shared" ca="1" si="156"/>
        <v>904.26539636486064</v>
      </c>
      <c r="I632" s="60">
        <f t="shared" ca="1" si="157"/>
        <v>1488.7733763902886</v>
      </c>
      <c r="L632" s="60">
        <f t="shared" ca="1" si="158"/>
        <v>0.13614354055478178</v>
      </c>
      <c r="M632" s="60"/>
      <c r="N632" s="60">
        <f t="shared" ca="1" si="159"/>
        <v>1488.6372328497339</v>
      </c>
      <c r="O632" s="60">
        <f t="shared" ca="1" si="153"/>
        <v>464.49258675708228</v>
      </c>
      <c r="P632" s="60">
        <f t="shared" ca="1" si="153"/>
        <v>1024.1446460926516</v>
      </c>
      <c r="Q632" s="60">
        <f t="shared" ca="1" si="153"/>
        <v>0</v>
      </c>
      <c r="T632" s="292">
        <f>PIS!L74</f>
        <v>17790.809999999998</v>
      </c>
      <c r="U632" s="55"/>
      <c r="V632" s="50"/>
      <c r="W632" s="50">
        <f>AFUDC!H30</f>
        <v>2091715.32</v>
      </c>
      <c r="X632" s="50"/>
      <c r="Y632" s="50"/>
    </row>
    <row r="633" spans="1:25" x14ac:dyDescent="0.2">
      <c r="A633" s="60">
        <v>34</v>
      </c>
      <c r="B633" s="70" t="s">
        <v>877</v>
      </c>
      <c r="C633" s="51" t="s">
        <v>616</v>
      </c>
      <c r="D633" s="66">
        <f ca="1">SUM(F633:I633)+K633</f>
        <v>2004.8500000000001</v>
      </c>
      <c r="F633" s="60">
        <f ca="1">INDEX(INDIRECT($C633),1,F$12+1)*$T633</f>
        <v>0</v>
      </c>
      <c r="H633" s="60">
        <f ca="1">INDEX(INDIRECT($C633),1,H$12+1)*$T633</f>
        <v>757.62233605682968</v>
      </c>
      <c r="I633" s="60">
        <f ca="1">(L633+M633+N633)</f>
        <v>1247.2276639431705</v>
      </c>
      <c r="L633" s="60">
        <f ca="1">INDEX(INDIRECT($C633),1,L$12+1)*$T633</f>
        <v>0</v>
      </c>
      <c r="M633" s="60"/>
      <c r="N633" s="60">
        <f ca="1">SUM(O633:Q633)</f>
        <v>1247.2276639431705</v>
      </c>
      <c r="O633" s="60">
        <f t="shared" ca="1" si="153"/>
        <v>389.16667614912109</v>
      </c>
      <c r="P633" s="60">
        <f t="shared" ca="1" si="153"/>
        <v>858.06098779404931</v>
      </c>
      <c r="Q633" s="60">
        <f t="shared" ca="1" si="153"/>
        <v>0</v>
      </c>
      <c r="T633" s="292">
        <f>AFUDC!D30+AFUDC!E30</f>
        <v>2004.8500000000001</v>
      </c>
      <c r="U633" s="55"/>
      <c r="W633" s="50"/>
    </row>
    <row r="634" spans="1:25" x14ac:dyDescent="0.2">
      <c r="A634" s="60">
        <v>35</v>
      </c>
      <c r="B634" s="70" t="s">
        <v>878</v>
      </c>
      <c r="C634" s="51" t="s">
        <v>622</v>
      </c>
      <c r="D634" s="66">
        <f ca="1">SUM(F634:I634)+K634</f>
        <v>2089710.4699999997</v>
      </c>
      <c r="F634" s="60">
        <f ca="1">INDEX(INDIRECT($C634),1,F$12+1)*$T634</f>
        <v>0</v>
      </c>
      <c r="H634" s="60">
        <f ca="1">INDEX(INDIRECT($C634),1,H$12+1)*$T634</f>
        <v>0</v>
      </c>
      <c r="I634" s="60">
        <f ca="1">(L634+M634+N634)</f>
        <v>2089710.4699999997</v>
      </c>
      <c r="L634" s="60">
        <f ca="1">INDEX(INDIRECT($C634),1,L$12+1)*$T634</f>
        <v>0</v>
      </c>
      <c r="M634" s="60"/>
      <c r="N634" s="60">
        <f ca="1">SUM(O634:Q634)</f>
        <v>2089710.4699999997</v>
      </c>
      <c r="O634" s="60">
        <f t="shared" ca="1" si="153"/>
        <v>652042.68734130077</v>
      </c>
      <c r="P634" s="60">
        <f t="shared" ca="1" si="153"/>
        <v>1437667.782658699</v>
      </c>
      <c r="Q634" s="60">
        <f t="shared" ca="1" si="153"/>
        <v>0</v>
      </c>
      <c r="T634" s="292">
        <f>AFUDC!F30+AFUDC!G30</f>
        <v>2089710.4699999997</v>
      </c>
      <c r="U634" s="55"/>
    </row>
    <row r="635" spans="1:25" x14ac:dyDescent="0.2">
      <c r="A635" s="60">
        <v>36</v>
      </c>
      <c r="B635" s="48" t="s">
        <v>79</v>
      </c>
      <c r="D635" s="66">
        <f ca="1">SUM(F635:I635)+K635</f>
        <v>533383144.98000002</v>
      </c>
      <c r="F635" s="60">
        <f ca="1">SUM(F625:F634)</f>
        <v>459827511.44554573</v>
      </c>
      <c r="H635" s="60">
        <f ca="1">SUM(H625:H634)</f>
        <v>27005062.385680355</v>
      </c>
      <c r="I635" s="60">
        <f ca="1">(L635+M635+N635)</f>
        <v>46550571.148773916</v>
      </c>
      <c r="L635" s="60">
        <f ca="1">SUM(L625:L634)</f>
        <v>4065.6887629244661</v>
      </c>
      <c r="M635" s="60"/>
      <c r="N635" s="60">
        <f ca="1">SUM(O635:Q635)</f>
        <v>46546505.460010991</v>
      </c>
      <c r="O635" s="60">
        <f ca="1">SUM(O625:O634)</f>
        <v>14523690.694095101</v>
      </c>
      <c r="P635" s="60">
        <f ca="1">SUM(P625:P634)</f>
        <v>32022814.765915893</v>
      </c>
      <c r="Q635" s="60">
        <f ca="1">SUM(Q625:Q634)</f>
        <v>0</v>
      </c>
      <c r="T635" s="292">
        <f>PIS!L75+PIS!L157</f>
        <v>533383144.98000002</v>
      </c>
      <c r="U635" s="78" t="str">
        <f ca="1">IF(D635=SUM($T625:$T634),"ok","err")</f>
        <v>ok</v>
      </c>
      <c r="V635" s="78" t="str">
        <f>IF(T635=SUM($T625:$T634),"ok","err")</f>
        <v>ok</v>
      </c>
      <c r="W635" s="81" t="s">
        <v>762</v>
      </c>
    </row>
    <row r="636" spans="1:25" x14ac:dyDescent="0.2">
      <c r="T636" s="79"/>
    </row>
    <row r="637" spans="1:25" x14ac:dyDescent="0.2">
      <c r="A637" s="60">
        <v>37</v>
      </c>
      <c r="B637" s="48" t="s">
        <v>1045</v>
      </c>
      <c r="C637" s="58"/>
      <c r="D637" s="66">
        <f ca="1">SUM(F637:I637)+K637</f>
        <v>4189773097.6700006</v>
      </c>
      <c r="F637" s="60">
        <f ca="1">F635+F622+F609</f>
        <v>3590352277.8244367</v>
      </c>
      <c r="H637" s="60">
        <f ca="1">H635+H622+H609</f>
        <v>217317282.19570932</v>
      </c>
      <c r="I637" s="60">
        <f ca="1">(L637+M637+N637)</f>
        <v>382103537.64985466</v>
      </c>
      <c r="L637" s="60">
        <f ca="1">L635+L622+L609</f>
        <v>31745.066459816917</v>
      </c>
      <c r="M637" s="60"/>
      <c r="N637" s="60">
        <f ca="1">SUM(O637:Q637)</f>
        <v>382071792.58339483</v>
      </c>
      <c r="O637" s="60">
        <f ca="1">O635+O622+O609</f>
        <v>119216093.31525475</v>
      </c>
      <c r="P637" s="60">
        <f ca="1">P635+P622+P609</f>
        <v>262855699.26814008</v>
      </c>
      <c r="Q637" s="60">
        <f ca="1">Q635+Q622+Q609</f>
        <v>0</v>
      </c>
      <c r="T637" s="82"/>
      <c r="U637" s="55"/>
    </row>
    <row r="638" spans="1:25" x14ac:dyDescent="0.2">
      <c r="C638" s="58"/>
      <c r="T638" s="79"/>
    </row>
    <row r="639" spans="1:25" x14ac:dyDescent="0.2">
      <c r="B639" s="64" t="s">
        <v>80</v>
      </c>
      <c r="T639" s="79"/>
    </row>
    <row r="640" spans="1:25" x14ac:dyDescent="0.2">
      <c r="C640" s="58"/>
      <c r="T640" s="79"/>
    </row>
    <row r="641" spans="1:25" x14ac:dyDescent="0.2">
      <c r="B641" s="48" t="s">
        <v>81</v>
      </c>
      <c r="C641" s="58"/>
      <c r="T641" s="83"/>
    </row>
    <row r="642" spans="1:25" x14ac:dyDescent="0.2">
      <c r="B642" s="70" t="s">
        <v>354</v>
      </c>
      <c r="C642" s="58"/>
      <c r="R642" s="84" t="s">
        <v>761</v>
      </c>
      <c r="W642" s="55" t="s">
        <v>1344</v>
      </c>
    </row>
    <row r="643" spans="1:25" x14ac:dyDescent="0.2">
      <c r="A643" s="60">
        <v>1</v>
      </c>
      <c r="B643" s="70" t="s">
        <v>398</v>
      </c>
      <c r="C643" s="51" t="s">
        <v>627</v>
      </c>
      <c r="D643" s="66">
        <f ca="1">SUM(F643:I643)+K643</f>
        <v>23367025.390000001</v>
      </c>
      <c r="F643" s="60">
        <f ca="1">INDEX(INDIRECT($C643),1,F$12+1)*$T643</f>
        <v>20223930.850615676</v>
      </c>
      <c r="H643" s="60">
        <f ca="1">INDEX(INDIRECT($C643),1,H$12+1)*$T643</f>
        <v>1187691.424738734</v>
      </c>
      <c r="I643" s="60">
        <f ca="1">(L643+M643+N643)</f>
        <v>1955403.1146455898</v>
      </c>
      <c r="L643" s="60">
        <f ca="1">INDEX(INDIRECT($C643),1,L$12+1)*$T643</f>
        <v>178.81533043341372</v>
      </c>
      <c r="M643" s="60"/>
      <c r="N643" s="60">
        <f ca="1">SUM(O643:Q643)</f>
        <v>1955224.2993151564</v>
      </c>
      <c r="O643" s="60">
        <f t="shared" ref="O643:Q653" ca="1" si="160">INDEX(INDIRECT($C643),1,O$12+1)*$T643</f>
        <v>610079.58986800048</v>
      </c>
      <c r="P643" s="60">
        <f t="shared" ca="1" si="160"/>
        <v>1345144.7094471559</v>
      </c>
      <c r="Q643" s="60">
        <f t="shared" ca="1" si="160"/>
        <v>0</v>
      </c>
      <c r="T643" s="292">
        <f>PIS!L92+PIS!L93+PIS!L168+PIS!L299-AFUDC!H35</f>
        <v>23367025.390000001</v>
      </c>
      <c r="U643" s="50"/>
      <c r="V643" s="50"/>
      <c r="W643" s="50">
        <f>AFUDC!H35</f>
        <v>82596.86</v>
      </c>
      <c r="X643" s="50"/>
      <c r="Y643" s="50"/>
    </row>
    <row r="644" spans="1:25" x14ac:dyDescent="0.2">
      <c r="A644" s="60">
        <v>2</v>
      </c>
      <c r="B644" s="70" t="s">
        <v>399</v>
      </c>
      <c r="C644" s="51" t="s">
        <v>627</v>
      </c>
      <c r="D644" s="66">
        <f t="shared" ref="D644:D650" ca="1" si="161">SUM(F644:I644)+K644</f>
        <v>16662947.760000004</v>
      </c>
      <c r="F644" s="60">
        <f t="shared" ref="F644:F651" ca="1" si="162">INDEX(INDIRECT($C644),1,F$12+1)*$T644</f>
        <v>14421617.541866396</v>
      </c>
      <c r="H644" s="60">
        <f t="shared" ref="H644:H651" ca="1" si="163">INDEX(INDIRECT($C644),1,H$12+1)*$T644</f>
        <v>846938.7881048345</v>
      </c>
      <c r="I644" s="60">
        <f t="shared" ref="I644:I650" ca="1" si="164">(L644+M644+N644)</f>
        <v>1394391.4300287736</v>
      </c>
      <c r="L644" s="60">
        <f t="shared" ref="L644:L651" ca="1" si="165">INDEX(INDIRECT($C644),1,L$12+1)*$T644</f>
        <v>127.51261489082123</v>
      </c>
      <c r="M644" s="60"/>
      <c r="N644" s="60">
        <f t="shared" ref="N644:N650" ca="1" si="166">SUM(O644:Q644)</f>
        <v>1394263.9174138827</v>
      </c>
      <c r="O644" s="60">
        <f t="shared" ca="1" si="160"/>
        <v>435045.71787571971</v>
      </c>
      <c r="P644" s="60">
        <f t="shared" ca="1" si="160"/>
        <v>959218.19953816303</v>
      </c>
      <c r="Q644" s="60">
        <f t="shared" ca="1" si="160"/>
        <v>0</v>
      </c>
      <c r="T644" s="292">
        <f>PIS!L94+PIS!L95+PIS!L169-AFUDC!H36</f>
        <v>16662947.760000004</v>
      </c>
      <c r="U644" s="50"/>
      <c r="V644" s="50"/>
      <c r="W644" s="50">
        <f>AFUDC!H36</f>
        <v>113996.78</v>
      </c>
      <c r="X644" s="50"/>
      <c r="Y644" s="50"/>
    </row>
    <row r="645" spans="1:25" x14ac:dyDescent="0.2">
      <c r="A645" s="60">
        <v>3</v>
      </c>
      <c r="B645" s="70" t="s">
        <v>400</v>
      </c>
      <c r="C645" s="51" t="s">
        <v>627</v>
      </c>
      <c r="D645" s="66">
        <f t="shared" ca="1" si="161"/>
        <v>189274083.45999998</v>
      </c>
      <c r="F645" s="60">
        <f t="shared" ca="1" si="162"/>
        <v>163814859.26517838</v>
      </c>
      <c r="H645" s="60">
        <f t="shared" ca="1" si="163"/>
        <v>9620360.4052627515</v>
      </c>
      <c r="I645" s="60">
        <f t="shared" ca="1" si="164"/>
        <v>15838863.78955885</v>
      </c>
      <c r="L645" s="60">
        <f t="shared" ca="1" si="165"/>
        <v>1448.413189590899</v>
      </c>
      <c r="M645" s="60"/>
      <c r="N645" s="60">
        <f t="shared" ca="1" si="166"/>
        <v>15837415.37636926</v>
      </c>
      <c r="O645" s="60">
        <f t="shared" ca="1" si="160"/>
        <v>4941675.4286292354</v>
      </c>
      <c r="P645" s="60">
        <f t="shared" ca="1" si="160"/>
        <v>10895739.947740024</v>
      </c>
      <c r="Q645" s="60">
        <f t="shared" ca="1" si="160"/>
        <v>0</v>
      </c>
      <c r="T645" s="292">
        <f>PIS!L96+PIS!L97+PIS!L98+PIS!L170-AFUDC!H37</f>
        <v>189274083.45999998</v>
      </c>
      <c r="U645" s="50"/>
      <c r="V645" s="50"/>
      <c r="W645" s="50">
        <f>AFUDC!H37</f>
        <v>1160925.79</v>
      </c>
      <c r="X645" s="50"/>
      <c r="Y645" s="50"/>
    </row>
    <row r="646" spans="1:25" x14ac:dyDescent="0.2">
      <c r="A646" s="60">
        <v>4</v>
      </c>
      <c r="B646" s="70" t="s">
        <v>401</v>
      </c>
      <c r="C646" s="51" t="s">
        <v>627</v>
      </c>
      <c r="D646" s="66">
        <f t="shared" ca="1" si="161"/>
        <v>86348154.789999992</v>
      </c>
      <c r="F646" s="60">
        <f t="shared" ca="1" si="162"/>
        <v>74733479.439730197</v>
      </c>
      <c r="H646" s="60">
        <f t="shared" ca="1" si="163"/>
        <v>4388875.4034556989</v>
      </c>
      <c r="I646" s="60">
        <f t="shared" ca="1" si="164"/>
        <v>7225799.9468140891</v>
      </c>
      <c r="L646" s="60">
        <f t="shared" ca="1" si="165"/>
        <v>660.77618239320987</v>
      </c>
      <c r="M646" s="60"/>
      <c r="N646" s="60">
        <f t="shared" ca="1" si="166"/>
        <v>7225139.1706316955</v>
      </c>
      <c r="O646" s="60">
        <f t="shared" ca="1" si="160"/>
        <v>2254426.7394294045</v>
      </c>
      <c r="P646" s="60">
        <f t="shared" ca="1" si="160"/>
        <v>4970712.4312022915</v>
      </c>
      <c r="Q646" s="60">
        <f t="shared" ca="1" si="160"/>
        <v>0</v>
      </c>
      <c r="T646" s="292">
        <f>PIS!L99+PIS!L171-AFUDC!H38</f>
        <v>86348154.789999992</v>
      </c>
      <c r="U646" s="50"/>
      <c r="V646" s="50"/>
      <c r="W646" s="50">
        <f>AFUDC!H38</f>
        <v>1261093.07</v>
      </c>
      <c r="X646" s="50"/>
      <c r="Y646" s="50"/>
    </row>
    <row r="647" spans="1:25" x14ac:dyDescent="0.2">
      <c r="A647" s="60">
        <v>5</v>
      </c>
      <c r="B647" s="70" t="s">
        <v>402</v>
      </c>
      <c r="C647" s="51" t="s">
        <v>627</v>
      </c>
      <c r="D647" s="66">
        <f t="shared" ca="1" si="161"/>
        <v>142592931.88000003</v>
      </c>
      <c r="F647" s="60">
        <f t="shared" ca="1" si="162"/>
        <v>123412781.30171417</v>
      </c>
      <c r="H647" s="60">
        <f t="shared" ca="1" si="163"/>
        <v>7247666.2987967273</v>
      </c>
      <c r="I647" s="60">
        <f t="shared" ca="1" si="164"/>
        <v>11932484.279489135</v>
      </c>
      <c r="L647" s="60">
        <f t="shared" ca="1" si="165"/>
        <v>1091.1873379699982</v>
      </c>
      <c r="M647" s="60"/>
      <c r="N647" s="60">
        <f t="shared" ca="1" si="166"/>
        <v>11931393.092151165</v>
      </c>
      <c r="O647" s="60">
        <f t="shared" ca="1" si="160"/>
        <v>3722897.3712954973</v>
      </c>
      <c r="P647" s="60">
        <f t="shared" ca="1" si="160"/>
        <v>8208495.7208556673</v>
      </c>
      <c r="Q647" s="60">
        <f t="shared" ca="1" si="160"/>
        <v>0</v>
      </c>
      <c r="T647" s="292">
        <f>PIS!L100+PIS!L172+PIS!L300-AFUDC!H39</f>
        <v>142592931.88000003</v>
      </c>
      <c r="U647" s="50"/>
      <c r="V647" s="50"/>
      <c r="W647" s="50">
        <f>AFUDC!H39</f>
        <v>635115.22</v>
      </c>
      <c r="X647" s="50"/>
      <c r="Y647" s="50"/>
    </row>
    <row r="648" spans="1:25" x14ac:dyDescent="0.2">
      <c r="A648" s="60">
        <v>6</v>
      </c>
      <c r="B648" s="70" t="s">
        <v>403</v>
      </c>
      <c r="C648" s="51" t="s">
        <v>627</v>
      </c>
      <c r="D648" s="66">
        <f t="shared" ca="1" si="161"/>
        <v>150242446.98000002</v>
      </c>
      <c r="F648" s="60">
        <f t="shared" ca="1" si="162"/>
        <v>130033361.4500691</v>
      </c>
      <c r="H648" s="60">
        <f t="shared" ca="1" si="163"/>
        <v>7636473.3179206718</v>
      </c>
      <c r="I648" s="60">
        <f t="shared" ca="1" si="164"/>
        <v>12572612.21201022</v>
      </c>
      <c r="L648" s="60">
        <f t="shared" ca="1" si="165"/>
        <v>1149.7249801145247</v>
      </c>
      <c r="M648" s="60"/>
      <c r="N648" s="60">
        <f t="shared" ca="1" si="166"/>
        <v>12571462.487030106</v>
      </c>
      <c r="O648" s="60">
        <f t="shared" ca="1" si="160"/>
        <v>3922615.2625121619</v>
      </c>
      <c r="P648" s="60">
        <f t="shared" ca="1" si="160"/>
        <v>8648847.2245179433</v>
      </c>
      <c r="Q648" s="60">
        <f t="shared" ca="1" si="160"/>
        <v>0</v>
      </c>
      <c r="T648" s="292">
        <f>PIS!L101+PIS!L173+PIS!L301-AFUDC!H40</f>
        <v>150242446.97999999</v>
      </c>
      <c r="U648" s="50"/>
      <c r="V648" s="50"/>
      <c r="W648" s="50">
        <f>AFUDC!H40</f>
        <v>1324572.2000000002</v>
      </c>
      <c r="X648" s="50"/>
      <c r="Y648" s="50"/>
    </row>
    <row r="649" spans="1:25" x14ac:dyDescent="0.2">
      <c r="A649" s="60">
        <v>7</v>
      </c>
      <c r="B649" s="70" t="s">
        <v>404</v>
      </c>
      <c r="C649" s="51" t="s">
        <v>627</v>
      </c>
      <c r="D649" s="66">
        <f t="shared" ca="1" si="161"/>
        <v>447363.25999999995</v>
      </c>
      <c r="F649" s="60">
        <f t="shared" ca="1" si="162"/>
        <v>387188.5053549814</v>
      </c>
      <c r="H649" s="60">
        <f t="shared" ca="1" si="163"/>
        <v>22738.431562305272</v>
      </c>
      <c r="I649" s="60">
        <f t="shared" ca="1" si="164"/>
        <v>37436.323082713301</v>
      </c>
      <c r="L649" s="60">
        <f t="shared" ca="1" si="165"/>
        <v>3.4234314306391558</v>
      </c>
      <c r="M649" s="60"/>
      <c r="N649" s="60">
        <f t="shared" ca="1" si="166"/>
        <v>37432.899651282663</v>
      </c>
      <c r="O649" s="60">
        <f t="shared" ca="1" si="160"/>
        <v>11680.014448891377</v>
      </c>
      <c r="P649" s="60">
        <f t="shared" ca="1" si="160"/>
        <v>25752.885202391288</v>
      </c>
      <c r="Q649" s="60">
        <f t="shared" ca="1" si="160"/>
        <v>0</v>
      </c>
      <c r="T649" s="292">
        <f>PIS!L102-AFUDC!H41</f>
        <v>447363.26</v>
      </c>
      <c r="U649" s="50"/>
      <c r="V649" s="50"/>
      <c r="W649" s="50">
        <f>AFUDC!H41</f>
        <v>1397</v>
      </c>
      <c r="X649" s="50"/>
      <c r="Y649" s="50"/>
    </row>
    <row r="650" spans="1:25" x14ac:dyDescent="0.2">
      <c r="A650" s="60">
        <v>8</v>
      </c>
      <c r="B650" s="70" t="s">
        <v>405</v>
      </c>
      <c r="C650" s="51" t="s">
        <v>627</v>
      </c>
      <c r="D650" s="66">
        <f t="shared" ca="1" si="161"/>
        <v>1158210.29</v>
      </c>
      <c r="F650" s="60">
        <f t="shared" ca="1" si="162"/>
        <v>1002419.6244274946</v>
      </c>
      <c r="H650" s="60">
        <f t="shared" ca="1" si="163"/>
        <v>58869.128890742482</v>
      </c>
      <c r="I650" s="60">
        <f t="shared" ca="1" si="164"/>
        <v>96921.536681762969</v>
      </c>
      <c r="L650" s="60">
        <f t="shared" ca="1" si="165"/>
        <v>8.8631630368477108</v>
      </c>
      <c r="M650" s="60"/>
      <c r="N650" s="60">
        <f t="shared" ca="1" si="166"/>
        <v>96912.673518726122</v>
      </c>
      <c r="O650" s="60">
        <f t="shared" ca="1" si="160"/>
        <v>30239.213032502204</v>
      </c>
      <c r="P650" s="60">
        <f t="shared" ca="1" si="160"/>
        <v>66673.460486223921</v>
      </c>
      <c r="Q650" s="60">
        <f t="shared" ca="1" si="160"/>
        <v>0</v>
      </c>
      <c r="T650" s="292">
        <f>PIS!L103-AFUDC!H42</f>
        <v>1158210.29</v>
      </c>
      <c r="U650" s="50"/>
      <c r="V650" s="50"/>
      <c r="W650" s="50">
        <f>AFUDC!H42</f>
        <v>3339</v>
      </c>
      <c r="X650" s="50"/>
      <c r="Y650" s="50"/>
    </row>
    <row r="651" spans="1:25" x14ac:dyDescent="0.2">
      <c r="A651" s="60">
        <v>9</v>
      </c>
      <c r="B651" s="70" t="s">
        <v>406</v>
      </c>
      <c r="C651" s="51" t="s">
        <v>627</v>
      </c>
      <c r="D651" s="66">
        <f ca="1">SUM(F651:I651)+K651</f>
        <v>539999.49</v>
      </c>
      <c r="F651" s="60">
        <f t="shared" ca="1" si="162"/>
        <v>467364.2520969474</v>
      </c>
      <c r="H651" s="60">
        <f t="shared" ca="1" si="163"/>
        <v>27446.915169217853</v>
      </c>
      <c r="I651" s="60">
        <f ca="1">(L651+M651+N651)</f>
        <v>45188.322733834713</v>
      </c>
      <c r="L651" s="60">
        <f t="shared" ca="1" si="165"/>
        <v>4.1323268848566475</v>
      </c>
      <c r="M651" s="60"/>
      <c r="N651" s="60">
        <f ca="1">SUM(O651:Q651)</f>
        <v>45184.190406949856</v>
      </c>
      <c r="O651" s="60">
        <f t="shared" ca="1" si="160"/>
        <v>14098.613832512698</v>
      </c>
      <c r="P651" s="60">
        <f t="shared" ca="1" si="160"/>
        <v>31085.57657443716</v>
      </c>
      <c r="Q651" s="60">
        <f t="shared" ca="1" si="160"/>
        <v>0</v>
      </c>
      <c r="T651" s="292">
        <f>PIS!L104+PIS!L105</f>
        <v>539999.49</v>
      </c>
      <c r="U651" s="50"/>
      <c r="V651" s="50"/>
      <c r="W651" s="50"/>
      <c r="X651" s="50"/>
      <c r="Y651" s="50"/>
    </row>
    <row r="652" spans="1:25" x14ac:dyDescent="0.2">
      <c r="A652" s="60">
        <v>10</v>
      </c>
      <c r="B652" s="70" t="s">
        <v>877</v>
      </c>
      <c r="C652" s="51" t="s">
        <v>631</v>
      </c>
      <c r="D652" s="66">
        <f ca="1">SUM(F652:I652)+K652</f>
        <v>3160679.6300000004</v>
      </c>
      <c r="F652" s="60">
        <f ca="1">INDEX(INDIRECT($C652),1,F$12+1)*$T652</f>
        <v>0</v>
      </c>
      <c r="H652" s="60">
        <f ca="1">INDEX(INDIRECT($C652),1,H$12+1)*$T652</f>
        <v>1194404.3119474456</v>
      </c>
      <c r="I652" s="60">
        <f ca="1">(L652+M652+N652)</f>
        <v>1966275.3180525547</v>
      </c>
      <c r="L652" s="60">
        <f ca="1">INDEX(INDIRECT($C652),1,L$12+1)*$T652</f>
        <v>0</v>
      </c>
      <c r="M652" s="60"/>
      <c r="N652" s="60">
        <f ca="1">SUM(O652:Q652)</f>
        <v>1966275.3180525547</v>
      </c>
      <c r="O652" s="60">
        <f t="shared" ca="1" si="160"/>
        <v>613527.78810351598</v>
      </c>
      <c r="P652" s="60">
        <f t="shared" ca="1" si="160"/>
        <v>1352747.5299490388</v>
      </c>
      <c r="Q652" s="60">
        <f t="shared" ca="1" si="160"/>
        <v>0</v>
      </c>
      <c r="T652" s="292">
        <f>AFUDC!D43+AFUDC!E43</f>
        <v>3160679.6300000004</v>
      </c>
      <c r="U652" s="50"/>
      <c r="V652" s="50"/>
      <c r="W652" s="50"/>
      <c r="X652" s="50"/>
      <c r="Y652" s="50"/>
    </row>
    <row r="653" spans="1:25" x14ac:dyDescent="0.2">
      <c r="A653" s="60">
        <v>11</v>
      </c>
      <c r="B653" s="70" t="s">
        <v>878</v>
      </c>
      <c r="C653" s="51" t="s">
        <v>633</v>
      </c>
      <c r="D653" s="66">
        <f ca="1">SUM(F653:I653)+K653</f>
        <v>1422356.29</v>
      </c>
      <c r="F653" s="60">
        <f ca="1">INDEX(INDIRECT($C653),1,F$12+1)*$T653</f>
        <v>0</v>
      </c>
      <c r="H653" s="60">
        <f ca="1">INDEX(INDIRECT($C653),1,H$12+1)*$T653</f>
        <v>0</v>
      </c>
      <c r="I653" s="60">
        <f ca="1">(L653+M653+N653)</f>
        <v>1422356.29</v>
      </c>
      <c r="L653" s="60">
        <f ca="1">INDEX(INDIRECT($C653),1,L$12+1)*$T653</f>
        <v>0</v>
      </c>
      <c r="M653" s="60"/>
      <c r="N653" s="60">
        <f ca="1">SUM(O653:Q653)</f>
        <v>1422356.29</v>
      </c>
      <c r="O653" s="60">
        <f t="shared" ca="1" si="160"/>
        <v>443811.25088989129</v>
      </c>
      <c r="P653" s="60">
        <f t="shared" ca="1" si="160"/>
        <v>978545.03911010874</v>
      </c>
      <c r="Q653" s="60">
        <f t="shared" ca="1" si="160"/>
        <v>0</v>
      </c>
      <c r="T653" s="292">
        <f>AFUDC!G43+AFUDC!F43</f>
        <v>1422356.29</v>
      </c>
      <c r="U653" s="50"/>
    </row>
    <row r="654" spans="1:25" x14ac:dyDescent="0.2">
      <c r="A654" s="60">
        <v>12</v>
      </c>
      <c r="B654" s="70" t="s">
        <v>411</v>
      </c>
      <c r="C654" s="58"/>
      <c r="D654" s="66">
        <f ca="1">SUM(F654:I654)+K654</f>
        <v>615216199.21999991</v>
      </c>
      <c r="F654" s="60">
        <f ca="1">SUM(F643:F653)</f>
        <v>528497002.23105335</v>
      </c>
      <c r="H654" s="60">
        <f ca="1">SUM(H643:H653)</f>
        <v>32231464.425849125</v>
      </c>
      <c r="I654" s="60">
        <f ca="1">(L654+M654+N654)</f>
        <v>54487732.563097522</v>
      </c>
      <c r="L654" s="60">
        <f ca="1">SUM(L643:L653)</f>
        <v>4672.8485567452108</v>
      </c>
      <c r="M654" s="60"/>
      <c r="N654" s="60">
        <f ca="1">SUM(O654:Q654)</f>
        <v>54483059.71454078</v>
      </c>
      <c r="O654" s="60">
        <f ca="1">SUM(O643:O653)</f>
        <v>17000096.98991733</v>
      </c>
      <c r="P654" s="60">
        <f ca="1">SUM(P643:P653)</f>
        <v>37482962.724623449</v>
      </c>
      <c r="Q654" s="60">
        <f ca="1">SUM(Q643:Q653)</f>
        <v>0</v>
      </c>
      <c r="T654" s="85"/>
      <c r="U654" s="78" t="str">
        <f ca="1">IF(D654=SUM(T643:T653),"ok","err")</f>
        <v>ok</v>
      </c>
    </row>
    <row r="655" spans="1:25" x14ac:dyDescent="0.2">
      <c r="C655" s="58"/>
    </row>
    <row r="656" spans="1:25" x14ac:dyDescent="0.2">
      <c r="B656" s="70" t="s">
        <v>409</v>
      </c>
      <c r="C656" s="58"/>
      <c r="T656" s="83"/>
      <c r="W656" s="50" t="s">
        <v>760</v>
      </c>
    </row>
    <row r="657" spans="1:25" x14ac:dyDescent="0.2">
      <c r="A657" s="60">
        <v>13</v>
      </c>
      <c r="B657" s="70" t="s">
        <v>398</v>
      </c>
      <c r="C657" s="51" t="s">
        <v>629</v>
      </c>
      <c r="D657" s="66">
        <f t="shared" ref="D657:D665" ca="1" si="167">SUM(F657:I657)+K657</f>
        <v>1883960.9700000002</v>
      </c>
      <c r="F657" s="60">
        <f t="shared" ref="F657:F664" ca="1" si="168">INDEX(INDIRECT($C657),1,F$12+1)*$T657</f>
        <v>0</v>
      </c>
      <c r="H657" s="60">
        <f t="shared" ref="H657:H664" ca="1" si="169">INDEX(INDIRECT($C657),1,H$12+1)*$T657</f>
        <v>1883960.9700000002</v>
      </c>
      <c r="I657" s="60">
        <f t="shared" ref="I657:I665" ca="1" si="170">(L657+M657+N657)</f>
        <v>0</v>
      </c>
      <c r="L657" s="60">
        <f t="shared" ref="L657:L664" ca="1" si="171">INDEX(INDIRECT($C657),1,L$12+1)*$T657</f>
        <v>0</v>
      </c>
      <c r="M657" s="60"/>
      <c r="N657" s="60">
        <f t="shared" ref="N657:N665" ca="1" si="172">SUM(O657:Q657)</f>
        <v>0</v>
      </c>
      <c r="O657" s="60">
        <f t="shared" ref="O657:Q664" ca="1" si="173">INDEX(INDIRECT($C657),1,O$12+1)*$T657</f>
        <v>0</v>
      </c>
      <c r="P657" s="60">
        <f t="shared" ca="1" si="173"/>
        <v>0</v>
      </c>
      <c r="Q657" s="60">
        <f t="shared" ca="1" si="173"/>
        <v>0</v>
      </c>
      <c r="T657" s="85">
        <f>W657-T668</f>
        <v>1883960.9700000002</v>
      </c>
      <c r="U657" s="50"/>
      <c r="V657" s="50"/>
      <c r="W657" s="292">
        <f>PIS!L228+PIS!L229</f>
        <v>2164331.7200000002</v>
      </c>
      <c r="X657" s="50"/>
      <c r="Y657" s="50"/>
    </row>
    <row r="658" spans="1:25" x14ac:dyDescent="0.2">
      <c r="A658" s="60">
        <v>14</v>
      </c>
      <c r="B658" s="70" t="s">
        <v>399</v>
      </c>
      <c r="C658" s="51" t="s">
        <v>629</v>
      </c>
      <c r="D658" s="66">
        <f t="shared" ca="1" si="167"/>
        <v>1447986.99</v>
      </c>
      <c r="F658" s="60">
        <f t="shared" ca="1" si="168"/>
        <v>0</v>
      </c>
      <c r="H658" s="60">
        <f t="shared" ca="1" si="169"/>
        <v>1447986.99</v>
      </c>
      <c r="I658" s="60">
        <f t="shared" ca="1" si="170"/>
        <v>0</v>
      </c>
      <c r="L658" s="60">
        <f t="shared" ca="1" si="171"/>
        <v>0</v>
      </c>
      <c r="M658" s="60"/>
      <c r="N658" s="60">
        <f t="shared" ca="1" si="172"/>
        <v>0</v>
      </c>
      <c r="O658" s="60">
        <f t="shared" ca="1" si="173"/>
        <v>0</v>
      </c>
      <c r="P658" s="60">
        <f t="shared" ca="1" si="173"/>
        <v>0</v>
      </c>
      <c r="Q658" s="60">
        <f t="shared" ca="1" si="173"/>
        <v>0</v>
      </c>
      <c r="T658" s="85">
        <f>W658</f>
        <v>1447986.99</v>
      </c>
      <c r="U658" s="50"/>
      <c r="V658" s="50"/>
      <c r="W658" s="292">
        <f>PIS!L230-AFUDC!H48</f>
        <v>1447986.99</v>
      </c>
      <c r="X658" s="50">
        <f>AFUDC!H48</f>
        <v>3</v>
      </c>
      <c r="Y658" s="50"/>
    </row>
    <row r="659" spans="1:25" x14ac:dyDescent="0.2">
      <c r="A659" s="60">
        <v>15</v>
      </c>
      <c r="B659" s="70" t="s">
        <v>400</v>
      </c>
      <c r="C659" s="51" t="s">
        <v>629</v>
      </c>
      <c r="D659" s="66">
        <f t="shared" ca="1" si="167"/>
        <v>17612494.049999997</v>
      </c>
      <c r="F659" s="60">
        <f t="shared" ca="1" si="168"/>
        <v>0</v>
      </c>
      <c r="H659" s="60">
        <f t="shared" ca="1" si="169"/>
        <v>17612494.049999997</v>
      </c>
      <c r="I659" s="60">
        <f t="shared" ca="1" si="170"/>
        <v>0</v>
      </c>
      <c r="L659" s="60">
        <f t="shared" ca="1" si="171"/>
        <v>0</v>
      </c>
      <c r="M659" s="60"/>
      <c r="N659" s="60">
        <f t="shared" ca="1" si="172"/>
        <v>0</v>
      </c>
      <c r="O659" s="60">
        <f t="shared" ca="1" si="173"/>
        <v>0</v>
      </c>
      <c r="P659" s="60">
        <f t="shared" ca="1" si="173"/>
        <v>0</v>
      </c>
      <c r="Q659" s="60">
        <f t="shared" ca="1" si="173"/>
        <v>0</v>
      </c>
      <c r="T659" s="85">
        <f>W659</f>
        <v>17612494.049999997</v>
      </c>
      <c r="U659" s="50"/>
      <c r="V659" s="50"/>
      <c r="W659" s="292">
        <f>PIS!L231+PIS!L262-AFUDC!H49</f>
        <v>17612494.049999997</v>
      </c>
      <c r="X659" s="50">
        <f>AFUDC!H49</f>
        <v>1894.94</v>
      </c>
      <c r="Y659" s="50"/>
    </row>
    <row r="660" spans="1:25" x14ac:dyDescent="0.2">
      <c r="A660" s="60">
        <v>16</v>
      </c>
      <c r="B660" s="70" t="s">
        <v>401</v>
      </c>
      <c r="C660" s="51" t="s">
        <v>629</v>
      </c>
      <c r="D660" s="66">
        <f t="shared" ca="1" si="167"/>
        <v>2421964.2000000011</v>
      </c>
      <c r="F660" s="60">
        <f t="shared" ca="1" si="168"/>
        <v>0</v>
      </c>
      <c r="H660" s="60">
        <f t="shared" ca="1" si="169"/>
        <v>2421964.2000000011</v>
      </c>
      <c r="I660" s="60">
        <f t="shared" ca="1" si="170"/>
        <v>0</v>
      </c>
      <c r="L660" s="60">
        <f t="shared" ca="1" si="171"/>
        <v>0</v>
      </c>
      <c r="M660" s="60"/>
      <c r="N660" s="60">
        <f t="shared" ca="1" si="172"/>
        <v>0</v>
      </c>
      <c r="O660" s="60">
        <f t="shared" ca="1" si="173"/>
        <v>0</v>
      </c>
      <c r="P660" s="60">
        <f t="shared" ca="1" si="173"/>
        <v>0</v>
      </c>
      <c r="Q660" s="60">
        <f t="shared" ca="1" si="173"/>
        <v>0</v>
      </c>
      <c r="T660" s="85">
        <f>W660-T669</f>
        <v>2421964.2000000011</v>
      </c>
      <c r="U660" s="50"/>
      <c r="V660" s="50"/>
      <c r="W660" s="292">
        <f>PIS!L232</f>
        <v>7191287.0700000003</v>
      </c>
      <c r="X660" s="50"/>
      <c r="Y660" s="50"/>
    </row>
    <row r="661" spans="1:25" x14ac:dyDescent="0.2">
      <c r="A661" s="60">
        <v>17</v>
      </c>
      <c r="B661" s="70" t="s">
        <v>402</v>
      </c>
      <c r="C661" s="51" t="s">
        <v>629</v>
      </c>
      <c r="D661" s="66">
        <f t="shared" ca="1" si="167"/>
        <v>8035932.8300000001</v>
      </c>
      <c r="F661" s="60">
        <f t="shared" ca="1" si="168"/>
        <v>0</v>
      </c>
      <c r="H661" s="60">
        <f t="shared" ca="1" si="169"/>
        <v>8035932.8300000001</v>
      </c>
      <c r="I661" s="60">
        <f t="shared" ca="1" si="170"/>
        <v>0</v>
      </c>
      <c r="L661" s="60">
        <f t="shared" ca="1" si="171"/>
        <v>0</v>
      </c>
      <c r="M661" s="60"/>
      <c r="N661" s="60">
        <f t="shared" ca="1" si="172"/>
        <v>0</v>
      </c>
      <c r="O661" s="60">
        <f t="shared" ca="1" si="173"/>
        <v>0</v>
      </c>
      <c r="P661" s="60">
        <f t="shared" ca="1" si="173"/>
        <v>0</v>
      </c>
      <c r="Q661" s="60">
        <f t="shared" ca="1" si="173"/>
        <v>0</v>
      </c>
      <c r="T661" s="85">
        <f>W661-T670</f>
        <v>8035932.8300000001</v>
      </c>
      <c r="U661" s="50"/>
      <c r="V661" s="50"/>
      <c r="W661" s="292">
        <f>PIS!L233-AFUDC!H50</f>
        <v>8087290.8100000005</v>
      </c>
      <c r="X661" s="50">
        <f>AFUDC!H50</f>
        <v>693.3</v>
      </c>
      <c r="Y661" s="50"/>
    </row>
    <row r="662" spans="1:25" x14ac:dyDescent="0.2">
      <c r="A662" s="60">
        <v>18</v>
      </c>
      <c r="B662" s="70" t="s">
        <v>403</v>
      </c>
      <c r="C662" s="51" t="s">
        <v>629</v>
      </c>
      <c r="D662" s="66">
        <f t="shared" ca="1" si="167"/>
        <v>13092360.83</v>
      </c>
      <c r="F662" s="60">
        <f t="shared" ca="1" si="168"/>
        <v>0</v>
      </c>
      <c r="H662" s="60">
        <f t="shared" ca="1" si="169"/>
        <v>13092360.83</v>
      </c>
      <c r="I662" s="60">
        <f t="shared" ca="1" si="170"/>
        <v>0</v>
      </c>
      <c r="L662" s="60">
        <f t="shared" ca="1" si="171"/>
        <v>0</v>
      </c>
      <c r="M662" s="60"/>
      <c r="N662" s="60">
        <f t="shared" ca="1" si="172"/>
        <v>0</v>
      </c>
      <c r="O662" s="60">
        <f t="shared" ca="1" si="173"/>
        <v>0</v>
      </c>
      <c r="P662" s="60">
        <f t="shared" ca="1" si="173"/>
        <v>0</v>
      </c>
      <c r="Q662" s="60">
        <f t="shared" ca="1" si="173"/>
        <v>0</v>
      </c>
      <c r="T662" s="85">
        <f>W662-T671</f>
        <v>13092360.83</v>
      </c>
      <c r="U662" s="50"/>
      <c r="V662" s="50"/>
      <c r="W662" s="292">
        <f>PIS!L234-AFUDC!H51</f>
        <v>16221738.640000001</v>
      </c>
      <c r="X662" s="50">
        <f>AFUDC!H51</f>
        <v>2064.61</v>
      </c>
      <c r="Y662" s="50"/>
    </row>
    <row r="663" spans="1:25" x14ac:dyDescent="0.2">
      <c r="A663" s="60">
        <v>19</v>
      </c>
      <c r="B663" s="70" t="s">
        <v>877</v>
      </c>
      <c r="C663" s="51" t="s">
        <v>631</v>
      </c>
      <c r="D663" s="66">
        <f t="shared" ca="1" si="167"/>
        <v>323.94</v>
      </c>
      <c r="F663" s="60">
        <f t="shared" ca="1" si="168"/>
        <v>0</v>
      </c>
      <c r="H663" s="60">
        <f t="shared" ca="1" si="169"/>
        <v>122.41523283150829</v>
      </c>
      <c r="I663" s="60">
        <f t="shared" ca="1" si="170"/>
        <v>201.52476716849171</v>
      </c>
      <c r="L663" s="60">
        <f t="shared" ca="1" si="171"/>
        <v>0</v>
      </c>
      <c r="M663" s="60"/>
      <c r="N663" s="60">
        <f t="shared" ca="1" si="172"/>
        <v>201.52476716849171</v>
      </c>
      <c r="O663" s="60">
        <f t="shared" ca="1" si="173"/>
        <v>62.880840497666298</v>
      </c>
      <c r="P663" s="60">
        <f t="shared" ca="1" si="173"/>
        <v>138.64392667082541</v>
      </c>
      <c r="Q663" s="60">
        <f t="shared" ca="1" si="173"/>
        <v>0</v>
      </c>
      <c r="T663" s="85">
        <f>W663-T672</f>
        <v>323.94</v>
      </c>
      <c r="U663" s="50"/>
      <c r="V663" s="50"/>
      <c r="W663" s="292">
        <f>SUM(AFUDC!D52:E52)</f>
        <v>323.94</v>
      </c>
      <c r="X663" s="50">
        <f>AFUDC!H52</f>
        <v>4655.8500000000004</v>
      </c>
      <c r="Y663" s="50"/>
    </row>
    <row r="664" spans="1:25" x14ac:dyDescent="0.2">
      <c r="A664" s="60">
        <v>20</v>
      </c>
      <c r="B664" s="70" t="s">
        <v>878</v>
      </c>
      <c r="C664" s="51" t="s">
        <v>633</v>
      </c>
      <c r="D664" s="66">
        <f t="shared" ca="1" si="167"/>
        <v>4331.91</v>
      </c>
      <c r="F664" s="60">
        <f t="shared" ca="1" si="168"/>
        <v>0</v>
      </c>
      <c r="H664" s="60">
        <f t="shared" ca="1" si="169"/>
        <v>0</v>
      </c>
      <c r="I664" s="60">
        <f t="shared" ca="1" si="170"/>
        <v>4331.91</v>
      </c>
      <c r="L664" s="60">
        <f t="shared" ca="1" si="171"/>
        <v>0</v>
      </c>
      <c r="M664" s="60"/>
      <c r="N664" s="60">
        <f t="shared" ca="1" si="172"/>
        <v>4331.91</v>
      </c>
      <c r="O664" s="60">
        <f t="shared" ca="1" si="173"/>
        <v>1351.6658303964252</v>
      </c>
      <c r="P664" s="60">
        <f t="shared" ca="1" si="173"/>
        <v>2980.2441696035744</v>
      </c>
      <c r="Q664" s="60">
        <f t="shared" ca="1" si="173"/>
        <v>0</v>
      </c>
      <c r="T664" s="85">
        <f>W664-T673</f>
        <v>4331.91</v>
      </c>
      <c r="U664" s="50"/>
      <c r="W664" s="292">
        <f>SUM(AFUDC!F52:G52)</f>
        <v>4331.91</v>
      </c>
    </row>
    <row r="665" spans="1:25" x14ac:dyDescent="0.2">
      <c r="A665" s="60">
        <v>21</v>
      </c>
      <c r="B665" s="70" t="s">
        <v>410</v>
      </c>
      <c r="C665" s="58"/>
      <c r="D665" s="66">
        <f t="shared" ca="1" si="167"/>
        <v>44499355.719999999</v>
      </c>
      <c r="F665" s="60">
        <f ca="1">SUM(F657:F664)</f>
        <v>0</v>
      </c>
      <c r="H665" s="60">
        <f ca="1">SUM(H657:H664)</f>
        <v>44494822.285232827</v>
      </c>
      <c r="I665" s="60">
        <f t="shared" ca="1" si="170"/>
        <v>4533.4347671684909</v>
      </c>
      <c r="L665" s="60">
        <f ca="1">SUM(L657:L664)</f>
        <v>0</v>
      </c>
      <c r="M665" s="60"/>
      <c r="N665" s="60">
        <f t="shared" ca="1" si="172"/>
        <v>4533.4347671684909</v>
      </c>
      <c r="O665" s="60">
        <f ca="1">SUM(O657:O664)</f>
        <v>1414.5466708940914</v>
      </c>
      <c r="P665" s="60">
        <f ca="1">SUM(P657:P664)</f>
        <v>3118.8880962743997</v>
      </c>
      <c r="Q665" s="60">
        <f ca="1">SUM(Q657:Q664)</f>
        <v>0</v>
      </c>
      <c r="T665" s="85"/>
      <c r="U665" s="78" t="str">
        <f ca="1">IF(D665=SUM(T657:T664),"ok","err")</f>
        <v>ok</v>
      </c>
    </row>
    <row r="666" spans="1:25" x14ac:dyDescent="0.2">
      <c r="C666" s="58"/>
    </row>
    <row r="667" spans="1:25" x14ac:dyDescent="0.2">
      <c r="B667" s="70" t="s">
        <v>407</v>
      </c>
      <c r="C667" s="58"/>
      <c r="T667" s="83"/>
      <c r="W667" s="84"/>
    </row>
    <row r="668" spans="1:25" x14ac:dyDescent="0.2">
      <c r="A668" s="60">
        <v>22</v>
      </c>
      <c r="B668" s="70" t="s">
        <v>398</v>
      </c>
      <c r="C668" s="51" t="s">
        <v>624</v>
      </c>
      <c r="D668" s="66">
        <f t="shared" ref="D668:D674" ca="1" si="174">SUM(F668:I668)+K668</f>
        <v>280370.75</v>
      </c>
      <c r="F668" s="60">
        <f t="shared" ref="F668:F673" ca="1" si="175">INDEX(INDIRECT($C668),1,F$12+1)*$T668</f>
        <v>255652.34147320627</v>
      </c>
      <c r="H668" s="60">
        <f t="shared" ref="H668:H673" ca="1" si="176">INDEX(INDIRECT($C668),1,H$12+1)*$T668</f>
        <v>0</v>
      </c>
      <c r="I668" s="60">
        <f t="shared" ref="I668:I674" ca="1" si="177">(L668+M668+N668)</f>
        <v>24718.408526793733</v>
      </c>
      <c r="L668" s="60">
        <f t="shared" ref="L668:L673" ca="1" si="178">INDEX(INDIRECT($C668),1,L$12+1)*$T668</f>
        <v>2.2604190181561865</v>
      </c>
      <c r="M668" s="60"/>
      <c r="N668" s="60">
        <f t="shared" ref="N668:N674" ca="1" si="179">SUM(O668:Q668)</f>
        <v>24716.148107775578</v>
      </c>
      <c r="O668" s="60">
        <f t="shared" ref="O668:Q673" ca="1" si="180">INDEX(INDIRECT($C668),1,O$12+1)*$T668</f>
        <v>7712.065314445018</v>
      </c>
      <c r="P668" s="60">
        <f t="shared" ca="1" si="180"/>
        <v>17004.082793330559</v>
      </c>
      <c r="Q668" s="60">
        <f t="shared" ca="1" si="180"/>
        <v>0</v>
      </c>
      <c r="T668" s="292">
        <f>VA500KV!D6</f>
        <v>280370.75</v>
      </c>
      <c r="U668" s="50"/>
      <c r="V668" s="50"/>
      <c r="W668" s="50"/>
      <c r="X668" s="50"/>
      <c r="Y668" s="50"/>
    </row>
    <row r="669" spans="1:25" x14ac:dyDescent="0.2">
      <c r="A669" s="60">
        <v>23</v>
      </c>
      <c r="B669" s="70" t="s">
        <v>401</v>
      </c>
      <c r="C669" s="51" t="s">
        <v>624</v>
      </c>
      <c r="D669" s="66">
        <f t="shared" ca="1" si="174"/>
        <v>4769322.8699999992</v>
      </c>
      <c r="F669" s="60">
        <f t="shared" ca="1" si="175"/>
        <v>4348843.6613206333</v>
      </c>
      <c r="H669" s="60">
        <f t="shared" ca="1" si="176"/>
        <v>0</v>
      </c>
      <c r="I669" s="60">
        <f t="shared" ca="1" si="177"/>
        <v>420479.20867936598</v>
      </c>
      <c r="L669" s="60">
        <f t="shared" ca="1" si="178"/>
        <v>38.45147227046774</v>
      </c>
      <c r="M669" s="60"/>
      <c r="N669" s="60">
        <f t="shared" ca="1" si="179"/>
        <v>420440.75720709551</v>
      </c>
      <c r="O669" s="60">
        <f t="shared" ca="1" si="180"/>
        <v>131188.18378563513</v>
      </c>
      <c r="P669" s="60">
        <f t="shared" ca="1" si="180"/>
        <v>289252.5734214604</v>
      </c>
      <c r="Q669" s="60">
        <f t="shared" ca="1" si="180"/>
        <v>0</v>
      </c>
      <c r="T669" s="292">
        <f>SUM(VA500KV!D7:D17)</f>
        <v>4769322.8699999992</v>
      </c>
      <c r="U669" s="50"/>
      <c r="V669" s="50"/>
      <c r="W669" s="50"/>
      <c r="X669" s="50"/>
      <c r="Y669" s="50"/>
    </row>
    <row r="670" spans="1:25" x14ac:dyDescent="0.2">
      <c r="A670" s="60">
        <v>24</v>
      </c>
      <c r="B670" s="70" t="s">
        <v>402</v>
      </c>
      <c r="C670" s="51" t="s">
        <v>624</v>
      </c>
      <c r="D670" s="66">
        <f t="shared" ca="1" si="174"/>
        <v>51357.979999999996</v>
      </c>
      <c r="F670" s="60">
        <f t="shared" ca="1" si="175"/>
        <v>46830.091371279268</v>
      </c>
      <c r="H670" s="60">
        <f t="shared" ca="1" si="176"/>
        <v>0</v>
      </c>
      <c r="I670" s="60">
        <f t="shared" ca="1" si="177"/>
        <v>4527.8886287207279</v>
      </c>
      <c r="L670" s="60">
        <f t="shared" ca="1" si="178"/>
        <v>0.41406086307535661</v>
      </c>
      <c r="M670" s="60"/>
      <c r="N670" s="60">
        <f t="shared" ca="1" si="179"/>
        <v>4527.4745678576528</v>
      </c>
      <c r="O670" s="60">
        <f t="shared" ca="1" si="180"/>
        <v>1412.6869374853152</v>
      </c>
      <c r="P670" s="60">
        <f t="shared" ca="1" si="180"/>
        <v>3114.7876303723374</v>
      </c>
      <c r="Q670" s="60">
        <f t="shared" ca="1" si="180"/>
        <v>0</v>
      </c>
      <c r="T670" s="292">
        <f>SUM(VA500KV!D18:D24)</f>
        <v>51357.979999999996</v>
      </c>
      <c r="U670" s="50"/>
      <c r="V670" s="50"/>
      <c r="W670" s="50"/>
      <c r="X670" s="50"/>
      <c r="Y670" s="50"/>
    </row>
    <row r="671" spans="1:25" x14ac:dyDescent="0.2">
      <c r="A671" s="60">
        <v>25</v>
      </c>
      <c r="B671" s="70" t="s">
        <v>403</v>
      </c>
      <c r="C671" s="51" t="s">
        <v>624</v>
      </c>
      <c r="D671" s="66">
        <f t="shared" ca="1" si="174"/>
        <v>3129377.8099999996</v>
      </c>
      <c r="F671" s="60">
        <f t="shared" ca="1" si="175"/>
        <v>2853481.5578329563</v>
      </c>
      <c r="H671" s="60">
        <f t="shared" ca="1" si="176"/>
        <v>0</v>
      </c>
      <c r="I671" s="60">
        <f t="shared" ca="1" si="177"/>
        <v>275896.25216704345</v>
      </c>
      <c r="L671" s="60">
        <f t="shared" ca="1" si="178"/>
        <v>25.229825567467209</v>
      </c>
      <c r="M671" s="60"/>
      <c r="N671" s="60">
        <f t="shared" ca="1" si="179"/>
        <v>275871.022341476</v>
      </c>
      <c r="O671" s="60">
        <f t="shared" ca="1" si="180"/>
        <v>86078.758445005093</v>
      </c>
      <c r="P671" s="60">
        <f t="shared" ca="1" si="180"/>
        <v>189792.26389647092</v>
      </c>
      <c r="Q671" s="60">
        <f t="shared" ca="1" si="180"/>
        <v>0</v>
      </c>
      <c r="T671" s="292">
        <f>SUM(VA500KV!D25:D29)</f>
        <v>3129377.81</v>
      </c>
      <c r="U671" s="50"/>
      <c r="V671" s="50"/>
      <c r="W671" s="50"/>
      <c r="X671" s="50"/>
      <c r="Y671" s="50"/>
    </row>
    <row r="672" spans="1:25" x14ac:dyDescent="0.2">
      <c r="A672" s="60">
        <v>26</v>
      </c>
      <c r="B672" s="70" t="s">
        <v>877</v>
      </c>
      <c r="C672" s="51" t="s">
        <v>631</v>
      </c>
      <c r="D672" s="66">
        <f t="shared" ca="1" si="174"/>
        <v>0</v>
      </c>
      <c r="F672" s="60">
        <f t="shared" ca="1" si="175"/>
        <v>0</v>
      </c>
      <c r="H672" s="60">
        <f t="shared" ca="1" si="176"/>
        <v>0</v>
      </c>
      <c r="I672" s="60">
        <f t="shared" ca="1" si="177"/>
        <v>0</v>
      </c>
      <c r="L672" s="60">
        <f t="shared" ca="1" si="178"/>
        <v>0</v>
      </c>
      <c r="M672" s="60"/>
      <c r="N672" s="60">
        <f t="shared" ca="1" si="179"/>
        <v>0</v>
      </c>
      <c r="O672" s="60">
        <f t="shared" ca="1" si="180"/>
        <v>0</v>
      </c>
      <c r="P672" s="60">
        <f t="shared" ca="1" si="180"/>
        <v>0</v>
      </c>
      <c r="Q672" s="60">
        <f t="shared" ca="1" si="180"/>
        <v>0</v>
      </c>
      <c r="T672" s="50">
        <v>0</v>
      </c>
      <c r="U672" s="50"/>
      <c r="V672" s="50"/>
      <c r="W672" s="50"/>
      <c r="X672" s="50"/>
      <c r="Y672" s="50"/>
    </row>
    <row r="673" spans="1:25" x14ac:dyDescent="0.2">
      <c r="A673" s="60">
        <v>27</v>
      </c>
      <c r="B673" s="70" t="s">
        <v>878</v>
      </c>
      <c r="C673" s="51" t="s">
        <v>633</v>
      </c>
      <c r="D673" s="66">
        <f t="shared" ca="1" si="174"/>
        <v>0</v>
      </c>
      <c r="F673" s="60">
        <f t="shared" ca="1" si="175"/>
        <v>0</v>
      </c>
      <c r="H673" s="60">
        <f t="shared" ca="1" si="176"/>
        <v>0</v>
      </c>
      <c r="I673" s="60">
        <f t="shared" ca="1" si="177"/>
        <v>0</v>
      </c>
      <c r="L673" s="60">
        <f t="shared" ca="1" si="178"/>
        <v>0</v>
      </c>
      <c r="M673" s="60"/>
      <c r="N673" s="60">
        <f t="shared" ca="1" si="179"/>
        <v>0</v>
      </c>
      <c r="O673" s="60">
        <f t="shared" ca="1" si="180"/>
        <v>0</v>
      </c>
      <c r="P673" s="60">
        <f t="shared" ca="1" si="180"/>
        <v>0</v>
      </c>
      <c r="Q673" s="60">
        <f t="shared" ca="1" si="180"/>
        <v>0</v>
      </c>
      <c r="T673" s="50">
        <v>0</v>
      </c>
      <c r="U673" s="50"/>
    </row>
    <row r="674" spans="1:25" x14ac:dyDescent="0.2">
      <c r="A674" s="60">
        <v>28</v>
      </c>
      <c r="B674" s="70" t="s">
        <v>408</v>
      </c>
      <c r="C674" s="58"/>
      <c r="D674" s="66">
        <f t="shared" ca="1" si="174"/>
        <v>8230429.4099999983</v>
      </c>
      <c r="F674" s="60">
        <f ca="1">SUM(F668:F673)</f>
        <v>7504807.6519980747</v>
      </c>
      <c r="H674" s="60">
        <f ca="1">SUM(H668:H673)</f>
        <v>0</v>
      </c>
      <c r="I674" s="60">
        <f t="shared" ca="1" si="177"/>
        <v>725621.75800192391</v>
      </c>
      <c r="L674" s="60">
        <f ca="1">SUM(L668:L673)</f>
        <v>66.355777719166497</v>
      </c>
      <c r="M674" s="60"/>
      <c r="N674" s="60">
        <f t="shared" ca="1" si="179"/>
        <v>725555.40222420474</v>
      </c>
      <c r="O674" s="60">
        <f ca="1">SUM(O668:O673)</f>
        <v>226391.69448257057</v>
      </c>
      <c r="P674" s="60">
        <f ca="1">SUM(P668:P673)</f>
        <v>499163.70774163422</v>
      </c>
      <c r="Q674" s="60">
        <f ca="1">SUM(Q668:Q673)</f>
        <v>0</v>
      </c>
      <c r="T674" s="85"/>
      <c r="U674" s="78" t="str">
        <f ca="1">IF(D674=SUM(T668:T673),"ok","err")</f>
        <v>ok</v>
      </c>
    </row>
    <row r="675" spans="1:25" x14ac:dyDescent="0.2">
      <c r="T675" s="79"/>
    </row>
    <row r="676" spans="1:25" x14ac:dyDescent="0.2">
      <c r="A676" s="60">
        <v>29</v>
      </c>
      <c r="B676" s="48" t="s">
        <v>1047</v>
      </c>
      <c r="C676" s="58"/>
      <c r="D676" s="66">
        <f ca="1">SUM(F676:I676)+K676</f>
        <v>667945984.35000002</v>
      </c>
      <c r="F676" s="60">
        <f ca="1">F654+F665+F674</f>
        <v>536001809.88305146</v>
      </c>
      <c r="H676" s="60">
        <f ca="1">H654+H665+H674</f>
        <v>76726286.711081952</v>
      </c>
      <c r="I676" s="60">
        <f ca="1">(L676+M676+N676)</f>
        <v>55217887.755866617</v>
      </c>
      <c r="L676" s="60">
        <f ca="1">L654+L665+L674</f>
        <v>4739.2043344643771</v>
      </c>
      <c r="M676" s="60"/>
      <c r="N676" s="60">
        <f ca="1">SUM(O676:Q676)</f>
        <v>55213148.551532149</v>
      </c>
      <c r="O676" s="60">
        <f ca="1">O654+O665+O674</f>
        <v>17227903.231070798</v>
      </c>
      <c r="P676" s="60">
        <f ca="1">P654+P665+P674</f>
        <v>37985245.320461355</v>
      </c>
      <c r="Q676" s="60">
        <f ca="1">Q654+Q665+Q674</f>
        <v>0</v>
      </c>
      <c r="T676" s="85"/>
      <c r="U676" s="78" t="str">
        <f ca="1">IF(D676=SUM(T643:T674),"ok","err")</f>
        <v>ok</v>
      </c>
    </row>
    <row r="677" spans="1:25" x14ac:dyDescent="0.2">
      <c r="C677" s="58"/>
      <c r="T677" s="79"/>
    </row>
    <row r="678" spans="1:25" x14ac:dyDescent="0.2">
      <c r="B678" s="64" t="s">
        <v>80</v>
      </c>
      <c r="T678" s="79"/>
    </row>
    <row r="679" spans="1:25" x14ac:dyDescent="0.2">
      <c r="T679" s="79"/>
    </row>
    <row r="680" spans="1:25" x14ac:dyDescent="0.2">
      <c r="B680" s="48" t="s">
        <v>85</v>
      </c>
      <c r="C680" s="58"/>
    </row>
    <row r="681" spans="1:25" x14ac:dyDescent="0.2">
      <c r="B681" s="48" t="s">
        <v>86</v>
      </c>
      <c r="C681" s="58"/>
      <c r="T681" s="58"/>
    </row>
    <row r="682" spans="1:25" x14ac:dyDescent="0.2">
      <c r="A682" s="60">
        <v>1</v>
      </c>
      <c r="B682" s="70" t="s">
        <v>412</v>
      </c>
      <c r="C682" s="56" t="s">
        <v>1249</v>
      </c>
      <c r="D682" s="66">
        <f t="shared" ref="D682:D688" ca="1" si="181">SUM(F682:I682)+K682</f>
        <v>5112550.1000000006</v>
      </c>
      <c r="F682" s="60">
        <f t="shared" ref="F682:F688" ca="1" si="182">INDEX(INDIRECT($C682),1,F$12+1)*$T682</f>
        <v>5103392.1000000006</v>
      </c>
      <c r="H682" s="60">
        <f t="shared" ref="H682:H688" ca="1" si="183">INDEX(INDIRECT($C682),1,H$12+1)*$T682</f>
        <v>0</v>
      </c>
      <c r="I682" s="60">
        <f t="shared" ref="I682:I688" ca="1" si="184">(L682+M682+N682)</f>
        <v>9158</v>
      </c>
      <c r="L682" s="60">
        <f t="shared" ref="L682:L688" ca="1" si="185">INDEX(INDIRECT($C682),1,L$12+1)*$T682</f>
        <v>0</v>
      </c>
      <c r="M682" s="60"/>
      <c r="N682" s="60">
        <f t="shared" ref="N682:N688" ca="1" si="186">SUM(O682:Q682)</f>
        <v>9158</v>
      </c>
      <c r="O682" s="60">
        <f t="shared" ref="O682:Q684" ca="1" si="187">INDEX(INDIRECT($C682),1,O$12+1)*$T682</f>
        <v>9158</v>
      </c>
      <c r="P682" s="60">
        <f t="shared" ca="1" si="187"/>
        <v>0</v>
      </c>
      <c r="Q682" s="60">
        <f t="shared" ca="1" si="187"/>
        <v>0</v>
      </c>
      <c r="T682" s="292">
        <f>SUM(PIS!L11:L12)+PIS!L114</f>
        <v>5112550.1000000006</v>
      </c>
      <c r="U682" s="50"/>
      <c r="V682" s="50"/>
      <c r="W682" s="50"/>
      <c r="X682" s="50"/>
      <c r="Y682" s="50"/>
    </row>
    <row r="683" spans="1:25" x14ac:dyDescent="0.2">
      <c r="A683" s="60">
        <v>2</v>
      </c>
      <c r="B683" s="70" t="s">
        <v>413</v>
      </c>
      <c r="C683" s="56" t="s">
        <v>1250</v>
      </c>
      <c r="D683" s="66">
        <f t="shared" ca="1" si="181"/>
        <v>7214274.7599999998</v>
      </c>
      <c r="F683" s="60">
        <f t="shared" ca="1" si="182"/>
        <v>6940988.7599999998</v>
      </c>
      <c r="H683" s="60">
        <f t="shared" ca="1" si="183"/>
        <v>0</v>
      </c>
      <c r="I683" s="60">
        <f t="shared" ca="1" si="184"/>
        <v>273286</v>
      </c>
      <c r="L683" s="60">
        <f t="shared" ca="1" si="185"/>
        <v>0</v>
      </c>
      <c r="M683" s="60"/>
      <c r="N683" s="60">
        <f t="shared" ca="1" si="186"/>
        <v>273286</v>
      </c>
      <c r="O683" s="60">
        <f t="shared" ca="1" si="187"/>
        <v>273286</v>
      </c>
      <c r="P683" s="60">
        <f t="shared" ca="1" si="187"/>
        <v>0</v>
      </c>
      <c r="Q683" s="60">
        <f t="shared" ca="1" si="187"/>
        <v>0</v>
      </c>
      <c r="T683" s="292">
        <f>PIS!L13+PIS!L115</f>
        <v>7214274.7599999998</v>
      </c>
      <c r="U683" s="50"/>
      <c r="V683" s="50"/>
      <c r="W683" s="50"/>
      <c r="X683" s="50"/>
      <c r="Y683" s="50"/>
    </row>
    <row r="684" spans="1:25" x14ac:dyDescent="0.2">
      <c r="A684" s="60">
        <v>3</v>
      </c>
      <c r="B684" s="70" t="s">
        <v>414</v>
      </c>
      <c r="C684" s="56" t="s">
        <v>1251</v>
      </c>
      <c r="D684" s="66">
        <f t="shared" ca="1" si="181"/>
        <v>137609925.59999999</v>
      </c>
      <c r="F684" s="60">
        <f t="shared" ca="1" si="182"/>
        <v>134408399.59999999</v>
      </c>
      <c r="H684" s="60">
        <f t="shared" ca="1" si="183"/>
        <v>0</v>
      </c>
      <c r="I684" s="60">
        <f t="shared" ca="1" si="184"/>
        <v>3201526</v>
      </c>
      <c r="L684" s="60">
        <f t="shared" ca="1" si="185"/>
        <v>0</v>
      </c>
      <c r="M684" s="60"/>
      <c r="N684" s="60">
        <f t="shared" ca="1" si="186"/>
        <v>3201526</v>
      </c>
      <c r="O684" s="60">
        <f t="shared" ca="1" si="187"/>
        <v>3201526</v>
      </c>
      <c r="P684" s="60">
        <f t="shared" ca="1" si="187"/>
        <v>0</v>
      </c>
      <c r="Q684" s="60">
        <f t="shared" ca="1" si="187"/>
        <v>0</v>
      </c>
      <c r="T684" s="292">
        <f>PIS!L14+PIS!L116</f>
        <v>137609925.59999999</v>
      </c>
      <c r="U684" s="50"/>
      <c r="V684" s="50"/>
      <c r="W684" s="81"/>
      <c r="X684" s="50"/>
      <c r="Y684" s="50"/>
    </row>
    <row r="685" spans="1:25" x14ac:dyDescent="0.2">
      <c r="A685" s="60">
        <v>4</v>
      </c>
      <c r="B685" s="70" t="s">
        <v>1239</v>
      </c>
      <c r="C685" s="56" t="s">
        <v>1252</v>
      </c>
      <c r="D685" s="66">
        <f t="shared" ca="1" si="181"/>
        <v>273798351.31999999</v>
      </c>
      <c r="F685" s="60">
        <f t="shared" ca="1" si="182"/>
        <v>273798351.31999999</v>
      </c>
      <c r="H685" s="60">
        <f t="shared" ca="1" si="183"/>
        <v>0</v>
      </c>
      <c r="I685" s="60">
        <f t="shared" ca="1" si="184"/>
        <v>0</v>
      </c>
      <c r="L685" s="60">
        <f t="shared" ca="1" si="185"/>
        <v>0</v>
      </c>
      <c r="M685" s="60"/>
      <c r="N685" s="60">
        <f t="shared" ca="1" si="186"/>
        <v>0</v>
      </c>
      <c r="O685" s="60">
        <f t="shared" ref="O685:Q688" ca="1" si="188">INDEX(INDIRECT($C685),1,O$12+1)*$T685</f>
        <v>0</v>
      </c>
      <c r="P685" s="60">
        <f t="shared" ca="1" si="188"/>
        <v>0</v>
      </c>
      <c r="Q685" s="60">
        <f t="shared" ca="1" si="188"/>
        <v>0</v>
      </c>
      <c r="T685" s="292">
        <f>PIS!L15+PIS!L117</f>
        <v>273798351.31999999</v>
      </c>
      <c r="U685" s="50"/>
      <c r="V685" s="50"/>
      <c r="W685" s="50"/>
      <c r="X685" s="50"/>
      <c r="Y685" s="50"/>
    </row>
    <row r="686" spans="1:25" x14ac:dyDescent="0.2">
      <c r="A686" s="60">
        <v>5</v>
      </c>
      <c r="B686" s="70" t="s">
        <v>1240</v>
      </c>
      <c r="C686" s="56" t="s">
        <v>1253</v>
      </c>
      <c r="D686" s="66">
        <f t="shared" ca="1" si="181"/>
        <v>263336953.54999995</v>
      </c>
      <c r="F686" s="60">
        <f t="shared" ca="1" si="182"/>
        <v>263336953.54999995</v>
      </c>
      <c r="H686" s="60">
        <f t="shared" ca="1" si="183"/>
        <v>0</v>
      </c>
      <c r="I686" s="60">
        <f t="shared" ca="1" si="184"/>
        <v>0</v>
      </c>
      <c r="L686" s="60">
        <f t="shared" ca="1" si="185"/>
        <v>0</v>
      </c>
      <c r="M686" s="60"/>
      <c r="N686" s="60">
        <f t="shared" ca="1" si="186"/>
        <v>0</v>
      </c>
      <c r="O686" s="60">
        <f t="shared" ca="1" si="188"/>
        <v>0</v>
      </c>
      <c r="P686" s="60">
        <f t="shared" ca="1" si="188"/>
        <v>0</v>
      </c>
      <c r="Q686" s="60">
        <f t="shared" ca="1" si="188"/>
        <v>0</v>
      </c>
      <c r="T686" s="292">
        <f>PIS!L16+PIS!L118</f>
        <v>263336953.54999995</v>
      </c>
      <c r="U686" s="50"/>
      <c r="V686" s="50"/>
      <c r="W686" s="50"/>
      <c r="X686" s="50"/>
      <c r="Y686" s="50"/>
    </row>
    <row r="687" spans="1:25" x14ac:dyDescent="0.2">
      <c r="A687" s="60">
        <v>6</v>
      </c>
      <c r="B687" s="70" t="s">
        <v>1241</v>
      </c>
      <c r="C687" s="56" t="s">
        <v>1254</v>
      </c>
      <c r="D687" s="66">
        <f t="shared" ca="1" si="181"/>
        <v>1831865.0699999998</v>
      </c>
      <c r="F687" s="60">
        <f t="shared" ca="1" si="182"/>
        <v>1831865.0699999998</v>
      </c>
      <c r="H687" s="60">
        <f t="shared" ca="1" si="183"/>
        <v>0</v>
      </c>
      <c r="I687" s="60">
        <f t="shared" ca="1" si="184"/>
        <v>0</v>
      </c>
      <c r="L687" s="60">
        <f t="shared" ca="1" si="185"/>
        <v>0</v>
      </c>
      <c r="M687" s="60"/>
      <c r="N687" s="60">
        <f t="shared" ca="1" si="186"/>
        <v>0</v>
      </c>
      <c r="O687" s="60">
        <f t="shared" ca="1" si="188"/>
        <v>0</v>
      </c>
      <c r="P687" s="60">
        <f t="shared" ca="1" si="188"/>
        <v>0</v>
      </c>
      <c r="Q687" s="60">
        <f t="shared" ca="1" si="188"/>
        <v>0</v>
      </c>
      <c r="T687" s="292">
        <f>PIS!L17+PIS!L119</f>
        <v>1831865.0699999998</v>
      </c>
      <c r="U687" s="50"/>
      <c r="V687" s="50"/>
      <c r="W687" s="50"/>
      <c r="X687" s="50"/>
      <c r="Y687" s="50"/>
    </row>
    <row r="688" spans="1:25" x14ac:dyDescent="0.2">
      <c r="A688" s="60">
        <v>7</v>
      </c>
      <c r="B688" s="70" t="s">
        <v>1242</v>
      </c>
      <c r="C688" s="56" t="s">
        <v>1255</v>
      </c>
      <c r="D688" s="66">
        <f t="shared" ca="1" si="181"/>
        <v>139509219.16</v>
      </c>
      <c r="F688" s="60">
        <f t="shared" ca="1" si="182"/>
        <v>139509219.16</v>
      </c>
      <c r="H688" s="60">
        <f t="shared" ca="1" si="183"/>
        <v>0</v>
      </c>
      <c r="I688" s="60">
        <f t="shared" ca="1" si="184"/>
        <v>0</v>
      </c>
      <c r="L688" s="60">
        <f t="shared" ca="1" si="185"/>
        <v>0</v>
      </c>
      <c r="M688" s="60"/>
      <c r="N688" s="60">
        <f t="shared" ca="1" si="186"/>
        <v>0</v>
      </c>
      <c r="O688" s="60">
        <f t="shared" ca="1" si="188"/>
        <v>0</v>
      </c>
      <c r="P688" s="60">
        <f t="shared" ca="1" si="188"/>
        <v>0</v>
      </c>
      <c r="Q688" s="60">
        <f t="shared" ca="1" si="188"/>
        <v>0</v>
      </c>
      <c r="T688" s="292">
        <f>PIS!L18+PIS!L120</f>
        <v>139509219.16</v>
      </c>
      <c r="U688" s="50"/>
      <c r="V688" s="50"/>
      <c r="W688" s="50"/>
      <c r="X688" s="50"/>
      <c r="Y688" s="50"/>
    </row>
    <row r="689" spans="1:27" x14ac:dyDescent="0.2">
      <c r="B689" s="70" t="s">
        <v>1243</v>
      </c>
      <c r="C689" s="58"/>
      <c r="T689" s="58"/>
      <c r="V689" s="50"/>
    </row>
    <row r="690" spans="1:27" x14ac:dyDescent="0.2">
      <c r="A690" s="60">
        <v>8</v>
      </c>
      <c r="B690" s="48" t="s">
        <v>93</v>
      </c>
      <c r="C690" s="51" t="s">
        <v>620</v>
      </c>
      <c r="D690" s="66">
        <f t="shared" ref="D690:D698" ca="1" si="189">SUM(F690:I690)+K690</f>
        <v>5932406.1000000006</v>
      </c>
      <c r="F690" s="60">
        <f ca="1">INDEX(INDIRECT($C690),1,F$12+1)*$T690</f>
        <v>5409429.2561249696</v>
      </c>
      <c r="H690" s="60">
        <f ca="1">INDEX(INDIRECT($C690),1,H$12+1)*$T690</f>
        <v>0</v>
      </c>
      <c r="I690" s="60">
        <f t="shared" ref="I690:I698" ca="1" si="190">(L690+M690+N690)</f>
        <v>522976.84387503075</v>
      </c>
      <c r="L690" s="60">
        <f ca="1">INDEX(INDIRECT($C690),1,L$12+1)*$T690</f>
        <v>0</v>
      </c>
      <c r="M690" s="60"/>
      <c r="N690" s="60">
        <f t="shared" ref="N690:N698" ca="1" si="191">SUM(O690:Q690)</f>
        <v>522976.84387503075</v>
      </c>
      <c r="O690" s="60">
        <f t="shared" ref="O690:Q691" ca="1" si="192">INDEX(INDIRECT($C690),1,O$12+1)*$T690</f>
        <v>163182.04439945545</v>
      </c>
      <c r="P690" s="60">
        <f t="shared" ca="1" si="192"/>
        <v>359794.79947557527</v>
      </c>
      <c r="Q690" s="60">
        <f t="shared" ca="1" si="192"/>
        <v>0</v>
      </c>
      <c r="T690" s="325">
        <v>5932406.1000000006</v>
      </c>
      <c r="U690" s="50"/>
      <c r="V690" s="50"/>
      <c r="W690" s="81" t="s">
        <v>327</v>
      </c>
      <c r="X690" s="50"/>
      <c r="Y690" s="50"/>
      <c r="AA690" s="50">
        <v>5932406.1000000006</v>
      </c>
    </row>
    <row r="691" spans="1:27" x14ac:dyDescent="0.2">
      <c r="A691" s="60">
        <v>9</v>
      </c>
      <c r="B691" s="48" t="s">
        <v>94</v>
      </c>
      <c r="C691" s="51" t="s">
        <v>635</v>
      </c>
      <c r="D691" s="66">
        <f t="shared" ca="1" si="189"/>
        <v>267984931.00000003</v>
      </c>
      <c r="F691" s="60">
        <f ca="1">INDEX(INDIRECT($C691),1,F$12+1)*$T691</f>
        <v>267984931.00000003</v>
      </c>
      <c r="H691" s="60">
        <f ca="1">INDEX(INDIRECT($C691),1,H$12+1)*$T691</f>
        <v>0</v>
      </c>
      <c r="I691" s="60">
        <f t="shared" ca="1" si="190"/>
        <v>0</v>
      </c>
      <c r="L691" s="60">
        <f ca="1">INDEX(INDIRECT($C691),1,L$12+1)*$T691</f>
        <v>0</v>
      </c>
      <c r="M691" s="60"/>
      <c r="N691" s="60">
        <f t="shared" ca="1" si="191"/>
        <v>0</v>
      </c>
      <c r="O691" s="60">
        <f t="shared" ca="1" si="192"/>
        <v>0</v>
      </c>
      <c r="P691" s="60">
        <f t="shared" ca="1" si="192"/>
        <v>0</v>
      </c>
      <c r="Q691" s="60">
        <f t="shared" ca="1" si="192"/>
        <v>0</v>
      </c>
      <c r="T691" s="68">
        <f>T692-T690</f>
        <v>267984931.00000003</v>
      </c>
      <c r="U691" s="50"/>
      <c r="V691" s="50"/>
      <c r="W691" s="50"/>
      <c r="X691" s="50"/>
      <c r="Y691" s="50"/>
    </row>
    <row r="692" spans="1:27" x14ac:dyDescent="0.2">
      <c r="A692" s="60">
        <v>10</v>
      </c>
      <c r="B692" s="70" t="s">
        <v>1244</v>
      </c>
      <c r="C692" s="58"/>
      <c r="D692" s="66">
        <f t="shared" ca="1" si="189"/>
        <v>273917337.10000002</v>
      </c>
      <c r="F692" s="60">
        <f ca="1">F691+F690</f>
        <v>273394360.25612497</v>
      </c>
      <c r="H692" s="60">
        <f ca="1">H691+H690</f>
        <v>0</v>
      </c>
      <c r="I692" s="60">
        <f t="shared" ca="1" si="190"/>
        <v>522976.84387503075</v>
      </c>
      <c r="L692" s="60">
        <f ca="1">L691+L690</f>
        <v>0</v>
      </c>
      <c r="M692" s="60"/>
      <c r="N692" s="60">
        <f t="shared" ca="1" si="191"/>
        <v>522976.84387503075</v>
      </c>
      <c r="O692" s="60">
        <f ca="1">O691+O690</f>
        <v>163182.04439945545</v>
      </c>
      <c r="P692" s="60">
        <f ca="1">P691+P690</f>
        <v>359794.79947557527</v>
      </c>
      <c r="Q692" s="60">
        <f ca="1">Q691+Q690</f>
        <v>0</v>
      </c>
      <c r="T692" s="293">
        <f>PIS!L19+PIS!L121</f>
        <v>273917337.10000002</v>
      </c>
      <c r="U692" s="78" t="str">
        <f ca="1">IF(D692=SUM(T690:T691),"ok","err")</f>
        <v>ok</v>
      </c>
      <c r="V692" s="50"/>
      <c r="W692" s="50"/>
    </row>
    <row r="693" spans="1:27" x14ac:dyDescent="0.2">
      <c r="A693" s="60">
        <v>11</v>
      </c>
      <c r="B693" s="70" t="s">
        <v>1245</v>
      </c>
      <c r="C693" s="51" t="s">
        <v>689</v>
      </c>
      <c r="D693" s="66">
        <f t="shared" ca="1" si="189"/>
        <v>84507617.649999991</v>
      </c>
      <c r="F693" s="60">
        <f ca="1">INDEX(INDIRECT($C693),1,F$12+1)*$T693</f>
        <v>84507617.649999991</v>
      </c>
      <c r="H693" s="60">
        <f ca="1">INDEX(INDIRECT($C693),1,H$12+1)*$T693</f>
        <v>0</v>
      </c>
      <c r="I693" s="60">
        <f t="shared" ca="1" si="190"/>
        <v>0</v>
      </c>
      <c r="L693" s="60">
        <f ca="1">INDEX(INDIRECT($C693),1,L$12+1)*$T693</f>
        <v>0</v>
      </c>
      <c r="M693" s="60"/>
      <c r="N693" s="60">
        <f t="shared" ca="1" si="191"/>
        <v>0</v>
      </c>
      <c r="O693" s="60">
        <f t="shared" ref="O693:Q697" ca="1" si="193">INDEX(INDIRECT($C693),1,O$12+1)*$T693</f>
        <v>0</v>
      </c>
      <c r="P693" s="60">
        <f t="shared" ca="1" si="193"/>
        <v>0</v>
      </c>
      <c r="Q693" s="60">
        <f t="shared" ca="1" si="193"/>
        <v>0</v>
      </c>
      <c r="T693" s="293">
        <f>PIS!L20+PIS!L122</f>
        <v>84507617.649999991</v>
      </c>
      <c r="U693" s="50"/>
      <c r="V693" s="50"/>
      <c r="W693" s="50"/>
      <c r="X693" s="50"/>
      <c r="Y693" s="50"/>
    </row>
    <row r="694" spans="1:27" x14ac:dyDescent="0.2">
      <c r="A694" s="60">
        <v>12</v>
      </c>
      <c r="B694" s="70" t="s">
        <v>1246</v>
      </c>
      <c r="C694" s="51" t="s">
        <v>691</v>
      </c>
      <c r="D694" s="66">
        <f t="shared" ca="1" si="189"/>
        <v>67284794.690000013</v>
      </c>
      <c r="F694" s="60">
        <f ca="1">INDEX(INDIRECT($C694),1,F$12+1)*$T694</f>
        <v>66969752.690000013</v>
      </c>
      <c r="H694" s="60">
        <f ca="1">INDEX(INDIRECT($C694),1,H$12+1)*$T694</f>
        <v>0</v>
      </c>
      <c r="I694" s="60">
        <f t="shared" ca="1" si="190"/>
        <v>315042</v>
      </c>
      <c r="L694" s="60">
        <f ca="1">INDEX(INDIRECT($C694),1,L$12+1)*$T694</f>
        <v>0</v>
      </c>
      <c r="M694" s="60"/>
      <c r="N694" s="60">
        <f t="shared" ca="1" si="191"/>
        <v>315042</v>
      </c>
      <c r="O694" s="60">
        <f t="shared" ca="1" si="193"/>
        <v>66911</v>
      </c>
      <c r="P694" s="60">
        <f t="shared" ca="1" si="193"/>
        <v>248131</v>
      </c>
      <c r="Q694" s="60">
        <f t="shared" ca="1" si="193"/>
        <v>0</v>
      </c>
      <c r="T694" s="293">
        <f>PIS!L21</f>
        <v>67284794.690000013</v>
      </c>
      <c r="U694" s="50"/>
      <c r="V694" s="50"/>
      <c r="W694" s="50"/>
      <c r="X694" s="50"/>
      <c r="Y694" s="50"/>
    </row>
    <row r="695" spans="1:27" x14ac:dyDescent="0.2">
      <c r="A695" s="60">
        <v>13</v>
      </c>
      <c r="B695" s="70" t="s">
        <v>1247</v>
      </c>
      <c r="C695" s="51" t="s">
        <v>693</v>
      </c>
      <c r="D695" s="66">
        <f t="shared" ca="1" si="189"/>
        <v>17384575.219999999</v>
      </c>
      <c r="F695" s="60">
        <f ca="1">INDEX(INDIRECT($C695),1,F$12+1)*$T695</f>
        <v>17384575.219999999</v>
      </c>
      <c r="H695" s="60">
        <f ca="1">INDEX(INDIRECT($C695),1,H$12+1)*$T695</f>
        <v>0</v>
      </c>
      <c r="I695" s="60">
        <f t="shared" ca="1" si="190"/>
        <v>0</v>
      </c>
      <c r="L695" s="60">
        <f ca="1">INDEX(INDIRECT($C695),1,L$12+1)*$T695</f>
        <v>0</v>
      </c>
      <c r="M695" s="60"/>
      <c r="N695" s="60">
        <f t="shared" ca="1" si="191"/>
        <v>0</v>
      </c>
      <c r="O695" s="60">
        <f t="shared" ca="1" si="193"/>
        <v>0</v>
      </c>
      <c r="P695" s="60">
        <f t="shared" ca="1" si="193"/>
        <v>0</v>
      </c>
      <c r="Q695" s="60">
        <f t="shared" ca="1" si="193"/>
        <v>0</v>
      </c>
      <c r="T695" s="293">
        <f>PIS!L22</f>
        <v>17384575.219999999</v>
      </c>
      <c r="U695" s="50"/>
      <c r="V695" s="50"/>
      <c r="W695" s="50"/>
      <c r="X695" s="50"/>
      <c r="Y695" s="50"/>
    </row>
    <row r="696" spans="1:27" x14ac:dyDescent="0.2">
      <c r="A696" s="60">
        <v>14</v>
      </c>
      <c r="B696" s="70" t="s">
        <v>1248</v>
      </c>
      <c r="C696" s="51" t="s">
        <v>695</v>
      </c>
      <c r="D696" s="66">
        <f t="shared" ca="1" si="189"/>
        <v>80975589.62000002</v>
      </c>
      <c r="F696" s="60">
        <f ca="1">INDEX(INDIRECT($C696),1,F$12+1)*$T696</f>
        <v>80975589.62000002</v>
      </c>
      <c r="H696" s="60">
        <f ca="1">INDEX(INDIRECT($C696),1,H$12+1)*$T696</f>
        <v>0</v>
      </c>
      <c r="I696" s="60">
        <f t="shared" ca="1" si="190"/>
        <v>0</v>
      </c>
      <c r="L696" s="60">
        <f ca="1">INDEX(INDIRECT($C696),1,L$12+1)*$T696</f>
        <v>0</v>
      </c>
      <c r="M696" s="60"/>
      <c r="N696" s="60">
        <f t="shared" ca="1" si="191"/>
        <v>0</v>
      </c>
      <c r="O696" s="60">
        <f t="shared" ca="1" si="193"/>
        <v>0</v>
      </c>
      <c r="P696" s="60">
        <f t="shared" ca="1" si="193"/>
        <v>0</v>
      </c>
      <c r="Q696" s="60">
        <f t="shared" ca="1" si="193"/>
        <v>0</v>
      </c>
      <c r="T696" s="293">
        <f>PIS!L23+PIS!L123</f>
        <v>80975589.62000002</v>
      </c>
      <c r="U696" s="50"/>
      <c r="V696" s="50"/>
      <c r="W696" s="50"/>
      <c r="X696" s="50"/>
      <c r="Y696" s="50"/>
    </row>
    <row r="697" spans="1:27" x14ac:dyDescent="0.2">
      <c r="A697" s="60">
        <v>15</v>
      </c>
      <c r="B697" s="70" t="s">
        <v>3</v>
      </c>
      <c r="C697" s="51" t="s">
        <v>4</v>
      </c>
      <c r="D697" s="66">
        <f ca="1">SUM(F697:I697)+K697</f>
        <v>786954.55</v>
      </c>
      <c r="F697" s="60">
        <f ca="1">INDEX(INDIRECT($C697),1,F$12+1)*$T697</f>
        <v>786954.55</v>
      </c>
      <c r="H697" s="60">
        <f ca="1">INDEX(INDIRECT($C697),1,H$12+1)*$T697</f>
        <v>0</v>
      </c>
      <c r="I697" s="60">
        <f ca="1">(L697+M697+N697)</f>
        <v>0</v>
      </c>
      <c r="L697" s="60">
        <f ca="1">INDEX(INDIRECT($C697),1,L$12+1)*$T697</f>
        <v>0</v>
      </c>
      <c r="M697" s="60"/>
      <c r="N697" s="60">
        <f ca="1">SUM(O697:Q697)</f>
        <v>0</v>
      </c>
      <c r="O697" s="60">
        <f t="shared" ca="1" si="193"/>
        <v>0</v>
      </c>
      <c r="P697" s="60">
        <f t="shared" ca="1" si="193"/>
        <v>0</v>
      </c>
      <c r="Q697" s="60">
        <f t="shared" ca="1" si="193"/>
        <v>0</v>
      </c>
      <c r="T697" s="293">
        <f>PIS!L24+PIS!L25</f>
        <v>786954.55</v>
      </c>
      <c r="U697" s="50"/>
      <c r="V697" s="50"/>
      <c r="W697" s="50"/>
      <c r="X697" s="50"/>
      <c r="Y697" s="50"/>
    </row>
    <row r="698" spans="1:27" x14ac:dyDescent="0.2">
      <c r="A698" s="60">
        <v>16</v>
      </c>
      <c r="B698" s="48" t="s">
        <v>95</v>
      </c>
      <c r="C698" s="58"/>
      <c r="D698" s="66">
        <f t="shared" ca="1" si="189"/>
        <v>1353270008.3899999</v>
      </c>
      <c r="F698" s="60">
        <f ca="1">SUM(F682:F691)+SUM(F693:F697)</f>
        <v>1348948019.5461249</v>
      </c>
      <c r="H698" s="60">
        <f ca="1">SUM(H682:H691)+SUM(H693:H697)</f>
        <v>0</v>
      </c>
      <c r="I698" s="60">
        <f t="shared" ca="1" si="190"/>
        <v>4321988.843875031</v>
      </c>
      <c r="L698" s="60">
        <f ca="1">SUM(L682:L691)+SUM(L693:L697)</f>
        <v>0</v>
      </c>
      <c r="M698" s="60"/>
      <c r="N698" s="60">
        <f t="shared" ca="1" si="191"/>
        <v>4321988.843875031</v>
      </c>
      <c r="O698" s="60">
        <f ca="1">SUM(O682:O691)+SUM(O693:O697)</f>
        <v>3714063.0443994557</v>
      </c>
      <c r="P698" s="60">
        <f ca="1">SUM(P682:P691)+SUM(P693:P697)</f>
        <v>607925.79947557533</v>
      </c>
      <c r="Q698" s="60">
        <f ca="1">SUM(Q682:Q691)+SUM(Q693:Q697)</f>
        <v>0</v>
      </c>
      <c r="T698" s="58"/>
      <c r="U698" s="78" t="str">
        <f ca="1">IF(D698=SUM(T682:T691,T693:T697),"ok","err")</f>
        <v>ok</v>
      </c>
      <c r="V698" s="50"/>
      <c r="W698" s="50"/>
    </row>
    <row r="699" spans="1:27" x14ac:dyDescent="0.2">
      <c r="B699" s="58"/>
      <c r="C699" s="58"/>
      <c r="V699" s="50"/>
      <c r="W699" s="50"/>
    </row>
    <row r="700" spans="1:27" x14ac:dyDescent="0.2">
      <c r="B700" s="48" t="s">
        <v>96</v>
      </c>
      <c r="C700" s="58"/>
      <c r="V700" s="50"/>
      <c r="W700" s="50"/>
    </row>
    <row r="701" spans="1:27" x14ac:dyDescent="0.2">
      <c r="A701" s="60">
        <v>17</v>
      </c>
      <c r="B701" s="70" t="s">
        <v>412</v>
      </c>
      <c r="C701" s="56" t="s">
        <v>18</v>
      </c>
      <c r="D701" s="66">
        <f t="shared" ref="D701:D706" ca="1" si="194">SUM(F701:I701)+K701</f>
        <v>193250.44</v>
      </c>
      <c r="F701" s="60">
        <f t="shared" ref="F701:F706" ca="1" si="195">INDEX(INDIRECT($C701),1,F$12+1)*$T701</f>
        <v>0</v>
      </c>
      <c r="H701" s="60">
        <f t="shared" ref="H701:H706" ca="1" si="196">INDEX(INDIRECT($C701),1,H$12+1)*$T701</f>
        <v>193250.44</v>
      </c>
      <c r="I701" s="60">
        <f t="shared" ref="I701:I706" ca="1" si="197">(L701+M701+N701)</f>
        <v>0</v>
      </c>
      <c r="L701" s="60">
        <f t="shared" ref="L701:L706" ca="1" si="198">INDEX(INDIRECT($C701),1,L$12+1)*$T701</f>
        <v>0</v>
      </c>
      <c r="M701" s="60"/>
      <c r="N701" s="60">
        <f t="shared" ref="N701:N706" ca="1" si="199">SUM(O701:Q701)</f>
        <v>0</v>
      </c>
      <c r="O701" s="60">
        <f t="shared" ref="O701:Q703" ca="1" si="200">INDEX(INDIRECT($C701),1,O$12+1)*$T701</f>
        <v>0</v>
      </c>
      <c r="P701" s="60">
        <f t="shared" ca="1" si="200"/>
        <v>0</v>
      </c>
      <c r="Q701" s="60">
        <f t="shared" ca="1" si="200"/>
        <v>0</v>
      </c>
      <c r="T701" s="292">
        <f>SUM(PIS!L193:L194)</f>
        <v>193250.44</v>
      </c>
      <c r="U701" s="50"/>
      <c r="V701" s="50"/>
      <c r="W701" s="50"/>
      <c r="X701" s="50"/>
      <c r="Y701" s="50"/>
    </row>
    <row r="702" spans="1:27" x14ac:dyDescent="0.2">
      <c r="A702" s="60">
        <v>18</v>
      </c>
      <c r="B702" s="70" t="s">
        <v>413</v>
      </c>
      <c r="C702" s="56" t="s">
        <v>19</v>
      </c>
      <c r="D702" s="66">
        <f t="shared" ca="1" si="194"/>
        <v>448173.6</v>
      </c>
      <c r="F702" s="60">
        <f t="shared" ca="1" si="195"/>
        <v>0</v>
      </c>
      <c r="H702" s="60">
        <f t="shared" ca="1" si="196"/>
        <v>448173.6</v>
      </c>
      <c r="I702" s="60">
        <f t="shared" ca="1" si="197"/>
        <v>0</v>
      </c>
      <c r="L702" s="60">
        <f t="shared" ca="1" si="198"/>
        <v>0</v>
      </c>
      <c r="M702" s="60"/>
      <c r="N702" s="60">
        <f t="shared" ca="1" si="199"/>
        <v>0</v>
      </c>
      <c r="O702" s="60">
        <f t="shared" ca="1" si="200"/>
        <v>0</v>
      </c>
      <c r="P702" s="60">
        <f t="shared" ca="1" si="200"/>
        <v>0</v>
      </c>
      <c r="Q702" s="60">
        <f t="shared" ca="1" si="200"/>
        <v>0</v>
      </c>
      <c r="T702" s="292">
        <f>PIS!L195+PIS!L245</f>
        <v>448173.6</v>
      </c>
      <c r="U702" s="50"/>
      <c r="V702" s="50"/>
      <c r="W702" s="50"/>
      <c r="X702" s="50"/>
      <c r="Y702" s="50"/>
    </row>
    <row r="703" spans="1:27" x14ac:dyDescent="0.2">
      <c r="A703" s="60">
        <v>19</v>
      </c>
      <c r="B703" s="70" t="s">
        <v>414</v>
      </c>
      <c r="C703" s="56" t="s">
        <v>20</v>
      </c>
      <c r="D703" s="66">
        <f t="shared" ca="1" si="194"/>
        <v>7696928.2699999996</v>
      </c>
      <c r="F703" s="60">
        <f t="shared" ca="1" si="195"/>
        <v>0</v>
      </c>
      <c r="H703" s="60">
        <f t="shared" ca="1" si="196"/>
        <v>7696928.2699999996</v>
      </c>
      <c r="I703" s="60">
        <f t="shared" ca="1" si="197"/>
        <v>0</v>
      </c>
      <c r="L703" s="60">
        <f t="shared" ca="1" si="198"/>
        <v>0</v>
      </c>
      <c r="M703" s="60"/>
      <c r="N703" s="60">
        <f t="shared" ca="1" si="199"/>
        <v>0</v>
      </c>
      <c r="O703" s="60">
        <f t="shared" ca="1" si="200"/>
        <v>0</v>
      </c>
      <c r="P703" s="60">
        <f t="shared" ca="1" si="200"/>
        <v>0</v>
      </c>
      <c r="Q703" s="60">
        <f t="shared" ca="1" si="200"/>
        <v>0</v>
      </c>
      <c r="T703" s="292">
        <f>PIS!L196+PIS!L246</f>
        <v>7696928.2699999996</v>
      </c>
      <c r="U703" s="50"/>
      <c r="V703" s="50"/>
      <c r="W703" s="50"/>
      <c r="X703" s="50"/>
      <c r="Y703" s="50"/>
    </row>
    <row r="704" spans="1:27" x14ac:dyDescent="0.2">
      <c r="A704" s="60">
        <v>20</v>
      </c>
      <c r="B704" s="70" t="s">
        <v>1239</v>
      </c>
      <c r="C704" s="56" t="s">
        <v>21</v>
      </c>
      <c r="D704" s="66">
        <f t="shared" ca="1" si="194"/>
        <v>23371898.899999999</v>
      </c>
      <c r="F704" s="60">
        <f t="shared" ca="1" si="195"/>
        <v>0</v>
      </c>
      <c r="H704" s="60">
        <f t="shared" ca="1" si="196"/>
        <v>23371898.899999999</v>
      </c>
      <c r="I704" s="60">
        <f t="shared" ca="1" si="197"/>
        <v>0</v>
      </c>
      <c r="L704" s="60">
        <f t="shared" ca="1" si="198"/>
        <v>0</v>
      </c>
      <c r="M704" s="60"/>
      <c r="N704" s="60">
        <f t="shared" ca="1" si="199"/>
        <v>0</v>
      </c>
      <c r="O704" s="60">
        <f t="shared" ref="O704:Q706" ca="1" si="201">INDEX(INDIRECT($C704),1,O$12+1)*$T704</f>
        <v>0</v>
      </c>
      <c r="P704" s="60">
        <f t="shared" ca="1" si="201"/>
        <v>0</v>
      </c>
      <c r="Q704" s="60">
        <f t="shared" ca="1" si="201"/>
        <v>0</v>
      </c>
      <c r="T704" s="292">
        <f>PIS!L197+PIS!L247</f>
        <v>23371898.899999999</v>
      </c>
      <c r="U704" s="50"/>
      <c r="V704" s="50"/>
      <c r="W704" s="50"/>
      <c r="X704" s="50"/>
      <c r="Y704" s="50"/>
    </row>
    <row r="705" spans="1:27" x14ac:dyDescent="0.2">
      <c r="A705" s="60">
        <v>21</v>
      </c>
      <c r="B705" s="70" t="s">
        <v>1240</v>
      </c>
      <c r="C705" s="56" t="s">
        <v>22</v>
      </c>
      <c r="D705" s="66">
        <f t="shared" ca="1" si="194"/>
        <v>20121982.84</v>
      </c>
      <c r="F705" s="60">
        <f t="shared" ca="1" si="195"/>
        <v>0</v>
      </c>
      <c r="H705" s="60">
        <f t="shared" ca="1" si="196"/>
        <v>20121982.84</v>
      </c>
      <c r="I705" s="60">
        <f t="shared" ca="1" si="197"/>
        <v>0</v>
      </c>
      <c r="L705" s="60">
        <f t="shared" ca="1" si="198"/>
        <v>0</v>
      </c>
      <c r="M705" s="60"/>
      <c r="N705" s="60">
        <f t="shared" ca="1" si="199"/>
        <v>0</v>
      </c>
      <c r="O705" s="60">
        <f t="shared" ca="1" si="201"/>
        <v>0</v>
      </c>
      <c r="P705" s="60">
        <f t="shared" ca="1" si="201"/>
        <v>0</v>
      </c>
      <c r="Q705" s="60">
        <f t="shared" ca="1" si="201"/>
        <v>0</v>
      </c>
      <c r="T705" s="292">
        <f>PIS!L198+PIS!L248</f>
        <v>20121982.84</v>
      </c>
      <c r="U705" s="50"/>
      <c r="V705" s="50"/>
      <c r="W705" s="50"/>
      <c r="X705" s="50"/>
      <c r="Y705" s="50"/>
    </row>
    <row r="706" spans="1:27" x14ac:dyDescent="0.2">
      <c r="A706" s="60">
        <v>22</v>
      </c>
      <c r="B706" s="70" t="s">
        <v>1242</v>
      </c>
      <c r="C706" s="56" t="s">
        <v>23</v>
      </c>
      <c r="D706" s="66">
        <f t="shared" ca="1" si="194"/>
        <v>2763963.85</v>
      </c>
      <c r="F706" s="60">
        <f t="shared" ca="1" si="195"/>
        <v>0</v>
      </c>
      <c r="H706" s="60">
        <f t="shared" ca="1" si="196"/>
        <v>2763963.85</v>
      </c>
      <c r="I706" s="60">
        <f t="shared" ca="1" si="197"/>
        <v>0</v>
      </c>
      <c r="L706" s="60">
        <f t="shared" ca="1" si="198"/>
        <v>0</v>
      </c>
      <c r="M706" s="60"/>
      <c r="N706" s="60">
        <f t="shared" ca="1" si="199"/>
        <v>0</v>
      </c>
      <c r="O706" s="60">
        <f t="shared" ca="1" si="201"/>
        <v>0</v>
      </c>
      <c r="P706" s="60">
        <f t="shared" ca="1" si="201"/>
        <v>0</v>
      </c>
      <c r="Q706" s="60">
        <f t="shared" ca="1" si="201"/>
        <v>0</v>
      </c>
      <c r="T706" s="292">
        <f>PIS!L200+SUM(PIS!L249:L250)</f>
        <v>2763963.85</v>
      </c>
      <c r="U706" s="50"/>
      <c r="V706" s="50"/>
      <c r="W706" s="50"/>
      <c r="X706" s="50"/>
      <c r="Y706" s="50"/>
    </row>
    <row r="707" spans="1:27" x14ac:dyDescent="0.2">
      <c r="B707" s="70" t="s">
        <v>1243</v>
      </c>
      <c r="C707" s="58"/>
      <c r="V707" s="50"/>
      <c r="W707" s="50"/>
    </row>
    <row r="708" spans="1:27" x14ac:dyDescent="0.2">
      <c r="A708" s="60">
        <v>23</v>
      </c>
      <c r="B708" s="48" t="s">
        <v>93</v>
      </c>
      <c r="C708" s="51" t="s">
        <v>618</v>
      </c>
      <c r="D708" s="66">
        <f t="shared" ref="D708:D715" ca="1" si="202">SUM(F708:I708)+K708</f>
        <v>128027.55999999998</v>
      </c>
      <c r="F708" s="60">
        <f ca="1">INDEX(INDIRECT($C708),1,F$12+1)*$T708</f>
        <v>0</v>
      </c>
      <c r="H708" s="60">
        <f ca="1">INDEX(INDIRECT($C708),1,H$12+1)*$T708</f>
        <v>128027.55999999998</v>
      </c>
      <c r="I708" s="60">
        <f t="shared" ref="I708:I715" ca="1" si="203">(L708+M708+N708)</f>
        <v>0</v>
      </c>
      <c r="L708" s="60">
        <f ca="1">INDEX(INDIRECT($C708),1,L$12+1)*$T708</f>
        <v>0</v>
      </c>
      <c r="M708" s="60"/>
      <c r="N708" s="60">
        <f t="shared" ref="N708:N715" ca="1" si="204">SUM(O708:Q708)</f>
        <v>0</v>
      </c>
      <c r="O708" s="60">
        <f t="shared" ref="O708:Q709" ca="1" si="205">INDEX(INDIRECT($C708),1,O$12+1)*$T708</f>
        <v>0</v>
      </c>
      <c r="P708" s="60">
        <f t="shared" ca="1" si="205"/>
        <v>0</v>
      </c>
      <c r="Q708" s="60">
        <f t="shared" ca="1" si="205"/>
        <v>0</v>
      </c>
      <c r="T708" s="325">
        <v>128027.55999999998</v>
      </c>
      <c r="U708" s="50"/>
      <c r="V708" s="50"/>
      <c r="W708" s="81" t="s">
        <v>1204</v>
      </c>
      <c r="X708" s="50"/>
      <c r="Y708" s="50"/>
      <c r="AA708" s="50">
        <v>128027.55999999998</v>
      </c>
    </row>
    <row r="709" spans="1:27" x14ac:dyDescent="0.2">
      <c r="A709" s="60">
        <v>24</v>
      </c>
      <c r="B709" s="48" t="s">
        <v>94</v>
      </c>
      <c r="C709" s="51" t="s">
        <v>646</v>
      </c>
      <c r="D709" s="66">
        <f t="shared" ca="1" si="202"/>
        <v>13895428.499999998</v>
      </c>
      <c r="F709" s="60">
        <f ca="1">INDEX(INDIRECT($C709),1,F$12+1)*$T709</f>
        <v>0</v>
      </c>
      <c r="H709" s="60">
        <f ca="1">INDEX(INDIRECT($C709),1,H$12+1)*$T709</f>
        <v>13895428.499999998</v>
      </c>
      <c r="I709" s="60">
        <f t="shared" ca="1" si="203"/>
        <v>0</v>
      </c>
      <c r="L709" s="60">
        <f ca="1">INDEX(INDIRECT($C709),1,L$12+1)*$T709</f>
        <v>0</v>
      </c>
      <c r="M709" s="60"/>
      <c r="N709" s="60">
        <f t="shared" ca="1" si="204"/>
        <v>0</v>
      </c>
      <c r="O709" s="60">
        <f t="shared" ca="1" si="205"/>
        <v>0</v>
      </c>
      <c r="P709" s="60">
        <f t="shared" ca="1" si="205"/>
        <v>0</v>
      </c>
      <c r="Q709" s="60">
        <f t="shared" ca="1" si="205"/>
        <v>0</v>
      </c>
      <c r="T709" s="68">
        <f>T710-T708</f>
        <v>13895428.499999998</v>
      </c>
      <c r="U709" s="50"/>
      <c r="V709" s="50"/>
      <c r="W709" s="50"/>
      <c r="X709" s="50"/>
      <c r="Y709" s="50"/>
    </row>
    <row r="710" spans="1:27" x14ac:dyDescent="0.2">
      <c r="A710" s="60">
        <v>25</v>
      </c>
      <c r="B710" s="70" t="s">
        <v>1244</v>
      </c>
      <c r="C710" s="58"/>
      <c r="D710" s="66">
        <f t="shared" ca="1" si="202"/>
        <v>14023456.059999999</v>
      </c>
      <c r="F710" s="60">
        <f ca="1">F709+F708</f>
        <v>0</v>
      </c>
      <c r="H710" s="60">
        <f ca="1">H709+H708</f>
        <v>14023456.059999999</v>
      </c>
      <c r="I710" s="60">
        <f t="shared" ca="1" si="203"/>
        <v>0</v>
      </c>
      <c r="L710" s="60">
        <f ca="1">L709+L708</f>
        <v>0</v>
      </c>
      <c r="M710" s="60"/>
      <c r="N710" s="60">
        <f t="shared" ca="1" si="204"/>
        <v>0</v>
      </c>
      <c r="O710" s="60">
        <f ca="1">O709+O708</f>
        <v>0</v>
      </c>
      <c r="P710" s="60">
        <f ca="1">P709+P708</f>
        <v>0</v>
      </c>
      <c r="Q710" s="60">
        <f ca="1">Q709+Q708</f>
        <v>0</v>
      </c>
      <c r="T710" s="293">
        <f>PIS!L201+PIS!L251</f>
        <v>14023456.059999999</v>
      </c>
      <c r="U710" s="78" t="str">
        <f ca="1">IF(D710=SUM(T708:T709),"ok","err")</f>
        <v>ok</v>
      </c>
      <c r="V710" s="50"/>
      <c r="W710" s="50"/>
    </row>
    <row r="711" spans="1:27" x14ac:dyDescent="0.2">
      <c r="A711" s="60">
        <v>26</v>
      </c>
      <c r="B711" s="70" t="s">
        <v>1245</v>
      </c>
      <c r="C711" s="51" t="s">
        <v>707</v>
      </c>
      <c r="D711" s="66">
        <f t="shared" ca="1" si="202"/>
        <v>5175445.7300000004</v>
      </c>
      <c r="F711" s="60">
        <f ca="1">INDEX(INDIRECT($C711),1,F$12+1)*$T711</f>
        <v>0</v>
      </c>
      <c r="H711" s="60">
        <f ca="1">INDEX(INDIRECT($C711),1,H$12+1)*$T711</f>
        <v>5175445.7300000004</v>
      </c>
      <c r="I711" s="60">
        <f t="shared" ca="1" si="203"/>
        <v>0</v>
      </c>
      <c r="L711" s="60">
        <f ca="1">INDEX(INDIRECT($C711),1,L$12+1)*$T711</f>
        <v>0</v>
      </c>
      <c r="M711" s="60"/>
      <c r="N711" s="60">
        <f t="shared" ca="1" si="204"/>
        <v>0</v>
      </c>
      <c r="O711" s="60">
        <f t="shared" ref="O711:Q714" ca="1" si="206">INDEX(INDIRECT($C711),1,O$12+1)*$T711</f>
        <v>0</v>
      </c>
      <c r="P711" s="60">
        <f t="shared" ca="1" si="206"/>
        <v>0</v>
      </c>
      <c r="Q711" s="60">
        <f t="shared" ca="1" si="206"/>
        <v>0</v>
      </c>
      <c r="T711" s="293">
        <f>PIS!L202+PIS!L252</f>
        <v>5175445.7300000004</v>
      </c>
      <c r="U711" s="50"/>
      <c r="V711" s="50"/>
      <c r="W711" s="50"/>
      <c r="X711" s="50"/>
      <c r="Y711" s="50"/>
    </row>
    <row r="712" spans="1:27" x14ac:dyDescent="0.2">
      <c r="A712" s="60">
        <v>27</v>
      </c>
      <c r="B712" s="70" t="s">
        <v>1246</v>
      </c>
      <c r="C712" s="51" t="s">
        <v>709</v>
      </c>
      <c r="D712" s="66">
        <f t="shared" ca="1" si="202"/>
        <v>3637511.5</v>
      </c>
      <c r="F712" s="60">
        <f ca="1">INDEX(INDIRECT($C712),1,F$12+1)*$T712</f>
        <v>0</v>
      </c>
      <c r="H712" s="60">
        <f ca="1">INDEX(INDIRECT($C712),1,H$12+1)*$T712</f>
        <v>3637511.5</v>
      </c>
      <c r="I712" s="60">
        <f t="shared" ca="1" si="203"/>
        <v>0</v>
      </c>
      <c r="L712" s="60">
        <f ca="1">INDEX(INDIRECT($C712),1,L$12+1)*$T712</f>
        <v>0</v>
      </c>
      <c r="M712" s="60"/>
      <c r="N712" s="60">
        <f t="shared" ca="1" si="204"/>
        <v>0</v>
      </c>
      <c r="O712" s="60">
        <f t="shared" ca="1" si="206"/>
        <v>0</v>
      </c>
      <c r="P712" s="60">
        <f t="shared" ca="1" si="206"/>
        <v>0</v>
      </c>
      <c r="Q712" s="60">
        <f t="shared" ca="1" si="206"/>
        <v>0</v>
      </c>
      <c r="T712" s="293">
        <f>PIS!L203</f>
        <v>3637511.5</v>
      </c>
      <c r="U712" s="50"/>
      <c r="V712" s="50"/>
      <c r="W712" s="50"/>
      <c r="X712" s="50"/>
      <c r="Y712" s="50"/>
    </row>
    <row r="713" spans="1:27" x14ac:dyDescent="0.2">
      <c r="A713" s="60">
        <v>28</v>
      </c>
      <c r="B713" s="70" t="s">
        <v>1247</v>
      </c>
      <c r="C713" s="51" t="s">
        <v>711</v>
      </c>
      <c r="D713" s="66">
        <f t="shared" ca="1" si="202"/>
        <v>856340.66</v>
      </c>
      <c r="F713" s="60">
        <f ca="1">INDEX(INDIRECT($C713),1,F$12+1)*$T713</f>
        <v>0</v>
      </c>
      <c r="H713" s="60">
        <f ca="1">INDEX(INDIRECT($C713),1,H$12+1)*$T713</f>
        <v>856340.66</v>
      </c>
      <c r="I713" s="60">
        <f t="shared" ca="1" si="203"/>
        <v>0</v>
      </c>
      <c r="L713" s="60">
        <f ca="1">INDEX(INDIRECT($C713),1,L$12+1)*$T713</f>
        <v>0</v>
      </c>
      <c r="M713" s="60"/>
      <c r="N713" s="60">
        <f t="shared" ca="1" si="204"/>
        <v>0</v>
      </c>
      <c r="O713" s="60">
        <f t="shared" ca="1" si="206"/>
        <v>0</v>
      </c>
      <c r="P713" s="60">
        <f t="shared" ca="1" si="206"/>
        <v>0</v>
      </c>
      <c r="Q713" s="60">
        <f t="shared" ca="1" si="206"/>
        <v>0</v>
      </c>
      <c r="T713" s="293">
        <f>PIS!L204</f>
        <v>856340.66</v>
      </c>
      <c r="U713" s="50"/>
      <c r="V713" s="50"/>
      <c r="W713" s="50"/>
      <c r="X713" s="50"/>
      <c r="Y713" s="50"/>
    </row>
    <row r="714" spans="1:27" x14ac:dyDescent="0.2">
      <c r="A714" s="60">
        <v>29</v>
      </c>
      <c r="B714" s="70" t="s">
        <v>1248</v>
      </c>
      <c r="C714" s="51" t="s">
        <v>713</v>
      </c>
      <c r="D714" s="66">
        <f t="shared" ca="1" si="202"/>
        <v>2038653.7300000002</v>
      </c>
      <c r="F714" s="60">
        <f ca="1">INDEX(INDIRECT($C714),1,F$12+1)*$T714</f>
        <v>0</v>
      </c>
      <c r="H714" s="60">
        <f ca="1">INDEX(INDIRECT($C714),1,H$12+1)*$T714</f>
        <v>2038653.7300000002</v>
      </c>
      <c r="I714" s="60">
        <f t="shared" ca="1" si="203"/>
        <v>0</v>
      </c>
      <c r="L714" s="60">
        <f ca="1">INDEX(INDIRECT($C714),1,L$12+1)*$T714</f>
        <v>0</v>
      </c>
      <c r="M714" s="60"/>
      <c r="N714" s="60">
        <f t="shared" ca="1" si="204"/>
        <v>0</v>
      </c>
      <c r="O714" s="60">
        <f t="shared" ca="1" si="206"/>
        <v>0</v>
      </c>
      <c r="P714" s="60">
        <f t="shared" ca="1" si="206"/>
        <v>0</v>
      </c>
      <c r="Q714" s="60">
        <f t="shared" ca="1" si="206"/>
        <v>0</v>
      </c>
      <c r="T714" s="293">
        <f>PIS!L205+PIS!L253</f>
        <v>2038653.7300000002</v>
      </c>
      <c r="U714" s="50"/>
      <c r="V714" s="50"/>
      <c r="W714" s="50"/>
      <c r="X714" s="50"/>
      <c r="Y714" s="50"/>
    </row>
    <row r="715" spans="1:27" x14ac:dyDescent="0.2">
      <c r="A715" s="60">
        <v>30</v>
      </c>
      <c r="B715" s="48" t="s">
        <v>97</v>
      </c>
      <c r="C715" s="58"/>
      <c r="D715" s="66">
        <f t="shared" ca="1" si="202"/>
        <v>80327605.579999998</v>
      </c>
      <c r="F715" s="60">
        <f ca="1">SUM(F701:F709,F711:F714)</f>
        <v>0</v>
      </c>
      <c r="H715" s="60">
        <f ca="1">SUM(H701:H709,H711:H714)</f>
        <v>80327605.579999998</v>
      </c>
      <c r="I715" s="60">
        <f t="shared" ca="1" si="203"/>
        <v>0</v>
      </c>
      <c r="L715" s="60">
        <f ca="1">SUM(L701:L709,L711:L714)</f>
        <v>0</v>
      </c>
      <c r="M715" s="60"/>
      <c r="N715" s="60">
        <f t="shared" ca="1" si="204"/>
        <v>0</v>
      </c>
      <c r="O715" s="60">
        <f ca="1">SUM(O701:O709,O711:O714)</f>
        <v>0</v>
      </c>
      <c r="P715" s="60">
        <f ca="1">SUM(P701:P709,P711:P714)</f>
        <v>0</v>
      </c>
      <c r="Q715" s="60">
        <f ca="1">SUM(Q701:Q709,Q711:Q714)</f>
        <v>0</v>
      </c>
      <c r="U715" s="78" t="str">
        <f ca="1">IF(D715=SUM(T701:T709,T711:T714),"ok","err")</f>
        <v>ok</v>
      </c>
      <c r="V715" s="50"/>
      <c r="W715" s="50"/>
    </row>
    <row r="716" spans="1:27" x14ac:dyDescent="0.2">
      <c r="C716" s="58"/>
      <c r="V716" s="50"/>
      <c r="W716" s="50"/>
    </row>
    <row r="717" spans="1:27" x14ac:dyDescent="0.2">
      <c r="B717" s="70" t="s">
        <v>24</v>
      </c>
      <c r="C717" s="58"/>
      <c r="V717" s="50"/>
      <c r="W717" s="50"/>
    </row>
    <row r="718" spans="1:27" x14ac:dyDescent="0.2">
      <c r="A718" s="60">
        <v>31</v>
      </c>
      <c r="B718" s="70" t="s">
        <v>412</v>
      </c>
      <c r="C718" s="51" t="s">
        <v>26</v>
      </c>
      <c r="D718" s="66">
        <f ca="1">SUM(F718:I718)+K718</f>
        <v>5040.2299999999996</v>
      </c>
      <c r="F718" s="60">
        <f ca="1">INDEX(INDIRECT($C718),1,F$12+1)*$T718</f>
        <v>0</v>
      </c>
      <c r="H718" s="60">
        <f ca="1">INDEX(INDIRECT($C718),1,H$12+1)*$T718</f>
        <v>0</v>
      </c>
      <c r="I718" s="60">
        <f ca="1">(L718+M718+N718)</f>
        <v>5040.2299999999996</v>
      </c>
      <c r="L718" s="60">
        <f ca="1">INDEX(INDIRECT($C718),1,L$12+1)*$T718</f>
        <v>5040.2299999999996</v>
      </c>
      <c r="M718" s="60"/>
      <c r="N718" s="60">
        <f ca="1">SUM(O718:Q718)</f>
        <v>0</v>
      </c>
      <c r="O718" s="60">
        <f ca="1">INDEX(INDIRECT($C718),1,O$12+1)*$T718</f>
        <v>0</v>
      </c>
      <c r="P718" s="60">
        <f ca="1">INDEX(INDIRECT($C718),1,P$12+1)*$T718</f>
        <v>0</v>
      </c>
      <c r="Q718" s="60">
        <f ca="1">INDEX(INDIRECT($C718),1,Q$12+1)*$T718</f>
        <v>0</v>
      </c>
      <c r="T718" s="292">
        <f>PIS!L284+PIS!L285</f>
        <v>5040.2299999999996</v>
      </c>
      <c r="U718" s="78" t="str">
        <f ca="1">IF(D718=T718,"ok","err")</f>
        <v>ok</v>
      </c>
      <c r="V718" s="50"/>
      <c r="W718" s="50"/>
      <c r="X718" s="50"/>
      <c r="Y718" s="50"/>
    </row>
    <row r="719" spans="1:27" x14ac:dyDescent="0.2">
      <c r="A719" s="60">
        <v>32</v>
      </c>
      <c r="B719" s="70" t="s">
        <v>413</v>
      </c>
      <c r="C719" s="51" t="s">
        <v>27</v>
      </c>
      <c r="D719" s="66">
        <f t="shared" ref="D719:D726" ca="1" si="207">SUM(F719:I719)+K719</f>
        <v>2621.29</v>
      </c>
      <c r="F719" s="60">
        <f t="shared" ref="F719:F726" ca="1" si="208">INDEX(INDIRECT($C719),1,F$12+1)*$T719</f>
        <v>0</v>
      </c>
      <c r="H719" s="60">
        <f t="shared" ref="H719:H726" ca="1" si="209">INDEX(INDIRECT($C719),1,H$12+1)*$T719</f>
        <v>0</v>
      </c>
      <c r="I719" s="60">
        <f t="shared" ref="I719:I727" ca="1" si="210">(L719+M719+N719)</f>
        <v>2621.29</v>
      </c>
      <c r="L719" s="60">
        <f t="shared" ref="L719:L726" ca="1" si="211">INDEX(INDIRECT($C719),1,L$12+1)*$T719</f>
        <v>2621.29</v>
      </c>
      <c r="M719" s="60"/>
      <c r="N719" s="60">
        <f t="shared" ref="N719:N727" ca="1" si="212">SUM(O719:Q719)</f>
        <v>0</v>
      </c>
      <c r="O719" s="60">
        <f t="shared" ref="O719:Q726" ca="1" si="213">INDEX(INDIRECT($C719),1,O$12+1)*$T719</f>
        <v>0</v>
      </c>
      <c r="P719" s="60">
        <f t="shared" ca="1" si="213"/>
        <v>0</v>
      </c>
      <c r="Q719" s="60">
        <f t="shared" ca="1" si="213"/>
        <v>0</v>
      </c>
      <c r="T719" s="292">
        <f>PIS!L286</f>
        <v>2621.29</v>
      </c>
      <c r="U719" s="78" t="str">
        <f t="shared" ref="U719:U726" ca="1" si="214">IF(D719=T719,"ok","err")</f>
        <v>ok</v>
      </c>
      <c r="V719" s="50"/>
      <c r="W719" s="50"/>
      <c r="X719" s="50"/>
      <c r="Y719" s="50"/>
    </row>
    <row r="720" spans="1:27" x14ac:dyDescent="0.2">
      <c r="A720" s="60">
        <v>33</v>
      </c>
      <c r="B720" s="70" t="s">
        <v>414</v>
      </c>
      <c r="C720" s="51" t="s">
        <v>28</v>
      </c>
      <c r="D720" s="66">
        <f t="shared" ca="1" si="207"/>
        <v>56019.76</v>
      </c>
      <c r="F720" s="60">
        <f t="shared" ca="1" si="208"/>
        <v>0</v>
      </c>
      <c r="H720" s="60">
        <f t="shared" ca="1" si="209"/>
        <v>0</v>
      </c>
      <c r="I720" s="60">
        <f t="shared" ca="1" si="210"/>
        <v>56019.76</v>
      </c>
      <c r="L720" s="60">
        <f t="shared" ca="1" si="211"/>
        <v>56019.76</v>
      </c>
      <c r="M720" s="60"/>
      <c r="N720" s="60">
        <f t="shared" ca="1" si="212"/>
        <v>0</v>
      </c>
      <c r="O720" s="60">
        <f t="shared" ca="1" si="213"/>
        <v>0</v>
      </c>
      <c r="P720" s="60">
        <f t="shared" ca="1" si="213"/>
        <v>0</v>
      </c>
      <c r="Q720" s="60">
        <f t="shared" ca="1" si="213"/>
        <v>0</v>
      </c>
      <c r="T720" s="292">
        <f>PIS!L287</f>
        <v>56019.76</v>
      </c>
      <c r="U720" s="78" t="str">
        <f t="shared" ca="1" si="214"/>
        <v>ok</v>
      </c>
      <c r="V720" s="50"/>
      <c r="W720" s="50"/>
      <c r="X720" s="50"/>
      <c r="Y720" s="50"/>
    </row>
    <row r="721" spans="1:25" x14ac:dyDescent="0.2">
      <c r="A721" s="60">
        <v>34</v>
      </c>
      <c r="B721" s="70" t="s">
        <v>1239</v>
      </c>
      <c r="C721" s="51" t="s">
        <v>29</v>
      </c>
      <c r="D721" s="66">
        <f t="shared" ca="1" si="207"/>
        <v>48114.2</v>
      </c>
      <c r="F721" s="60">
        <f t="shared" ca="1" si="208"/>
        <v>0</v>
      </c>
      <c r="H721" s="60">
        <f t="shared" ca="1" si="209"/>
        <v>0</v>
      </c>
      <c r="I721" s="60">
        <f t="shared" ca="1" si="210"/>
        <v>48114.2</v>
      </c>
      <c r="L721" s="60">
        <f t="shared" ca="1" si="211"/>
        <v>48114.2</v>
      </c>
      <c r="M721" s="60"/>
      <c r="N721" s="60">
        <f t="shared" ca="1" si="212"/>
        <v>0</v>
      </c>
      <c r="O721" s="60">
        <f t="shared" ca="1" si="213"/>
        <v>0</v>
      </c>
      <c r="P721" s="60">
        <f t="shared" ca="1" si="213"/>
        <v>0</v>
      </c>
      <c r="Q721" s="60">
        <f t="shared" ca="1" si="213"/>
        <v>0</v>
      </c>
      <c r="T721" s="292">
        <f>PIS!L288</f>
        <v>48114.2</v>
      </c>
      <c r="U721" s="78" t="str">
        <f t="shared" ca="1" si="214"/>
        <v>ok</v>
      </c>
      <c r="V721" s="50"/>
      <c r="W721" s="50"/>
      <c r="X721" s="50"/>
      <c r="Y721" s="50"/>
    </row>
    <row r="722" spans="1:25" x14ac:dyDescent="0.2">
      <c r="A722" s="60">
        <v>35</v>
      </c>
      <c r="B722" s="70" t="s">
        <v>1240</v>
      </c>
      <c r="C722" s="51" t="s">
        <v>30</v>
      </c>
      <c r="D722" s="66">
        <f t="shared" ca="1" si="207"/>
        <v>46763.22</v>
      </c>
      <c r="F722" s="60">
        <f t="shared" ca="1" si="208"/>
        <v>0</v>
      </c>
      <c r="H722" s="60">
        <f t="shared" ca="1" si="209"/>
        <v>0</v>
      </c>
      <c r="I722" s="60">
        <f t="shared" ca="1" si="210"/>
        <v>46763.22</v>
      </c>
      <c r="L722" s="60">
        <f t="shared" ca="1" si="211"/>
        <v>46763.22</v>
      </c>
      <c r="M722" s="60"/>
      <c r="N722" s="60">
        <f t="shared" ca="1" si="212"/>
        <v>0</v>
      </c>
      <c r="O722" s="60">
        <f t="shared" ca="1" si="213"/>
        <v>0</v>
      </c>
      <c r="P722" s="60">
        <f t="shared" ca="1" si="213"/>
        <v>0</v>
      </c>
      <c r="Q722" s="60">
        <f t="shared" ca="1" si="213"/>
        <v>0</v>
      </c>
      <c r="T722" s="292">
        <f>PIS!L289</f>
        <v>46763.22</v>
      </c>
      <c r="U722" s="78" t="str">
        <f t="shared" ca="1" si="214"/>
        <v>ok</v>
      </c>
      <c r="V722" s="50"/>
      <c r="W722" s="50"/>
      <c r="X722" s="50"/>
      <c r="Y722" s="50"/>
    </row>
    <row r="723" spans="1:25" x14ac:dyDescent="0.2">
      <c r="A723" s="60">
        <v>36</v>
      </c>
      <c r="B723" s="70" t="s">
        <v>1243</v>
      </c>
      <c r="C723" s="51" t="s">
        <v>31</v>
      </c>
      <c r="D723" s="66">
        <f t="shared" ca="1" si="207"/>
        <v>3118.28</v>
      </c>
      <c r="F723" s="60">
        <f t="shared" ca="1" si="208"/>
        <v>0</v>
      </c>
      <c r="H723" s="60">
        <f t="shared" ca="1" si="209"/>
        <v>0</v>
      </c>
      <c r="I723" s="60">
        <f t="shared" ca="1" si="210"/>
        <v>3118.28</v>
      </c>
      <c r="L723" s="60">
        <f t="shared" ca="1" si="211"/>
        <v>3118.28</v>
      </c>
      <c r="M723" s="60"/>
      <c r="N723" s="60">
        <f t="shared" ca="1" si="212"/>
        <v>0</v>
      </c>
      <c r="O723" s="60">
        <f t="shared" ca="1" si="213"/>
        <v>0</v>
      </c>
      <c r="P723" s="60">
        <f t="shared" ca="1" si="213"/>
        <v>0</v>
      </c>
      <c r="Q723" s="60">
        <f t="shared" ca="1" si="213"/>
        <v>0</v>
      </c>
      <c r="T723" s="292">
        <f>PIS!L292</f>
        <v>3118.28</v>
      </c>
      <c r="U723" s="78" t="str">
        <f t="shared" ca="1" si="214"/>
        <v>ok</v>
      </c>
      <c r="V723" s="50"/>
      <c r="W723" s="50"/>
      <c r="X723" s="50"/>
      <c r="Y723" s="50"/>
    </row>
    <row r="724" spans="1:25" x14ac:dyDescent="0.2">
      <c r="A724" s="60">
        <v>37</v>
      </c>
      <c r="B724" s="70" t="s">
        <v>1245</v>
      </c>
      <c r="C724" s="51" t="s">
        <v>34</v>
      </c>
      <c r="D724" s="66">
        <f t="shared" ca="1" si="207"/>
        <v>254.62</v>
      </c>
      <c r="F724" s="60">
        <f t="shared" ca="1" si="208"/>
        <v>0</v>
      </c>
      <c r="H724" s="60">
        <f t="shared" ca="1" si="209"/>
        <v>0</v>
      </c>
      <c r="I724" s="60">
        <f t="shared" ca="1" si="210"/>
        <v>254.62</v>
      </c>
      <c r="L724" s="60">
        <f t="shared" ca="1" si="211"/>
        <v>254.62</v>
      </c>
      <c r="M724" s="60"/>
      <c r="N724" s="60">
        <f t="shared" ca="1" si="212"/>
        <v>0</v>
      </c>
      <c r="O724" s="60">
        <f t="shared" ca="1" si="213"/>
        <v>0</v>
      </c>
      <c r="P724" s="60">
        <f t="shared" ca="1" si="213"/>
        <v>0</v>
      </c>
      <c r="Q724" s="60">
        <f t="shared" ca="1" si="213"/>
        <v>0</v>
      </c>
      <c r="T724" s="292">
        <f>PIS!L293</f>
        <v>254.62</v>
      </c>
      <c r="U724" s="78" t="str">
        <f t="shared" ca="1" si="214"/>
        <v>ok</v>
      </c>
      <c r="V724" s="50"/>
      <c r="W724" s="50"/>
      <c r="X724" s="50"/>
      <c r="Y724" s="50"/>
    </row>
    <row r="725" spans="1:25" x14ac:dyDescent="0.2">
      <c r="A725" s="60">
        <v>38</v>
      </c>
      <c r="B725" s="70" t="s">
        <v>1246</v>
      </c>
      <c r="C725" s="51" t="s">
        <v>33</v>
      </c>
      <c r="D725" s="66">
        <f t="shared" ca="1" si="207"/>
        <v>111.07999999999993</v>
      </c>
      <c r="F725" s="60">
        <f t="shared" ca="1" si="208"/>
        <v>0</v>
      </c>
      <c r="H725" s="60">
        <f t="shared" ca="1" si="209"/>
        <v>0</v>
      </c>
      <c r="I725" s="60">
        <f t="shared" ca="1" si="210"/>
        <v>111.07999999999993</v>
      </c>
      <c r="L725" s="60">
        <f t="shared" ca="1" si="211"/>
        <v>111.07999999999993</v>
      </c>
      <c r="M725" s="60"/>
      <c r="N725" s="60">
        <f t="shared" ca="1" si="212"/>
        <v>0</v>
      </c>
      <c r="O725" s="60">
        <f t="shared" ca="1" si="213"/>
        <v>0</v>
      </c>
      <c r="P725" s="60">
        <f t="shared" ca="1" si="213"/>
        <v>0</v>
      </c>
      <c r="Q725" s="60">
        <f t="shared" ca="1" si="213"/>
        <v>0</v>
      </c>
      <c r="T725" s="292">
        <f>PIS!L294</f>
        <v>111.07999999999993</v>
      </c>
      <c r="U725" s="78" t="str">
        <f t="shared" ca="1" si="214"/>
        <v>ok</v>
      </c>
      <c r="V725" s="50"/>
      <c r="W725" s="50"/>
      <c r="X725" s="50"/>
      <c r="Y725" s="50"/>
    </row>
    <row r="726" spans="1:25" x14ac:dyDescent="0.2">
      <c r="A726" s="60">
        <v>39</v>
      </c>
      <c r="B726" s="70" t="s">
        <v>1247</v>
      </c>
      <c r="C726" s="51" t="s">
        <v>32</v>
      </c>
      <c r="D726" s="66">
        <f t="shared" ca="1" si="207"/>
        <v>0</v>
      </c>
      <c r="F726" s="60">
        <f t="shared" ca="1" si="208"/>
        <v>0</v>
      </c>
      <c r="H726" s="60">
        <f t="shared" ca="1" si="209"/>
        <v>0</v>
      </c>
      <c r="I726" s="60">
        <f t="shared" ca="1" si="210"/>
        <v>0</v>
      </c>
      <c r="L726" s="60">
        <f t="shared" ca="1" si="211"/>
        <v>0</v>
      </c>
      <c r="M726" s="60"/>
      <c r="N726" s="60">
        <f t="shared" ca="1" si="212"/>
        <v>0</v>
      </c>
      <c r="O726" s="60">
        <f t="shared" ca="1" si="213"/>
        <v>0</v>
      </c>
      <c r="P726" s="60">
        <f t="shared" ca="1" si="213"/>
        <v>0</v>
      </c>
      <c r="Q726" s="60">
        <f t="shared" ca="1" si="213"/>
        <v>0</v>
      </c>
      <c r="T726" s="292">
        <f>PIS!L295</f>
        <v>0</v>
      </c>
      <c r="U726" s="78" t="str">
        <f t="shared" ca="1" si="214"/>
        <v>ok</v>
      </c>
      <c r="V726" s="50"/>
      <c r="W726" s="50"/>
      <c r="X726" s="50"/>
      <c r="Y726" s="50"/>
    </row>
    <row r="727" spans="1:25" x14ac:dyDescent="0.2">
      <c r="A727" s="60">
        <v>40</v>
      </c>
      <c r="B727" s="70" t="s">
        <v>25</v>
      </c>
      <c r="C727" s="58"/>
      <c r="D727" s="66">
        <f ca="1">SUM(F727:I727)+K727</f>
        <v>162042.68</v>
      </c>
      <c r="F727" s="60">
        <f ca="1">SUM(F718:F726)</f>
        <v>0</v>
      </c>
      <c r="H727" s="60">
        <f ca="1">SUM(H718:H726)</f>
        <v>0</v>
      </c>
      <c r="I727" s="60">
        <f t="shared" ca="1" si="210"/>
        <v>162042.68</v>
      </c>
      <c r="L727" s="60">
        <f ca="1">SUM(L718:L726)</f>
        <v>162042.68</v>
      </c>
      <c r="M727" s="60"/>
      <c r="N727" s="60">
        <f t="shared" ca="1" si="212"/>
        <v>0</v>
      </c>
      <c r="O727" s="60">
        <f ca="1">SUM(O718:O726)</f>
        <v>0</v>
      </c>
      <c r="P727" s="60">
        <f ca="1">SUM(P718:P726)</f>
        <v>0</v>
      </c>
      <c r="Q727" s="60">
        <f ca="1">SUM(Q718:Q726)</f>
        <v>0</v>
      </c>
      <c r="U727" s="78" t="str">
        <f ca="1">IF(D727=SUM(T718:T726),"ok","err")</f>
        <v>ok</v>
      </c>
      <c r="V727" s="50"/>
      <c r="W727" s="50"/>
    </row>
    <row r="728" spans="1:25" x14ac:dyDescent="0.2">
      <c r="A728" s="60"/>
      <c r="B728" s="48"/>
      <c r="C728" s="51"/>
      <c r="D728" s="66"/>
      <c r="F728" s="60"/>
      <c r="H728" s="60"/>
      <c r="I728" s="60"/>
      <c r="L728" s="60"/>
      <c r="M728" s="60"/>
      <c r="N728" s="60"/>
      <c r="O728" s="60"/>
      <c r="P728" s="60"/>
      <c r="Q728" s="60"/>
      <c r="T728" s="86"/>
      <c r="U728" s="78"/>
      <c r="V728" s="50"/>
      <c r="W728" s="50"/>
      <c r="X728" s="50"/>
      <c r="Y728" s="50"/>
    </row>
    <row r="729" spans="1:25" x14ac:dyDescent="0.2">
      <c r="A729" s="60">
        <v>41</v>
      </c>
      <c r="B729" s="48" t="s">
        <v>1036</v>
      </c>
      <c r="C729" s="58"/>
      <c r="D729" s="66">
        <f ca="1">SUM(F729:I729)+K729</f>
        <v>1433759656.6499999</v>
      </c>
      <c r="F729" s="60">
        <f ca="1">F727+F715+F698</f>
        <v>1348948019.5461249</v>
      </c>
      <c r="H729" s="60">
        <f ca="1">H727+H715+H698</f>
        <v>80327605.579999998</v>
      </c>
      <c r="I729" s="60">
        <f ca="1">(L729+M729+N729)</f>
        <v>4484031.5238750307</v>
      </c>
      <c r="L729" s="60">
        <f ca="1">L727+L715+L698</f>
        <v>162042.68</v>
      </c>
      <c r="M729" s="60"/>
      <c r="N729" s="60">
        <f ca="1">SUM(O729:Q729)</f>
        <v>4321988.843875031</v>
      </c>
      <c r="O729" s="60">
        <f ca="1">O727+O715+O698</f>
        <v>3714063.0443994557</v>
      </c>
      <c r="P729" s="60">
        <f ca="1">P727+P715+P698</f>
        <v>607925.79947557533</v>
      </c>
      <c r="Q729" s="60">
        <f ca="1">Q727+Q715+Q698</f>
        <v>0</v>
      </c>
      <c r="T729" s="58"/>
      <c r="U729" s="50"/>
      <c r="V729" s="50"/>
      <c r="W729" s="50"/>
    </row>
    <row r="730" spans="1:25" x14ac:dyDescent="0.2">
      <c r="C730" s="58"/>
      <c r="T730" s="58"/>
      <c r="U730" s="50"/>
      <c r="V730" s="50"/>
      <c r="W730" s="50"/>
    </row>
    <row r="731" spans="1:25" x14ac:dyDescent="0.2">
      <c r="B731" s="64" t="s">
        <v>80</v>
      </c>
      <c r="T731" s="79"/>
    </row>
    <row r="732" spans="1:25" x14ac:dyDescent="0.2">
      <c r="T732" s="79"/>
    </row>
    <row r="733" spans="1:25" x14ac:dyDescent="0.2">
      <c r="B733" s="70" t="s">
        <v>124</v>
      </c>
      <c r="C733" s="58"/>
      <c r="V733" s="50"/>
      <c r="W733" s="50"/>
    </row>
    <row r="734" spans="1:25" x14ac:dyDescent="0.2">
      <c r="A734" s="60">
        <v>1</v>
      </c>
      <c r="B734" s="70" t="s">
        <v>44</v>
      </c>
      <c r="C734" s="51" t="s">
        <v>730</v>
      </c>
      <c r="D734" s="66">
        <f ca="1">SUM(F734:I734)+K734</f>
        <v>2629527.6200000006</v>
      </c>
      <c r="F734" s="60">
        <f ca="1">INDEX(INDIRECT($C734),1,F$12+1)*$T734</f>
        <v>2338646.1876761313</v>
      </c>
      <c r="H734" s="60">
        <f ca="1">INDEX(INDIRECT($C734),1,H$12+1)*$T734</f>
        <v>144079.66990106931</v>
      </c>
      <c r="I734" s="60">
        <f ca="1">(L734+M734+N734)</f>
        <v>146801.76242279992</v>
      </c>
      <c r="L734" s="60">
        <f ca="1">INDEX(INDIRECT($C734),1,L$12+1)*$T734</f>
        <v>80.722897591639082</v>
      </c>
      <c r="M734" s="60"/>
      <c r="N734" s="60">
        <f ca="1">SUM(O734:Q734)</f>
        <v>146721.03952520827</v>
      </c>
      <c r="O734" s="60">
        <f ca="1">INDEX(INDIRECT($C734),1,O$12+1)*$T734</f>
        <v>47664.173027435208</v>
      </c>
      <c r="P734" s="60">
        <f ca="1">INDEX(INDIRECT($C734),1,P$12+1)*$T734</f>
        <v>99056.866497773066</v>
      </c>
      <c r="Q734" s="60">
        <f ca="1">INDEX(INDIRECT($C734),1,Q$12+1)*$T734</f>
        <v>1.6455083452609518E-13</v>
      </c>
      <c r="T734" s="292">
        <f>SUM(PIS!L29,PIS!L209)</f>
        <v>2629527.6200000006</v>
      </c>
      <c r="U734" s="78" t="str">
        <f ca="1">IF(D734=T734,"ok","err")</f>
        <v>ok</v>
      </c>
      <c r="V734" s="55"/>
      <c r="W734" s="55"/>
    </row>
    <row r="735" spans="1:25" x14ac:dyDescent="0.2">
      <c r="A735" s="60">
        <v>2</v>
      </c>
      <c r="B735" s="70" t="s">
        <v>45</v>
      </c>
      <c r="C735" s="51" t="s">
        <v>730</v>
      </c>
      <c r="D735" s="66">
        <f t="shared" ref="D735:D743" ca="1" si="215">SUM(F735:I735)+K735</f>
        <v>46799329.669999987</v>
      </c>
      <c r="F735" s="60">
        <f t="shared" ref="F735:F743" ca="1" si="216">INDEX(INDIRECT($C735),1,F$12+1)*$T735</f>
        <v>41622332.880665429</v>
      </c>
      <c r="H735" s="60">
        <f t="shared" ref="H735:H743" ca="1" si="217">INDEX(INDIRECT($C735),1,H$12+1)*$T735</f>
        <v>2564275.0124240629</v>
      </c>
      <c r="I735" s="60">
        <f t="shared" ref="I735:I744" ca="1" si="218">(L735+M735+N735)</f>
        <v>2612721.7769104964</v>
      </c>
      <c r="L735" s="60">
        <f t="shared" ref="L735:L743" ca="1" si="219">INDEX(INDIRECT($C735),1,L$12+1)*$T735</f>
        <v>1436.6753433488427</v>
      </c>
      <c r="M735" s="60"/>
      <c r="N735" s="60">
        <f t="shared" ref="N735:N744" ca="1" si="220">SUM(O735:Q735)</f>
        <v>2611285.1015671478</v>
      </c>
      <c r="O735" s="60">
        <f t="shared" ref="O735:Q743" ca="1" si="221">INDEX(INDIRECT($C735),1,O$12+1)*$T735</f>
        <v>848308.77226490655</v>
      </c>
      <c r="P735" s="60">
        <f t="shared" ca="1" si="221"/>
        <v>1762976.3293022411</v>
      </c>
      <c r="Q735" s="60">
        <f t="shared" ca="1" si="221"/>
        <v>2.9286129926485976E-12</v>
      </c>
      <c r="T735" s="292">
        <f>SUM(PIS!L30:L31,PIS!L127,PIS!L210:L211,PIS!L257,PIS!L346)</f>
        <v>46799329.669999994</v>
      </c>
      <c r="U735" s="78" t="str">
        <f t="shared" ref="U735:U743" ca="1" si="222">IF(D735=T735,"ok","err")</f>
        <v>ok</v>
      </c>
      <c r="V735" s="55"/>
      <c r="W735" s="55"/>
    </row>
    <row r="736" spans="1:25" x14ac:dyDescent="0.2">
      <c r="A736" s="60">
        <v>3</v>
      </c>
      <c r="B736" s="70" t="s">
        <v>46</v>
      </c>
      <c r="C736" s="51" t="s">
        <v>730</v>
      </c>
      <c r="D736" s="66">
        <f t="shared" ca="1" si="215"/>
        <v>32854980.949999999</v>
      </c>
      <c r="F736" s="60">
        <f t="shared" ca="1" si="216"/>
        <v>29220524.386387467</v>
      </c>
      <c r="H736" s="60">
        <f t="shared" ca="1" si="217"/>
        <v>1800222.5091219691</v>
      </c>
      <c r="I736" s="60">
        <f t="shared" ca="1" si="218"/>
        <v>1834234.0544905614</v>
      </c>
      <c r="L736" s="60">
        <f t="shared" ca="1" si="219"/>
        <v>1008.6029302107511</v>
      </c>
      <c r="M736" s="60"/>
      <c r="N736" s="60">
        <f t="shared" ca="1" si="220"/>
        <v>1833225.4515603506</v>
      </c>
      <c r="O736" s="60">
        <f t="shared" ca="1" si="221"/>
        <v>595546.31976593856</v>
      </c>
      <c r="P736" s="60">
        <f t="shared" ca="1" si="221"/>
        <v>1237679.1317944122</v>
      </c>
      <c r="Q736" s="60">
        <f t="shared" ca="1" si="221"/>
        <v>2.0560021855413936E-12</v>
      </c>
      <c r="T736" s="292">
        <f>SUM(PIS!L32:L35,PIS!L128:L130,PIS!L212,PIS!L213)</f>
        <v>32854980.950000003</v>
      </c>
      <c r="U736" s="78" t="str">
        <f t="shared" ca="1" si="222"/>
        <v>ok</v>
      </c>
      <c r="V736" s="55"/>
      <c r="W736" s="55"/>
    </row>
    <row r="737" spans="1:25" x14ac:dyDescent="0.2">
      <c r="A737" s="60">
        <v>4</v>
      </c>
      <c r="B737" s="70" t="s">
        <v>47</v>
      </c>
      <c r="C737" s="51" t="s">
        <v>730</v>
      </c>
      <c r="D737" s="66">
        <f t="shared" ca="1" si="215"/>
        <v>15969954.879999997</v>
      </c>
      <c r="F737" s="60">
        <f t="shared" ca="1" si="216"/>
        <v>14203339.722847944</v>
      </c>
      <c r="H737" s="60">
        <f t="shared" ca="1" si="217"/>
        <v>875041.51313891518</v>
      </c>
      <c r="I737" s="60">
        <f t="shared" ca="1" si="218"/>
        <v>891573.64401313779</v>
      </c>
      <c r="L737" s="60">
        <f t="shared" ca="1" si="219"/>
        <v>490.25574879541915</v>
      </c>
      <c r="M737" s="60"/>
      <c r="N737" s="60">
        <f t="shared" ca="1" si="220"/>
        <v>891083.38826434233</v>
      </c>
      <c r="O737" s="60">
        <f t="shared" ca="1" si="221"/>
        <v>289479.63385174598</v>
      </c>
      <c r="P737" s="60">
        <f t="shared" ca="1" si="221"/>
        <v>601603.75441259635</v>
      </c>
      <c r="Q737" s="60">
        <f t="shared" ca="1" si="221"/>
        <v>9.9936938591581913E-13</v>
      </c>
      <c r="T737" s="292">
        <f>SUM(PIS!L36,PIS!L214)</f>
        <v>15969954.879999999</v>
      </c>
      <c r="U737" s="78" t="str">
        <f t="shared" ca="1" si="222"/>
        <v>ok</v>
      </c>
      <c r="V737" s="55"/>
      <c r="W737" s="55"/>
    </row>
    <row r="738" spans="1:25" x14ac:dyDescent="0.2">
      <c r="A738" s="60">
        <v>5</v>
      </c>
      <c r="B738" s="70" t="s">
        <v>48</v>
      </c>
      <c r="C738" s="51" t="s">
        <v>730</v>
      </c>
      <c r="D738" s="66">
        <f t="shared" ca="1" si="215"/>
        <v>551794.27</v>
      </c>
      <c r="F738" s="60">
        <f t="shared" ca="1" si="216"/>
        <v>490754.1400599677</v>
      </c>
      <c r="H738" s="60">
        <f t="shared" ca="1" si="217"/>
        <v>30234.455675693378</v>
      </c>
      <c r="I738" s="60">
        <f t="shared" ca="1" si="218"/>
        <v>30805.674264338893</v>
      </c>
      <c r="L738" s="60">
        <f t="shared" ca="1" si="219"/>
        <v>16.939328573724293</v>
      </c>
      <c r="M738" s="60"/>
      <c r="N738" s="60">
        <f t="shared" ca="1" si="220"/>
        <v>30788.734935765169</v>
      </c>
      <c r="O738" s="60">
        <f t="shared" ca="1" si="221"/>
        <v>10002.107359810618</v>
      </c>
      <c r="P738" s="60">
        <f t="shared" ca="1" si="221"/>
        <v>20786.62757595455</v>
      </c>
      <c r="Q738" s="60">
        <f t="shared" ca="1" si="221"/>
        <v>3.4530235364182055E-14</v>
      </c>
      <c r="T738" s="292">
        <f>SUM(PIS!L37,PIS!L215)</f>
        <v>551794.27</v>
      </c>
      <c r="U738" s="78" t="str">
        <f t="shared" ca="1" si="222"/>
        <v>ok</v>
      </c>
      <c r="V738" s="55"/>
      <c r="W738" s="55"/>
    </row>
    <row r="739" spans="1:25" x14ac:dyDescent="0.2">
      <c r="A739" s="60">
        <v>6</v>
      </c>
      <c r="B739" s="70" t="s">
        <v>49</v>
      </c>
      <c r="C739" s="51" t="s">
        <v>730</v>
      </c>
      <c r="D739" s="66">
        <f t="shared" ca="1" si="215"/>
        <v>8221696.5200000005</v>
      </c>
      <c r="F739" s="60">
        <f t="shared" ca="1" si="216"/>
        <v>7312202.7988921115</v>
      </c>
      <c r="H739" s="60">
        <f t="shared" ca="1" si="217"/>
        <v>450491.30179068825</v>
      </c>
      <c r="I739" s="60">
        <f t="shared" ca="1" si="218"/>
        <v>459002.41931720072</v>
      </c>
      <c r="L739" s="60">
        <f t="shared" ca="1" si="219"/>
        <v>252.39482603856254</v>
      </c>
      <c r="M739" s="60"/>
      <c r="N739" s="60">
        <f t="shared" ca="1" si="220"/>
        <v>458750.02449116216</v>
      </c>
      <c r="O739" s="60">
        <f t="shared" ca="1" si="221"/>
        <v>149030.70898656009</v>
      </c>
      <c r="P739" s="60">
        <f t="shared" ca="1" si="221"/>
        <v>309719.31550460204</v>
      </c>
      <c r="Q739" s="60">
        <f t="shared" ca="1" si="221"/>
        <v>5.144981225130818E-13</v>
      </c>
      <c r="T739" s="292">
        <f>SUM(PIS!L38,PIS!L131,PIS!L216)</f>
        <v>8221696.5200000014</v>
      </c>
      <c r="U739" s="78" t="str">
        <f t="shared" ca="1" si="222"/>
        <v>ok</v>
      </c>
      <c r="V739" s="55"/>
      <c r="W739" s="55"/>
    </row>
    <row r="740" spans="1:25" x14ac:dyDescent="0.2">
      <c r="A740" s="60">
        <v>7</v>
      </c>
      <c r="B740" s="70" t="s">
        <v>50</v>
      </c>
      <c r="C740" s="51" t="s">
        <v>730</v>
      </c>
      <c r="D740" s="66">
        <f t="shared" ca="1" si="215"/>
        <v>0</v>
      </c>
      <c r="F740" s="60">
        <f t="shared" ca="1" si="216"/>
        <v>0</v>
      </c>
      <c r="H740" s="60">
        <f t="shared" ca="1" si="217"/>
        <v>0</v>
      </c>
      <c r="I740" s="60">
        <f t="shared" ca="1" si="218"/>
        <v>0</v>
      </c>
      <c r="L740" s="60">
        <f t="shared" ca="1" si="219"/>
        <v>0</v>
      </c>
      <c r="M740" s="60"/>
      <c r="N740" s="60">
        <f t="shared" ca="1" si="220"/>
        <v>0</v>
      </c>
      <c r="O740" s="60">
        <f t="shared" ca="1" si="221"/>
        <v>0</v>
      </c>
      <c r="P740" s="60">
        <f t="shared" ca="1" si="221"/>
        <v>0</v>
      </c>
      <c r="Q740" s="60">
        <f t="shared" ca="1" si="221"/>
        <v>0</v>
      </c>
      <c r="T740" s="292">
        <f>SUM(PIS!L39,PIS!L217)</f>
        <v>0</v>
      </c>
      <c r="U740" s="78" t="str">
        <f t="shared" ca="1" si="222"/>
        <v>ok</v>
      </c>
      <c r="V740" s="55"/>
      <c r="W740" s="55"/>
    </row>
    <row r="741" spans="1:25" x14ac:dyDescent="0.2">
      <c r="A741" s="60">
        <v>8</v>
      </c>
      <c r="B741" s="70" t="s">
        <v>51</v>
      </c>
      <c r="C741" s="51" t="s">
        <v>730</v>
      </c>
      <c r="D741" s="66">
        <f t="shared" ca="1" si="215"/>
        <v>1188992.9399999997</v>
      </c>
      <c r="F741" s="60">
        <f t="shared" ca="1" si="216"/>
        <v>1057465.1451293118</v>
      </c>
      <c r="H741" s="60">
        <f t="shared" ca="1" si="217"/>
        <v>65148.473439462054</v>
      </c>
      <c r="I741" s="60">
        <f t="shared" ca="1" si="218"/>
        <v>66379.321431225864</v>
      </c>
      <c r="L741" s="60">
        <f t="shared" ca="1" si="219"/>
        <v>36.500455291966794</v>
      </c>
      <c r="M741" s="60"/>
      <c r="N741" s="60">
        <f t="shared" ca="1" si="220"/>
        <v>66342.820975933893</v>
      </c>
      <c r="O741" s="60">
        <f t="shared" ca="1" si="221"/>
        <v>21552.298895631633</v>
      </c>
      <c r="P741" s="60">
        <f t="shared" ca="1" si="221"/>
        <v>44790.522080302268</v>
      </c>
      <c r="Q741" s="60">
        <f t="shared" ca="1" si="221"/>
        <v>7.440491555766026E-14</v>
      </c>
      <c r="T741" s="292">
        <f>SUM(PIS!L40,PIS!L132,PIS!L218,PIS!L258)</f>
        <v>1188992.94</v>
      </c>
      <c r="U741" s="78" t="str">
        <f t="shared" ca="1" si="222"/>
        <v>ok</v>
      </c>
      <c r="V741" s="55"/>
      <c r="W741" s="55"/>
    </row>
    <row r="742" spans="1:25" x14ac:dyDescent="0.2">
      <c r="A742" s="60">
        <v>9</v>
      </c>
      <c r="B742" s="70" t="s">
        <v>52</v>
      </c>
      <c r="C742" s="51" t="s">
        <v>730</v>
      </c>
      <c r="D742" s="66">
        <f t="shared" ca="1" si="215"/>
        <v>31878274.709999997</v>
      </c>
      <c r="F742" s="60">
        <f t="shared" ca="1" si="216"/>
        <v>28351862.537284892</v>
      </c>
      <c r="H742" s="60">
        <f t="shared" ca="1" si="217"/>
        <v>1746705.8578500135</v>
      </c>
      <c r="I742" s="60">
        <f t="shared" ca="1" si="218"/>
        <v>1779706.3148650895</v>
      </c>
      <c r="L742" s="60">
        <f t="shared" ca="1" si="219"/>
        <v>978.61938594638798</v>
      </c>
      <c r="M742" s="60"/>
      <c r="N742" s="60">
        <f t="shared" ca="1" si="220"/>
        <v>1778727.6954791432</v>
      </c>
      <c r="O742" s="60">
        <f t="shared" ca="1" si="221"/>
        <v>577842.03901746869</v>
      </c>
      <c r="P742" s="60">
        <f t="shared" ca="1" si="221"/>
        <v>1200885.6564616745</v>
      </c>
      <c r="Q742" s="60">
        <f t="shared" ca="1" si="221"/>
        <v>1.9948817676927894E-12</v>
      </c>
      <c r="T742" s="292">
        <f>SUM(PIS!L41,PIS!L133,PIS!L219)</f>
        <v>31878274.709999997</v>
      </c>
      <c r="U742" s="78" t="str">
        <f t="shared" ca="1" si="222"/>
        <v>ok</v>
      </c>
      <c r="V742" s="55"/>
      <c r="W742" s="55"/>
    </row>
    <row r="743" spans="1:25" x14ac:dyDescent="0.2">
      <c r="A743" s="60">
        <v>10</v>
      </c>
      <c r="B743" s="70" t="s">
        <v>53</v>
      </c>
      <c r="C743" s="51" t="s">
        <v>730</v>
      </c>
      <c r="D743" s="66">
        <f t="shared" ca="1" si="215"/>
        <v>0</v>
      </c>
      <c r="F743" s="60">
        <f t="shared" ca="1" si="216"/>
        <v>0</v>
      </c>
      <c r="H743" s="60">
        <f t="shared" ca="1" si="217"/>
        <v>0</v>
      </c>
      <c r="I743" s="60">
        <f t="shared" ca="1" si="218"/>
        <v>0</v>
      </c>
      <c r="L743" s="60">
        <f t="shared" ca="1" si="219"/>
        <v>0</v>
      </c>
      <c r="M743" s="60"/>
      <c r="N743" s="60">
        <f t="shared" ca="1" si="220"/>
        <v>0</v>
      </c>
      <c r="O743" s="60">
        <f t="shared" ca="1" si="221"/>
        <v>0</v>
      </c>
      <c r="P743" s="60">
        <f t="shared" ca="1" si="221"/>
        <v>0</v>
      </c>
      <c r="Q743" s="60">
        <f t="shared" ca="1" si="221"/>
        <v>0</v>
      </c>
      <c r="T743" s="292">
        <f>SUM(PIS!L42,PIS!L220)</f>
        <v>0</v>
      </c>
      <c r="U743" s="78" t="str">
        <f t="shared" ca="1" si="222"/>
        <v>ok</v>
      </c>
      <c r="V743" s="55"/>
      <c r="W743" s="55"/>
    </row>
    <row r="744" spans="1:25" x14ac:dyDescent="0.2">
      <c r="A744" s="60">
        <v>11</v>
      </c>
      <c r="B744" s="70" t="s">
        <v>54</v>
      </c>
      <c r="C744" s="58"/>
      <c r="D744" s="66">
        <f ca="1">SUM(F744:I744)+K744</f>
        <v>140094551.55999997</v>
      </c>
      <c r="F744" s="60">
        <f ca="1">SUM(F734:F743)</f>
        <v>124597127.79894324</v>
      </c>
      <c r="H744" s="60">
        <f ca="1">SUM(H734:H743)</f>
        <v>7676198.7933418741</v>
      </c>
      <c r="I744" s="60">
        <f t="shared" ca="1" si="218"/>
        <v>7821224.9677148508</v>
      </c>
      <c r="L744" s="60">
        <f ca="1">SUM(L734:L743)</f>
        <v>4300.7109157972936</v>
      </c>
      <c r="M744" s="60"/>
      <c r="N744" s="60">
        <f t="shared" ca="1" si="220"/>
        <v>7816924.2567990534</v>
      </c>
      <c r="O744" s="60">
        <f ca="1">SUM(O734:O743)</f>
        <v>2539426.0531694978</v>
      </c>
      <c r="P744" s="60">
        <f ca="1">SUM(P734:P743)</f>
        <v>5277498.2036295561</v>
      </c>
      <c r="Q744" s="60">
        <f ca="1">SUM(Q734:Q743)</f>
        <v>8.7668504397596189E-12</v>
      </c>
      <c r="U744" s="78" t="str">
        <f ca="1">IF(D744=SUM(T734:T743),"ok","err")</f>
        <v>ok</v>
      </c>
      <c r="V744" s="50"/>
      <c r="W744" s="50"/>
    </row>
    <row r="745" spans="1:25" x14ac:dyDescent="0.2">
      <c r="C745" s="58"/>
      <c r="T745" s="58"/>
      <c r="U745" s="50"/>
      <c r="V745" s="50"/>
      <c r="W745" s="50"/>
    </row>
    <row r="746" spans="1:25" x14ac:dyDescent="0.2">
      <c r="B746" s="70" t="s">
        <v>867</v>
      </c>
      <c r="C746" s="58"/>
      <c r="T746" s="79"/>
      <c r="U746" s="50"/>
      <c r="V746" s="50"/>
      <c r="W746" s="50"/>
      <c r="X746" s="50"/>
      <c r="Y746" s="50"/>
    </row>
    <row r="747" spans="1:25" x14ac:dyDescent="0.2">
      <c r="A747" s="60">
        <v>12</v>
      </c>
      <c r="B747" s="70" t="s">
        <v>55</v>
      </c>
      <c r="C747" s="51" t="s">
        <v>614</v>
      </c>
      <c r="D747" s="66">
        <f ca="1">SUM(F747:I747)+K747</f>
        <v>0</v>
      </c>
      <c r="F747" s="60">
        <f ca="1">INDEX(INDIRECT($C747),1,F$12+1)*$T747</f>
        <v>0</v>
      </c>
      <c r="H747" s="60">
        <f ca="1">INDEX(INDIRECT($C747),1,H$12+1)*$T747</f>
        <v>0</v>
      </c>
      <c r="I747" s="60">
        <f ca="1">(L747+M747+N747)</f>
        <v>0</v>
      </c>
      <c r="L747" s="60">
        <f ca="1">INDEX(INDIRECT($C747),1,L$12+1)*$T747</f>
        <v>0</v>
      </c>
      <c r="M747" s="60"/>
      <c r="N747" s="60">
        <f ca="1">SUM(O747:Q747)</f>
        <v>0</v>
      </c>
      <c r="O747" s="60">
        <f t="shared" ref="O747:Q750" ca="1" si="223">INDEX(INDIRECT($C747),1,O$12+1)*$T747</f>
        <v>0</v>
      </c>
      <c r="P747" s="60">
        <f t="shared" ca="1" si="223"/>
        <v>0</v>
      </c>
      <c r="Q747" s="60">
        <f t="shared" ca="1" si="223"/>
        <v>0</v>
      </c>
      <c r="T747" s="292">
        <f>PIS!L329</f>
        <v>0</v>
      </c>
      <c r="U747" s="55"/>
      <c r="V747" s="50"/>
      <c r="W747" s="50"/>
      <c r="X747" s="50"/>
      <c r="Y747" s="50"/>
    </row>
    <row r="748" spans="1:25" x14ac:dyDescent="0.2">
      <c r="A748" s="60">
        <v>13</v>
      </c>
      <c r="B748" s="70" t="s">
        <v>56</v>
      </c>
      <c r="C748" s="51" t="s">
        <v>627</v>
      </c>
      <c r="D748" s="66">
        <f ca="1">SUM(F748:I748)+K748</f>
        <v>0</v>
      </c>
      <c r="F748" s="60">
        <f ca="1">INDEX(INDIRECT($C748),1,F$12+1)*$T748</f>
        <v>0</v>
      </c>
      <c r="H748" s="60">
        <f ca="1">INDEX(INDIRECT($C748),1,H$12+1)*$T748</f>
        <v>0</v>
      </c>
      <c r="I748" s="60">
        <f ca="1">(L748+M748+N748)</f>
        <v>0</v>
      </c>
      <c r="L748" s="60">
        <f ca="1">INDEX(INDIRECT($C748),1,L$12+1)*$T748</f>
        <v>0</v>
      </c>
      <c r="M748" s="60"/>
      <c r="N748" s="60">
        <f ca="1">SUM(O748:Q748)</f>
        <v>0</v>
      </c>
      <c r="O748" s="60">
        <f t="shared" ca="1" si="223"/>
        <v>0</v>
      </c>
      <c r="P748" s="60">
        <f t="shared" ca="1" si="223"/>
        <v>0</v>
      </c>
      <c r="Q748" s="60">
        <f t="shared" ca="1" si="223"/>
        <v>0</v>
      </c>
      <c r="T748" s="50">
        <v>0</v>
      </c>
      <c r="U748" s="55"/>
      <c r="V748" s="50"/>
      <c r="W748" s="50"/>
      <c r="X748" s="50"/>
      <c r="Y748" s="50"/>
    </row>
    <row r="749" spans="1:25" x14ac:dyDescent="0.2">
      <c r="A749" s="60">
        <v>14</v>
      </c>
      <c r="B749" s="70" t="s">
        <v>57</v>
      </c>
      <c r="C749" s="51" t="s">
        <v>620</v>
      </c>
      <c r="D749" s="66">
        <f ca="1">SUM(F749:I749)+K749</f>
        <v>792599.21</v>
      </c>
      <c r="F749" s="60">
        <f ca="1">INDEX(INDIRECT($C749),1,F$12+1)*$T749</f>
        <v>722726.88057473651</v>
      </c>
      <c r="H749" s="60">
        <f ca="1">INDEX(INDIRECT($C749),1,H$12+1)*$T749</f>
        <v>0</v>
      </c>
      <c r="I749" s="60">
        <f ca="1">(L749+M749+N749)</f>
        <v>69872.329425263481</v>
      </c>
      <c r="L749" s="60">
        <f ca="1">INDEX(INDIRECT($C749),1,L$12+1)*$T749</f>
        <v>0</v>
      </c>
      <c r="M749" s="60"/>
      <c r="N749" s="60">
        <f ca="1">SUM(O749:Q749)</f>
        <v>69872.329425263481</v>
      </c>
      <c r="O749" s="60">
        <f t="shared" ca="1" si="223"/>
        <v>21801.939600391364</v>
      </c>
      <c r="P749" s="60">
        <f t="shared" ca="1" si="223"/>
        <v>48070.389824872123</v>
      </c>
      <c r="Q749" s="60">
        <f t="shared" ca="1" si="223"/>
        <v>0</v>
      </c>
      <c r="T749" s="292">
        <f>PIS!L319</f>
        <v>792599.21</v>
      </c>
      <c r="U749" s="55"/>
      <c r="V749" s="50"/>
      <c r="W749" s="50"/>
      <c r="X749" s="50"/>
      <c r="Y749" s="50"/>
    </row>
    <row r="750" spans="1:25" x14ac:dyDescent="0.2">
      <c r="A750" s="60">
        <v>15</v>
      </c>
      <c r="B750" s="70" t="s">
        <v>137</v>
      </c>
      <c r="C750" s="51" t="s">
        <v>730</v>
      </c>
      <c r="D750" s="66">
        <f ca="1">SUM(F750:I750)+K750</f>
        <v>0</v>
      </c>
      <c r="F750" s="60">
        <f ca="1">INDEX(INDIRECT($C750),1,F$12+1)*$T750</f>
        <v>0</v>
      </c>
      <c r="H750" s="60">
        <f ca="1">INDEX(INDIRECT($C750),1,H$12+1)*$T750</f>
        <v>0</v>
      </c>
      <c r="I750" s="60">
        <f ca="1">(L750+M750+N750)</f>
        <v>0</v>
      </c>
      <c r="L750" s="60">
        <f ca="1">INDEX(INDIRECT($C750),1,L$12+1)*$T750</f>
        <v>0</v>
      </c>
      <c r="M750" s="60"/>
      <c r="N750" s="60">
        <f ca="1">SUM(O750:Q750)</f>
        <v>0</v>
      </c>
      <c r="O750" s="60">
        <f t="shared" ca="1" si="223"/>
        <v>0</v>
      </c>
      <c r="P750" s="60">
        <f t="shared" ca="1" si="223"/>
        <v>0</v>
      </c>
      <c r="Q750" s="60">
        <f t="shared" ca="1" si="223"/>
        <v>0</v>
      </c>
      <c r="T750" s="50">
        <v>0</v>
      </c>
      <c r="U750" s="55"/>
      <c r="V750" s="50"/>
      <c r="W750" s="50"/>
      <c r="X750" s="50"/>
      <c r="Y750" s="50"/>
    </row>
    <row r="751" spans="1:25" x14ac:dyDescent="0.2">
      <c r="A751" s="60">
        <v>16</v>
      </c>
      <c r="B751" s="70" t="s">
        <v>868</v>
      </c>
      <c r="D751" s="66">
        <f ca="1">SUM(F751:I751)+K751</f>
        <v>792599.21</v>
      </c>
      <c r="F751" s="60">
        <f ca="1">SUM(F747:F750)</f>
        <v>722726.88057473651</v>
      </c>
      <c r="H751" s="60">
        <f ca="1">SUM(H747:H750)</f>
        <v>0</v>
      </c>
      <c r="I751" s="60">
        <f ca="1">(L751+M751+N751)</f>
        <v>69872.329425263481</v>
      </c>
      <c r="L751" s="60">
        <f ca="1">SUM(L747:L750)</f>
        <v>0</v>
      </c>
      <c r="M751" s="60"/>
      <c r="N751" s="60">
        <f ca="1">SUM(O751:Q751)</f>
        <v>69872.329425263481</v>
      </c>
      <c r="O751" s="60">
        <f ca="1">SUM(O747:O750)</f>
        <v>21801.939600391364</v>
      </c>
      <c r="P751" s="60">
        <f ca="1">SUM(P747:P750)</f>
        <v>48070.389824872123</v>
      </c>
      <c r="Q751" s="60">
        <f ca="1">SUM(Q747:Q750)</f>
        <v>0</v>
      </c>
      <c r="T751" s="85">
        <f>SUM(T747:T750)</f>
        <v>792599.21</v>
      </c>
      <c r="U751" s="78" t="str">
        <f ca="1">IF(D751=SUM($T747:$T750),"ok","err")</f>
        <v>ok</v>
      </c>
      <c r="V751" s="78" t="str">
        <f>IF(T751=SUM($T747:$T750),"ok","err")</f>
        <v>ok</v>
      </c>
      <c r="W751" s="81" t="s">
        <v>58</v>
      </c>
    </row>
    <row r="752" spans="1:25" x14ac:dyDescent="0.2">
      <c r="T752" s="79"/>
      <c r="U752" s="50"/>
      <c r="V752" s="50"/>
      <c r="W752" s="50"/>
      <c r="X752" s="50"/>
      <c r="Y752" s="50"/>
    </row>
    <row r="753" spans="1:25" x14ac:dyDescent="0.2">
      <c r="A753" s="60">
        <v>17</v>
      </c>
      <c r="B753" s="48" t="s">
        <v>1074</v>
      </c>
      <c r="C753" s="58"/>
      <c r="D753" s="66">
        <f ca="1">SUM(F753:I753)+K753</f>
        <v>6492570022.5200014</v>
      </c>
      <c r="F753" s="60">
        <f ca="1">F596+F637+F676+F729+F744+F751</f>
        <v>5653048566.0583582</v>
      </c>
      <c r="H753" s="60">
        <f ca="1">H596+H637+H676+H729+H744+H751</f>
        <v>385619848.42484289</v>
      </c>
      <c r="I753" s="60">
        <f ca="1">(L753+M753+N753)</f>
        <v>453901608.03680044</v>
      </c>
      <c r="L753" s="60">
        <f ca="1">L596+L637+L676+L729+L744+L751</f>
        <v>204724.27671333775</v>
      </c>
      <c r="M753" s="60"/>
      <c r="N753" s="60">
        <f ca="1">SUM(O753:Q753)</f>
        <v>453696883.76008713</v>
      </c>
      <c r="O753" s="60">
        <f ca="1">O596+O637+O676+O729+O744+O751</f>
        <v>144053837.02218154</v>
      </c>
      <c r="P753" s="60">
        <f ca="1">P596+P637+P676+P729+P744+P751</f>
        <v>309643046.73790562</v>
      </c>
      <c r="Q753" s="60">
        <f ca="1">Q596+Q637+Q676+Q729+Q744+Q751</f>
        <v>8.8488281144771059E-12</v>
      </c>
      <c r="T753" s="58"/>
      <c r="U753" s="78" t="str">
        <f ca="1">IF(D753=SUM(T593:T595,T609,T622,T635,T643:T653,T657:T674,T682:T688,T692:T706,T710:T743,T751),"ok","err")</f>
        <v>ok</v>
      </c>
      <c r="V753" s="50"/>
      <c r="W753" s="50"/>
    </row>
    <row r="754" spans="1:25" x14ac:dyDescent="0.2">
      <c r="C754" s="58"/>
      <c r="T754" s="58"/>
      <c r="U754" s="50"/>
      <c r="V754" s="50"/>
      <c r="W754" s="50"/>
    </row>
    <row r="755" spans="1:25" x14ac:dyDescent="0.2">
      <c r="B755" s="64" t="s">
        <v>80</v>
      </c>
      <c r="T755" s="58"/>
      <c r="V755" s="50"/>
      <c r="W755" s="50"/>
    </row>
    <row r="757" spans="1:25" x14ac:dyDescent="0.2">
      <c r="B757" s="48" t="s">
        <v>99</v>
      </c>
      <c r="C757" s="58"/>
    </row>
    <row r="758" spans="1:25" x14ac:dyDescent="0.2">
      <c r="C758" s="58"/>
    </row>
    <row r="759" spans="1:25" x14ac:dyDescent="0.2">
      <c r="B759" s="48" t="s">
        <v>110</v>
      </c>
    </row>
    <row r="760" spans="1:25" x14ac:dyDescent="0.2">
      <c r="B760" s="48" t="s">
        <v>111</v>
      </c>
    </row>
    <row r="761" spans="1:25" x14ac:dyDescent="0.2">
      <c r="A761" s="60">
        <v>1</v>
      </c>
      <c r="B761" s="48" t="s">
        <v>112</v>
      </c>
      <c r="C761" s="51" t="s">
        <v>732</v>
      </c>
      <c r="D761" s="66">
        <f ca="1">SUM(F761:I761)+K761</f>
        <v>1247297917.4266667</v>
      </c>
      <c r="F761" s="60">
        <f ca="1">INDEX(INDIRECT($C761),1,F$12+1)*$T761</f>
        <v>1079524090.5138526</v>
      </c>
      <c r="H761" s="60">
        <f ca="1">INDEX(INDIRECT($C761),1,H$12+1)*$T761</f>
        <v>63397245.301753558</v>
      </c>
      <c r="I761" s="60">
        <f ca="1">(L761+M761+N761)</f>
        <v>104376581.61106068</v>
      </c>
      <c r="L761" s="60">
        <f ca="1">INDEX(INDIRECT($C761),1,L$12+1)*$T761</f>
        <v>9544.9029361267021</v>
      </c>
      <c r="M761" s="60"/>
      <c r="N761" s="60">
        <f ca="1">SUM(O761:Q761)</f>
        <v>104367036.70812455</v>
      </c>
      <c r="O761" s="60">
        <f t="shared" ref="O761:Q763" ca="1" si="224">INDEX(INDIRECT($C761),1,O$12+1)*$T761</f>
        <v>32565163.481720846</v>
      </c>
      <c r="P761" s="60">
        <f t="shared" ca="1" si="224"/>
        <v>71801873.226403698</v>
      </c>
      <c r="Q761" s="60">
        <f t="shared" ca="1" si="224"/>
        <v>0</v>
      </c>
      <c r="T761" s="292">
        <f>'RWIP Allocation'!C32</f>
        <v>1247297917.4266667</v>
      </c>
      <c r="U761" s="50"/>
      <c r="V761" s="55" t="s">
        <v>98</v>
      </c>
      <c r="W761" s="50"/>
      <c r="X761" s="50"/>
      <c r="Y761" s="50"/>
    </row>
    <row r="762" spans="1:25" x14ac:dyDescent="0.2">
      <c r="A762" s="60">
        <v>2</v>
      </c>
      <c r="B762" s="48" t="s">
        <v>113</v>
      </c>
      <c r="C762" s="51" t="s">
        <v>616</v>
      </c>
      <c r="D762" s="66">
        <f ca="1">SUM(F762:I762)+K762</f>
        <v>15482538.333333332</v>
      </c>
      <c r="F762" s="60">
        <f ca="1">INDEX(INDIRECT($C762),1,F$12+1)*$T762</f>
        <v>0</v>
      </c>
      <c r="H762" s="60">
        <f ca="1">INDEX(INDIRECT($C762),1,H$12+1)*$T762</f>
        <v>5850770.3120878944</v>
      </c>
      <c r="I762" s="60">
        <f ca="1">(L762+M762+N762)</f>
        <v>9631768.0212454386</v>
      </c>
      <c r="L762" s="60">
        <f ca="1">INDEX(INDIRECT($C762),1,L$12+1)*$T762</f>
        <v>0</v>
      </c>
      <c r="M762" s="60"/>
      <c r="N762" s="60">
        <f ca="1">SUM(O762:Q762)</f>
        <v>9631768.0212454386</v>
      </c>
      <c r="O762" s="60">
        <f t="shared" ca="1" si="224"/>
        <v>3005356.0024613743</v>
      </c>
      <c r="P762" s="60">
        <f t="shared" ca="1" si="224"/>
        <v>6626412.0187840648</v>
      </c>
      <c r="Q762" s="60">
        <f t="shared" ca="1" si="224"/>
        <v>0</v>
      </c>
      <c r="T762" s="292">
        <f>'RWIP Allocation'!B30*-1</f>
        <v>15482538.333333334</v>
      </c>
      <c r="U762" s="50"/>
      <c r="V762" s="50"/>
      <c r="W762" s="50"/>
      <c r="X762" s="50"/>
      <c r="Y762" s="50"/>
    </row>
    <row r="763" spans="1:25" x14ac:dyDescent="0.2">
      <c r="A763" s="60">
        <v>3</v>
      </c>
      <c r="B763" s="48" t="s">
        <v>114</v>
      </c>
      <c r="C763" s="51" t="s">
        <v>622</v>
      </c>
      <c r="D763" s="66">
        <f ca="1">SUM(F763:I763)+K763</f>
        <v>2872593</v>
      </c>
      <c r="F763" s="60">
        <f ca="1">INDEX(INDIRECT($C763),1,F$12+1)*$T763</f>
        <v>0</v>
      </c>
      <c r="H763" s="60">
        <f ca="1">INDEX(INDIRECT($C763),1,H$12+1)*$T763</f>
        <v>0</v>
      </c>
      <c r="I763" s="60">
        <f ca="1">(L763+M763+N763)</f>
        <v>2872593</v>
      </c>
      <c r="L763" s="60">
        <f ca="1">INDEX(INDIRECT($C763),1,L$12+1)*$T763</f>
        <v>0</v>
      </c>
      <c r="M763" s="60"/>
      <c r="N763" s="60">
        <f ca="1">SUM(O763:Q763)</f>
        <v>2872593</v>
      </c>
      <c r="O763" s="60">
        <f t="shared" ca="1" si="224"/>
        <v>896321.90020936693</v>
      </c>
      <c r="P763" s="60">
        <f t="shared" ca="1" si="224"/>
        <v>1976271.099790633</v>
      </c>
      <c r="Q763" s="60">
        <f t="shared" ca="1" si="224"/>
        <v>0</v>
      </c>
      <c r="T763" s="292">
        <f>'RWIP Allocation'!B31*-1</f>
        <v>2872593</v>
      </c>
      <c r="U763" s="50"/>
      <c r="V763" s="50"/>
      <c r="W763" s="50"/>
    </row>
    <row r="764" spans="1:25" x14ac:dyDescent="0.2">
      <c r="A764" s="60">
        <v>4</v>
      </c>
      <c r="B764" s="48" t="s">
        <v>115</v>
      </c>
      <c r="D764" s="66">
        <f ca="1">SUM(F764:I764)+K764</f>
        <v>1265653048.7600002</v>
      </c>
      <c r="F764" s="60">
        <f ca="1">SUM(F761:F763)</f>
        <v>1079524090.5138526</v>
      </c>
      <c r="H764" s="60">
        <f ca="1">SUM(H761:H763)</f>
        <v>69248015.613841459</v>
      </c>
      <c r="I764" s="60">
        <f ca="1">(L764+M764+N764)</f>
        <v>116880942.63230611</v>
      </c>
      <c r="L764" s="60">
        <f ca="1">SUM(L761:L763)</f>
        <v>9544.9029361267021</v>
      </c>
      <c r="M764" s="60"/>
      <c r="N764" s="60">
        <f ca="1">SUM(O764:Q764)</f>
        <v>116871397.72936998</v>
      </c>
      <c r="O764" s="60">
        <f ca="1">SUM(O761:O763)</f>
        <v>36466841.384391591</v>
      </c>
      <c r="P764" s="60">
        <f ca="1">SUM(P761:P763)</f>
        <v>80404556.344978392</v>
      </c>
      <c r="Q764" s="60">
        <f ca="1">SUM(Q761:Q763)</f>
        <v>0</v>
      </c>
      <c r="T764" s="83"/>
      <c r="U764" s="85" t="str">
        <f ca="1">IF(D764=SUM(T761:T763),"ok","err")</f>
        <v>ok</v>
      </c>
      <c r="V764" s="50"/>
      <c r="W764" s="50"/>
    </row>
    <row r="765" spans="1:25" x14ac:dyDescent="0.2">
      <c r="A765" s="60"/>
      <c r="B765" s="48"/>
      <c r="D765" s="66"/>
      <c r="F765" s="60"/>
      <c r="H765" s="60"/>
      <c r="I765" s="60"/>
      <c r="L765" s="60"/>
      <c r="M765" s="60"/>
      <c r="N765" s="60"/>
      <c r="O765" s="60"/>
      <c r="P765" s="60"/>
      <c r="Q765" s="60"/>
      <c r="T765" s="83"/>
      <c r="U765" s="50"/>
      <c r="V765" s="50"/>
      <c r="W765" s="50"/>
    </row>
    <row r="766" spans="1:25" x14ac:dyDescent="0.2">
      <c r="B766" s="48" t="s">
        <v>116</v>
      </c>
      <c r="T766" s="87"/>
      <c r="V766" s="50"/>
      <c r="W766" s="50"/>
    </row>
    <row r="767" spans="1:25" x14ac:dyDescent="0.2">
      <c r="A767" s="60">
        <v>5</v>
      </c>
      <c r="B767" s="48" t="s">
        <v>112</v>
      </c>
      <c r="C767" s="51" t="s">
        <v>1027</v>
      </c>
      <c r="D767" s="66">
        <f ca="1">SUM(F767:I767)+K767</f>
        <v>7807864.1799999988</v>
      </c>
      <c r="F767" s="60">
        <f ca="1">INDEX(INDIRECT($C767),1,F$12+1)*$T767</f>
        <v>6757629.7210211167</v>
      </c>
      <c r="H767" s="60">
        <f ca="1">INDEX(INDIRECT($C767),1,H$12+1)*$T767</f>
        <v>396855.53369917948</v>
      </c>
      <c r="I767" s="60">
        <f ca="1">(L767+M767+N767)</f>
        <v>653378.92527970287</v>
      </c>
      <c r="L767" s="60">
        <f ca="1">INDEX(INDIRECT($C767),1,L$12+1)*$T767</f>
        <v>59.74940284540493</v>
      </c>
      <c r="M767" s="60"/>
      <c r="N767" s="60">
        <f ca="1">SUM(O767:Q767)</f>
        <v>653319.17587685748</v>
      </c>
      <c r="O767" s="60">
        <f t="shared" ref="O767:Q769" ca="1" si="225">INDEX(INDIRECT($C767),1,O$12+1)*$T767</f>
        <v>203852.15906505467</v>
      </c>
      <c r="P767" s="60">
        <f t="shared" ca="1" si="225"/>
        <v>449467.01681180287</v>
      </c>
      <c r="Q767" s="60">
        <f t="shared" ca="1" si="225"/>
        <v>0</v>
      </c>
      <c r="T767" s="292">
        <f>'RWIP Allocation'!C39</f>
        <v>7807864.1799999997</v>
      </c>
      <c r="U767" s="50"/>
      <c r="V767" s="55" t="s">
        <v>98</v>
      </c>
      <c r="W767" s="50"/>
      <c r="X767" s="50"/>
      <c r="Y767" s="50"/>
    </row>
    <row r="768" spans="1:25" x14ac:dyDescent="0.2">
      <c r="A768" s="60">
        <v>6</v>
      </c>
      <c r="B768" s="48" t="s">
        <v>113</v>
      </c>
      <c r="C768" s="51" t="s">
        <v>616</v>
      </c>
      <c r="D768" s="66">
        <f ca="1">SUM(F768:I768)+K768</f>
        <v>3252.5</v>
      </c>
      <c r="F768" s="60">
        <f ca="1">INDEX(INDIRECT($C768),1,F$12+1)*$T768</f>
        <v>0</v>
      </c>
      <c r="H768" s="60">
        <f ca="1">INDEX(INDIRECT($C768),1,H$12+1)*$T768</f>
        <v>1229.1027498440474</v>
      </c>
      <c r="I768" s="60">
        <f ca="1">(L768+M768+N768)</f>
        <v>2023.3972501559524</v>
      </c>
      <c r="L768" s="60">
        <f ca="1">INDEX(INDIRECT($C768),1,L$12+1)*$T768</f>
        <v>0</v>
      </c>
      <c r="M768" s="60"/>
      <c r="N768" s="60">
        <f ca="1">SUM(O768:Q768)</f>
        <v>2023.3972501559524</v>
      </c>
      <c r="O768" s="60">
        <f t="shared" ca="1" si="225"/>
        <v>631.35128023294328</v>
      </c>
      <c r="P768" s="60">
        <f t="shared" ca="1" si="225"/>
        <v>1392.0459699230091</v>
      </c>
      <c r="Q768" s="60">
        <f t="shared" ca="1" si="225"/>
        <v>0</v>
      </c>
      <c r="T768" s="292">
        <f>'RWIP Allocation'!B37*-1</f>
        <v>3252.5</v>
      </c>
      <c r="U768" s="50"/>
      <c r="V768" s="50"/>
      <c r="W768" s="50"/>
      <c r="X768" s="50"/>
      <c r="Y768" s="50"/>
    </row>
    <row r="769" spans="1:25" x14ac:dyDescent="0.2">
      <c r="A769" s="60">
        <v>7</v>
      </c>
      <c r="B769" s="48" t="s">
        <v>114</v>
      </c>
      <c r="C769" s="51" t="s">
        <v>622</v>
      </c>
      <c r="D769" s="66">
        <f ca="1">SUM(F769:I769)+K769</f>
        <v>947.5</v>
      </c>
      <c r="F769" s="60">
        <f ca="1">INDEX(INDIRECT($C769),1,F$12+1)*$T769</f>
        <v>0</v>
      </c>
      <c r="H769" s="60">
        <f ca="1">INDEX(INDIRECT($C769),1,H$12+1)*$T769</f>
        <v>0</v>
      </c>
      <c r="I769" s="60">
        <f ca="1">(L769+M769+N769)</f>
        <v>947.5</v>
      </c>
      <c r="L769" s="60">
        <f ca="1">INDEX(INDIRECT($C769),1,L$12+1)*$T769</f>
        <v>0</v>
      </c>
      <c r="M769" s="60"/>
      <c r="N769" s="60">
        <f ca="1">SUM(O769:Q769)</f>
        <v>947.5</v>
      </c>
      <c r="O769" s="60">
        <f t="shared" ca="1" si="225"/>
        <v>295.64404022720072</v>
      </c>
      <c r="P769" s="60">
        <f t="shared" ca="1" si="225"/>
        <v>651.85595977279922</v>
      </c>
      <c r="Q769" s="60">
        <f t="shared" ca="1" si="225"/>
        <v>0</v>
      </c>
      <c r="T769" s="292">
        <f>'RWIP Allocation'!B38*-1</f>
        <v>947.5</v>
      </c>
      <c r="U769" s="50"/>
      <c r="V769" s="50"/>
      <c r="W769" s="50"/>
    </row>
    <row r="770" spans="1:25" x14ac:dyDescent="0.2">
      <c r="A770" s="60">
        <v>8</v>
      </c>
      <c r="B770" s="48" t="s">
        <v>117</v>
      </c>
      <c r="D770" s="66">
        <f ca="1">SUM(F770:I770)+K770</f>
        <v>7812064.1799999988</v>
      </c>
      <c r="F770" s="60">
        <f ca="1">SUM(F767:F769)</f>
        <v>6757629.7210211167</v>
      </c>
      <c r="H770" s="60">
        <f ca="1">SUM(H767:H769)</f>
        <v>398084.6364490235</v>
      </c>
      <c r="I770" s="60">
        <f ca="1">(L770+M770+N770)</f>
        <v>656349.82252985891</v>
      </c>
      <c r="L770" s="60">
        <f ca="1">SUM(L767:L769)</f>
        <v>59.74940284540493</v>
      </c>
      <c r="M770" s="60"/>
      <c r="N770" s="60">
        <f ca="1">SUM(O770:Q770)</f>
        <v>656290.07312701351</v>
      </c>
      <c r="O770" s="60">
        <f ca="1">SUM(O767:O769)</f>
        <v>204779.15438551482</v>
      </c>
      <c r="P770" s="60">
        <f ca="1">SUM(P767:P769)</f>
        <v>451510.91874149867</v>
      </c>
      <c r="Q770" s="60">
        <f ca="1">SUM(Q767:Q769)</f>
        <v>0</v>
      </c>
      <c r="T770" s="83"/>
      <c r="U770" s="85" t="str">
        <f ca="1">IF(D770=SUM(T767:T769),"ok","err")</f>
        <v>ok</v>
      </c>
      <c r="V770" s="50"/>
      <c r="W770" s="50"/>
    </row>
    <row r="771" spans="1:25" x14ac:dyDescent="0.2">
      <c r="A771" s="60"/>
      <c r="B771" s="48"/>
      <c r="D771" s="66"/>
      <c r="F771" s="60"/>
      <c r="H771" s="60"/>
      <c r="I771" s="60"/>
      <c r="L771" s="60"/>
      <c r="M771" s="60"/>
      <c r="N771" s="60"/>
      <c r="O771" s="60"/>
      <c r="P771" s="60"/>
      <c r="Q771" s="60"/>
      <c r="T771" s="83"/>
      <c r="U771" s="50"/>
      <c r="V771" s="50"/>
      <c r="W771" s="50"/>
    </row>
    <row r="772" spans="1:25" x14ac:dyDescent="0.2">
      <c r="B772" s="48" t="s">
        <v>118</v>
      </c>
      <c r="T772" s="87"/>
      <c r="V772" s="50"/>
      <c r="W772" s="50"/>
    </row>
    <row r="773" spans="1:25" x14ac:dyDescent="0.2">
      <c r="A773" s="60">
        <v>9</v>
      </c>
      <c r="B773" s="48" t="s">
        <v>112</v>
      </c>
      <c r="C773" s="51" t="s">
        <v>1029</v>
      </c>
      <c r="D773" s="66">
        <f ca="1">SUM(F773:I773)+K773</f>
        <v>178845192.44000003</v>
      </c>
      <c r="F773" s="60">
        <f ca="1">INDEX(INDIRECT($C773),1,F$12+1)*$T773</f>
        <v>154788756.57059464</v>
      </c>
      <c r="H773" s="60">
        <f ca="1">INDEX(INDIRECT($C773),1,H$12+1)*$T773</f>
        <v>9090284.1877186261</v>
      </c>
      <c r="I773" s="60">
        <f ca="1">(L773+M773+N773)</f>
        <v>14966151.68168677</v>
      </c>
      <c r="L773" s="60">
        <f ca="1">INDEX(INDIRECT($C773),1,L$12+1)*$T773</f>
        <v>1368.6064721045811</v>
      </c>
      <c r="M773" s="60"/>
      <c r="N773" s="60">
        <f ca="1">SUM(O773:Q773)</f>
        <v>14964783.075214665</v>
      </c>
      <c r="O773" s="60">
        <f t="shared" ref="O773:Q775" ca="1" si="226">INDEX(INDIRECT($C773),1,O$12+1)*$T773</f>
        <v>4669392.01000538</v>
      </c>
      <c r="P773" s="60">
        <f t="shared" ca="1" si="226"/>
        <v>10295391.065209286</v>
      </c>
      <c r="Q773" s="60">
        <f t="shared" ca="1" si="226"/>
        <v>0</v>
      </c>
      <c r="T773" s="292">
        <f>'RWIP Allocation'!C46</f>
        <v>178845192.44000003</v>
      </c>
      <c r="U773" s="50"/>
      <c r="V773" s="55" t="s">
        <v>98</v>
      </c>
      <c r="W773" s="50"/>
      <c r="X773" s="50"/>
      <c r="Y773" s="50"/>
    </row>
    <row r="774" spans="1:25" x14ac:dyDescent="0.2">
      <c r="A774" s="60">
        <v>10</v>
      </c>
      <c r="B774" s="48" t="s">
        <v>113</v>
      </c>
      <c r="C774" s="51" t="s">
        <v>616</v>
      </c>
      <c r="D774" s="66">
        <f ca="1">SUM(F774:I774)+K774</f>
        <v>1236.75</v>
      </c>
      <c r="F774" s="60">
        <f ca="1">INDEX(INDIRECT($C774),1,F$12+1)*$T774</f>
        <v>0</v>
      </c>
      <c r="H774" s="60">
        <f ca="1">INDEX(INDIRECT($C774),1,H$12+1)*$T774</f>
        <v>467.36136075930074</v>
      </c>
      <c r="I774" s="60">
        <f ca="1">(L774+M774+N774)</f>
        <v>769.38863924069915</v>
      </c>
      <c r="L774" s="60">
        <f ca="1">INDEX(INDIRECT($C774),1,L$12+1)*$T774</f>
        <v>0</v>
      </c>
      <c r="M774" s="60"/>
      <c r="N774" s="60">
        <f ca="1">SUM(O774:Q774)</f>
        <v>769.38863924069915</v>
      </c>
      <c r="O774" s="60">
        <f t="shared" ca="1" si="226"/>
        <v>240.06877658050502</v>
      </c>
      <c r="P774" s="60">
        <f t="shared" ca="1" si="226"/>
        <v>529.31986266019419</v>
      </c>
      <c r="Q774" s="60">
        <f t="shared" ca="1" si="226"/>
        <v>0</v>
      </c>
      <c r="T774" s="292">
        <f>'RWIP Allocation'!B44*-1</f>
        <v>1236.75</v>
      </c>
      <c r="U774" s="50"/>
      <c r="V774" s="50"/>
      <c r="W774" s="50"/>
      <c r="X774" s="50"/>
      <c r="Y774" s="50"/>
    </row>
    <row r="775" spans="1:25" x14ac:dyDescent="0.2">
      <c r="A775" s="60">
        <v>11</v>
      </c>
      <c r="B775" s="48" t="s">
        <v>114</v>
      </c>
      <c r="C775" s="51" t="s">
        <v>622</v>
      </c>
      <c r="D775" s="66">
        <f ca="1">SUM(F775:I775)+K775</f>
        <v>889035.5</v>
      </c>
      <c r="F775" s="60">
        <f ca="1">INDEX(INDIRECT($C775),1,F$12+1)*$T775</f>
        <v>0</v>
      </c>
      <c r="H775" s="60">
        <f ca="1">INDEX(INDIRECT($C775),1,H$12+1)*$T775</f>
        <v>0</v>
      </c>
      <c r="I775" s="60">
        <f ca="1">(L775+M775+N775)</f>
        <v>889035.5</v>
      </c>
      <c r="L775" s="60">
        <f ca="1">INDEX(INDIRECT($C775),1,L$12+1)*$T775</f>
        <v>0</v>
      </c>
      <c r="M775" s="60"/>
      <c r="N775" s="60">
        <f ca="1">SUM(O775:Q775)</f>
        <v>889035.5</v>
      </c>
      <c r="O775" s="60">
        <f t="shared" ca="1" si="226"/>
        <v>277401.63285003643</v>
      </c>
      <c r="P775" s="60">
        <f t="shared" ca="1" si="226"/>
        <v>611633.86714996351</v>
      </c>
      <c r="Q775" s="60">
        <f t="shared" ca="1" si="226"/>
        <v>0</v>
      </c>
      <c r="T775" s="292">
        <f>'RWIP Allocation'!B45*-1</f>
        <v>889035.5</v>
      </c>
      <c r="U775" s="50"/>
      <c r="V775" s="50"/>
      <c r="W775" s="50"/>
    </row>
    <row r="776" spans="1:25" x14ac:dyDescent="0.2">
      <c r="A776" s="60">
        <v>12</v>
      </c>
      <c r="B776" s="48" t="s">
        <v>119</v>
      </c>
      <c r="D776" s="66">
        <f ca="1">SUM(F776:I776)+K776</f>
        <v>179735464.69000003</v>
      </c>
      <c r="F776" s="60">
        <f ca="1">SUM(F773:F775)</f>
        <v>154788756.57059464</v>
      </c>
      <c r="H776" s="60">
        <f ca="1">SUM(H773:H775)</f>
        <v>9090751.5490793847</v>
      </c>
      <c r="I776" s="60">
        <f ca="1">(L776+M776+N776)</f>
        <v>15855956.570326012</v>
      </c>
      <c r="L776" s="60">
        <f ca="1">SUM(L773:L775)</f>
        <v>1368.6064721045811</v>
      </c>
      <c r="M776" s="60"/>
      <c r="N776" s="60">
        <f ca="1">SUM(O776:Q776)</f>
        <v>15854587.963853907</v>
      </c>
      <c r="O776" s="60">
        <f ca="1">SUM(O773:O775)</f>
        <v>4947033.7116319966</v>
      </c>
      <c r="P776" s="60">
        <f ca="1">SUM(P773:P775)</f>
        <v>10907554.25222191</v>
      </c>
      <c r="Q776" s="60">
        <f ca="1">SUM(Q773:Q775)</f>
        <v>0</v>
      </c>
      <c r="T776" s="83"/>
      <c r="U776" s="85" t="str">
        <f ca="1">IF(D776=SUM(T773:T775),"ok","err")</f>
        <v>ok</v>
      </c>
      <c r="V776" s="50"/>
      <c r="W776" s="50"/>
    </row>
    <row r="777" spans="1:25" x14ac:dyDescent="0.2">
      <c r="A777" s="60"/>
      <c r="B777" s="48"/>
      <c r="D777" s="66"/>
      <c r="F777" s="60"/>
      <c r="H777" s="60"/>
      <c r="I777" s="60"/>
      <c r="L777" s="60"/>
      <c r="M777" s="60"/>
      <c r="N777" s="60"/>
      <c r="O777" s="60"/>
      <c r="P777" s="60"/>
      <c r="Q777" s="60"/>
      <c r="T777" s="83"/>
      <c r="U777" s="50"/>
      <c r="V777" s="50"/>
      <c r="W777" s="50"/>
    </row>
    <row r="778" spans="1:25" x14ac:dyDescent="0.2">
      <c r="A778" s="60">
        <v>13</v>
      </c>
      <c r="B778" s="48" t="s">
        <v>120</v>
      </c>
      <c r="D778" s="66">
        <f ca="1">SUM(F778:I778)+K778</f>
        <v>1453200577.6300001</v>
      </c>
      <c r="F778" s="60">
        <f ca="1">F764+F770+F776</f>
        <v>1241070476.8054683</v>
      </c>
      <c r="H778" s="60">
        <f ca="1">H764+H770+H776</f>
        <v>78736851.799369872</v>
      </c>
      <c r="I778" s="60">
        <f ca="1">(L778+M778+N778)</f>
        <v>133393249.02516197</v>
      </c>
      <c r="L778" s="60">
        <f ca="1">L764+L770+L776</f>
        <v>10973.258811076688</v>
      </c>
      <c r="M778" s="60"/>
      <c r="N778" s="60">
        <f ca="1">SUM(O778:Q778)</f>
        <v>133382275.7663509</v>
      </c>
      <c r="O778" s="60">
        <f ca="1">O764+O770+O776</f>
        <v>41618654.250409104</v>
      </c>
      <c r="P778" s="60">
        <f ca="1">P764+P770+P776</f>
        <v>91763621.515941799</v>
      </c>
      <c r="Q778" s="60">
        <f ca="1">Q764+Q770+Q776</f>
        <v>0</v>
      </c>
      <c r="T778" s="83"/>
      <c r="V778" s="50"/>
      <c r="W778" s="50"/>
    </row>
    <row r="779" spans="1:25" x14ac:dyDescent="0.2">
      <c r="C779" s="58"/>
      <c r="T779" s="87"/>
      <c r="V779" s="50"/>
      <c r="W779" s="50"/>
    </row>
    <row r="780" spans="1:25" x14ac:dyDescent="0.2">
      <c r="B780" s="48" t="s">
        <v>121</v>
      </c>
      <c r="T780" s="87"/>
      <c r="V780" s="50"/>
      <c r="W780" s="50"/>
    </row>
    <row r="781" spans="1:25" x14ac:dyDescent="0.2">
      <c r="A781" s="60">
        <v>14</v>
      </c>
      <c r="B781" s="48" t="s">
        <v>82</v>
      </c>
      <c r="C781" s="51" t="s">
        <v>1031</v>
      </c>
      <c r="D781" s="66">
        <f ca="1">SUM(F781:I781)+K781</f>
        <v>296820640.15297103</v>
      </c>
      <c r="F781" s="60">
        <f ca="1">INDEX(INDIRECT($C781),1,F$12+1)*$T781</f>
        <v>254981612.51285821</v>
      </c>
      <c r="H781" s="60">
        <f ca="1">INDEX(INDIRECT($C781),1,H$12+1)*$T781</f>
        <v>15550572.166463915</v>
      </c>
      <c r="I781" s="60">
        <f ca="1">(L781+M781+N781)</f>
        <v>26288455.473648921</v>
      </c>
      <c r="L781" s="60">
        <f ca="1">INDEX(INDIRECT($C781),1,L$12+1)*$T781</f>
        <v>2254.4885874421084</v>
      </c>
      <c r="M781" s="60"/>
      <c r="N781" s="60">
        <f ca="1">SUM(O781:Q781)</f>
        <v>26286200.985061478</v>
      </c>
      <c r="O781" s="60">
        <f t="shared" ref="O781:Q784" ca="1" si="227">INDEX(INDIRECT($C781),1,O$12+1)*$T781</f>
        <v>8201961.6479660133</v>
      </c>
      <c r="P781" s="60">
        <f t="shared" ca="1" si="227"/>
        <v>18084239.337095466</v>
      </c>
      <c r="Q781" s="60">
        <f t="shared" ca="1" si="227"/>
        <v>0</v>
      </c>
      <c r="T781" s="292">
        <f>'RWIP Allocation'!C55</f>
        <v>296820640.15297103</v>
      </c>
      <c r="U781" s="50"/>
      <c r="V781" s="55" t="s">
        <v>98</v>
      </c>
      <c r="W781" s="50"/>
      <c r="X781" s="50"/>
      <c r="Y781" s="50"/>
    </row>
    <row r="782" spans="1:25" x14ac:dyDescent="0.2">
      <c r="A782" s="60">
        <v>15</v>
      </c>
      <c r="B782" s="48" t="s">
        <v>84</v>
      </c>
      <c r="C782" s="51" t="s">
        <v>1072</v>
      </c>
      <c r="D782" s="66">
        <f ca="1">SUM(F782:I782)+K782</f>
        <v>27212125.097029004</v>
      </c>
      <c r="F782" s="60">
        <f ca="1">INDEX(INDIRECT($C782),1,F$12+1)*$T782</f>
        <v>3872986.8546178187</v>
      </c>
      <c r="H782" s="60">
        <f ca="1">INDEX(INDIRECT($C782),1,H$12+1)*$T782</f>
        <v>22962328.923031393</v>
      </c>
      <c r="I782" s="60">
        <f ca="1">(L782+M782+N782)</f>
        <v>376809.31937978999</v>
      </c>
      <c r="L782" s="60">
        <f ca="1">INDEX(INDIRECT($C782),1,L$12+1)*$T782</f>
        <v>34.244056177222824</v>
      </c>
      <c r="M782" s="60"/>
      <c r="N782" s="60">
        <f ca="1">SUM(O782:Q782)</f>
        <v>376775.07532361278</v>
      </c>
      <c r="O782" s="60">
        <f t="shared" ca="1" si="227"/>
        <v>117563.38314045461</v>
      </c>
      <c r="P782" s="60">
        <f t="shared" ca="1" si="227"/>
        <v>259211.69218315816</v>
      </c>
      <c r="Q782" s="60">
        <f t="shared" ca="1" si="227"/>
        <v>0</v>
      </c>
      <c r="T782" s="292">
        <f>'RWIP Allocation'!C62</f>
        <v>27212125.097029001</v>
      </c>
      <c r="U782" s="50"/>
      <c r="V782" s="50"/>
      <c r="W782" s="50"/>
      <c r="X782" s="50"/>
      <c r="Y782" s="50"/>
    </row>
    <row r="783" spans="1:25" x14ac:dyDescent="0.2">
      <c r="A783" s="60">
        <v>16</v>
      </c>
      <c r="B783" s="48" t="s">
        <v>76</v>
      </c>
      <c r="C783" s="51" t="s">
        <v>631</v>
      </c>
      <c r="D783" s="66">
        <f ca="1">SUM(F783:I783)+K783</f>
        <v>2585483.5</v>
      </c>
      <c r="F783" s="60">
        <f ca="1">INDEX(INDIRECT($C783),1,F$12+1)*$T783</f>
        <v>0</v>
      </c>
      <c r="H783" s="60">
        <f ca="1">INDEX(INDIRECT($C783),1,H$12+1)*$T783</f>
        <v>977040.70085362403</v>
      </c>
      <c r="I783" s="60">
        <f ca="1">(L783+M783+N783)</f>
        <v>1608442.7991463759</v>
      </c>
      <c r="L783" s="60">
        <f ca="1">INDEX(INDIRECT($C783),1,L$12+1)*$T783</f>
        <v>0</v>
      </c>
      <c r="M783" s="60"/>
      <c r="N783" s="60">
        <f ca="1">SUM(O783:Q783)</f>
        <v>1608442.7991463759</v>
      </c>
      <c r="O783" s="60">
        <f t="shared" ca="1" si="227"/>
        <v>501874.96318098414</v>
      </c>
      <c r="P783" s="60">
        <f t="shared" ca="1" si="227"/>
        <v>1106567.8359653917</v>
      </c>
      <c r="Q783" s="60">
        <f t="shared" ca="1" si="227"/>
        <v>0</v>
      </c>
      <c r="T783" s="292">
        <f>('RWIP Allocation'!B53+'RWIP Allocation'!B60)*-1</f>
        <v>2585483.5</v>
      </c>
      <c r="U783" s="50"/>
      <c r="V783" s="50"/>
      <c r="W783" s="50"/>
      <c r="X783" s="50"/>
      <c r="Y783" s="50"/>
    </row>
    <row r="784" spans="1:25" x14ac:dyDescent="0.2">
      <c r="A784" s="60">
        <v>17</v>
      </c>
      <c r="B784" s="48" t="s">
        <v>77</v>
      </c>
      <c r="C784" s="51" t="s">
        <v>633</v>
      </c>
      <c r="D784" s="66">
        <f ca="1">SUM(F784:I784)+K784</f>
        <v>166226.5</v>
      </c>
      <c r="F784" s="60">
        <f ca="1">INDEX(INDIRECT($C784),1,F$12+1)*$T784</f>
        <v>0</v>
      </c>
      <c r="H784" s="60">
        <f ca="1">INDEX(INDIRECT($C784),1,H$12+1)*$T784</f>
        <v>0</v>
      </c>
      <c r="I784" s="60">
        <f ca="1">(L784+M784+N784)</f>
        <v>166226.5</v>
      </c>
      <c r="L784" s="60">
        <f ca="1">INDEX(INDIRECT($C784),1,L$12+1)*$T784</f>
        <v>0</v>
      </c>
      <c r="M784" s="60"/>
      <c r="N784" s="60">
        <f ca="1">SUM(O784:Q784)</f>
        <v>166226.5</v>
      </c>
      <c r="O784" s="60">
        <f t="shared" ca="1" si="227"/>
        <v>51866.885543880504</v>
      </c>
      <c r="P784" s="60">
        <f t="shared" ca="1" si="227"/>
        <v>114359.61445611948</v>
      </c>
      <c r="Q784" s="60">
        <f t="shared" ca="1" si="227"/>
        <v>0</v>
      </c>
      <c r="T784" s="292">
        <f>('RWIP Allocation'!B54+'RWIP Allocation'!B61)*-1</f>
        <v>166226.5</v>
      </c>
      <c r="U784" s="50"/>
      <c r="V784" s="50"/>
      <c r="W784" s="50"/>
    </row>
    <row r="785" spans="1:25" x14ac:dyDescent="0.2">
      <c r="A785" s="60">
        <v>18</v>
      </c>
      <c r="B785" s="48" t="s">
        <v>122</v>
      </c>
      <c r="D785" s="66">
        <f ca="1">SUM(F785:I785)+K785</f>
        <v>326784475.25</v>
      </c>
      <c r="F785" s="60">
        <f ca="1">SUM(F781:F784)</f>
        <v>258854599.36747602</v>
      </c>
      <c r="H785" s="60">
        <f ca="1">SUM(H781:H784)</f>
        <v>39489941.790348932</v>
      </c>
      <c r="I785" s="60">
        <f ca="1">(L785+M785+N785)</f>
        <v>28439934.092175089</v>
      </c>
      <c r="L785" s="60">
        <f ca="1">SUM(L781:L784)</f>
        <v>2288.7326436193312</v>
      </c>
      <c r="M785" s="60"/>
      <c r="N785" s="60">
        <f ca="1">SUM(O785:Q785)</f>
        <v>28437645.35953147</v>
      </c>
      <c r="O785" s="60">
        <f ca="1">SUM(O781:O784)</f>
        <v>8873266.8798313327</v>
      </c>
      <c r="P785" s="60">
        <f ca="1">SUM(P781:P784)</f>
        <v>19564378.479700137</v>
      </c>
      <c r="Q785" s="60">
        <f ca="1">SUM(Q781:Q784)</f>
        <v>0</v>
      </c>
      <c r="T785" s="83"/>
      <c r="U785" s="85" t="str">
        <f ca="1">IF(D785=SUM(T781:T784),"ok","err")</f>
        <v>ok</v>
      </c>
      <c r="V785" s="50"/>
      <c r="W785" s="50"/>
    </row>
    <row r="786" spans="1:25" x14ac:dyDescent="0.2">
      <c r="C786" s="58"/>
      <c r="T786" s="87"/>
      <c r="V786" s="50"/>
      <c r="W786" s="50"/>
    </row>
    <row r="787" spans="1:25" x14ac:dyDescent="0.2">
      <c r="A787" s="60">
        <v>19</v>
      </c>
      <c r="B787" s="70" t="s">
        <v>60</v>
      </c>
      <c r="C787" s="51" t="s">
        <v>672</v>
      </c>
      <c r="D787" s="66">
        <f ca="1">SUM(F787:I787)+K787</f>
        <v>37401886.039999999</v>
      </c>
      <c r="F787" s="60">
        <f ca="1">INDEX(INDIRECT($C787),1,F$12+1)*$T787</f>
        <v>0</v>
      </c>
      <c r="H787" s="60">
        <f ca="1">INDEX(INDIRECT($C787),1,H$12+1)*$T787</f>
        <v>37260617.079999998</v>
      </c>
      <c r="I787" s="60">
        <f ca="1">(L787+M787+N787)</f>
        <v>141268.96</v>
      </c>
      <c r="L787" s="60">
        <f ca="1">INDEX(INDIRECT($C787),1,L$12+1)*$T787</f>
        <v>141268.96</v>
      </c>
      <c r="M787" s="60"/>
      <c r="N787" s="60">
        <f ca="1">SUM(O787:Q787)</f>
        <v>0</v>
      </c>
      <c r="O787" s="60">
        <f t="shared" ref="O787:Q788" ca="1" si="228">INDEX(INDIRECT($C787),1,O$12+1)*$T787</f>
        <v>0</v>
      </c>
      <c r="P787" s="60">
        <f t="shared" ca="1" si="228"/>
        <v>0</v>
      </c>
      <c r="Q787" s="60">
        <f t="shared" ca="1" si="228"/>
        <v>0</v>
      </c>
      <c r="T787" s="292">
        <f>'RWIP Allocation'!C79</f>
        <v>37401886.039999999</v>
      </c>
      <c r="U787" s="50"/>
      <c r="V787" s="50"/>
      <c r="W787" s="50"/>
      <c r="X787" s="50"/>
      <c r="Y787" s="50"/>
    </row>
    <row r="788" spans="1:25" x14ac:dyDescent="0.2">
      <c r="A788" s="60">
        <v>20</v>
      </c>
      <c r="B788" s="70" t="s">
        <v>61</v>
      </c>
      <c r="C788" s="51" t="s">
        <v>1039</v>
      </c>
      <c r="D788" s="66">
        <f ca="1">SUM(F788:I788)+K788</f>
        <v>527227586.80000001</v>
      </c>
      <c r="F788" s="60">
        <f ca="1">INDEX(INDIRECT($C788),1,F$12+1)*$T788</f>
        <v>525543760.41339171</v>
      </c>
      <c r="H788" s="60">
        <f ca="1">INDEX(INDIRECT($C788),1,H$12+1)*$T788</f>
        <v>0</v>
      </c>
      <c r="I788" s="60">
        <f ca="1">(L788+M788+N788)</f>
        <v>1683826.3866083277</v>
      </c>
      <c r="L788" s="60">
        <f ca="1">INDEX(INDIRECT($C788),1,L$12+1)*$T788</f>
        <v>0</v>
      </c>
      <c r="M788" s="60"/>
      <c r="N788" s="60">
        <f ca="1">SUM(O788:Q788)</f>
        <v>1683826.3866083277</v>
      </c>
      <c r="O788" s="60">
        <f t="shared" ca="1" si="228"/>
        <v>1446981.3739916002</v>
      </c>
      <c r="P788" s="60">
        <f t="shared" ca="1" si="228"/>
        <v>236845.01261672738</v>
      </c>
      <c r="Q788" s="60">
        <f t="shared" ca="1" si="228"/>
        <v>0</v>
      </c>
      <c r="T788" s="292">
        <f>'RWIP Allocation'!C71</f>
        <v>527227586.80000001</v>
      </c>
      <c r="U788" s="50"/>
      <c r="V788" s="55" t="s">
        <v>98</v>
      </c>
      <c r="W788" s="50"/>
      <c r="X788" s="50"/>
      <c r="Y788" s="50"/>
    </row>
    <row r="789" spans="1:25" x14ac:dyDescent="0.2">
      <c r="A789" s="60">
        <v>21</v>
      </c>
      <c r="B789" s="48" t="s">
        <v>123</v>
      </c>
      <c r="D789" s="66">
        <f ca="1">SUM(F789:I789)+K789</f>
        <v>564629472.84000003</v>
      </c>
      <c r="F789" s="60">
        <f ca="1">SUM(F787:F788)</f>
        <v>525543760.41339171</v>
      </c>
      <c r="H789" s="60">
        <f ca="1">SUM(H787:H788)</f>
        <v>37260617.079999998</v>
      </c>
      <c r="I789" s="60">
        <f ca="1">(L789+M789+N789)</f>
        <v>1825095.3466083277</v>
      </c>
      <c r="L789" s="60">
        <f ca="1">SUM(L787:L788)</f>
        <v>141268.96</v>
      </c>
      <c r="M789" s="60"/>
      <c r="N789" s="60">
        <f ca="1">SUM(O789:Q789)</f>
        <v>1683826.3866083277</v>
      </c>
      <c r="O789" s="60">
        <f ca="1">SUM(O787:O788)</f>
        <v>1446981.3739916002</v>
      </c>
      <c r="P789" s="60">
        <f ca="1">SUM(P787:P788)</f>
        <v>236845.01261672738</v>
      </c>
      <c r="Q789" s="60">
        <f ca="1">SUM(Q787:Q788)</f>
        <v>0</v>
      </c>
      <c r="T789" s="83"/>
      <c r="U789" s="85" t="str">
        <f ca="1">IF(D789=SUM(T787:T788),"ok","err")</f>
        <v>ok</v>
      </c>
      <c r="V789" s="50"/>
      <c r="W789" s="50"/>
    </row>
    <row r="790" spans="1:25" x14ac:dyDescent="0.2">
      <c r="T790" s="87"/>
      <c r="V790" s="50"/>
      <c r="W790" s="50"/>
    </row>
    <row r="791" spans="1:25" x14ac:dyDescent="0.2">
      <c r="A791" s="60">
        <v>22</v>
      </c>
      <c r="B791" s="48" t="s">
        <v>124</v>
      </c>
      <c r="C791" s="51" t="s">
        <v>1041</v>
      </c>
      <c r="D791" s="66">
        <f ca="1">SUM(F791:I791)+K791</f>
        <v>55605423.129999988</v>
      </c>
      <c r="F791" s="60">
        <f ca="1">INDEX(INDIRECT($C791),1,F$12+1)*$T791</f>
        <v>49454285.943987392</v>
      </c>
      <c r="H791" s="60">
        <f ca="1">INDEX(INDIRECT($C791),1,H$12+1)*$T791</f>
        <v>3046787.1675292323</v>
      </c>
      <c r="I791" s="60">
        <f ca="1">(L791+M791+N791)</f>
        <v>3104350.0184833664</v>
      </c>
      <c r="L791" s="60">
        <f ca="1">INDEX(INDIRECT($C791),1,L$12+1)*$T791</f>
        <v>1707.0103552906392</v>
      </c>
      <c r="M791" s="60"/>
      <c r="N791" s="60">
        <f ca="1">SUM(O791:Q791)</f>
        <v>3102643.0081280759</v>
      </c>
      <c r="O791" s="60">
        <f ca="1">INDEX(INDIRECT($C791),1,O$12+1)*$T791</f>
        <v>1007932.5614127105</v>
      </c>
      <c r="P791" s="60">
        <f ca="1">INDEX(INDIRECT($C791),1,P$12+1)*$T791</f>
        <v>2094710.4467153654</v>
      </c>
      <c r="Q791" s="60">
        <f ca="1">INDEX(INDIRECT($C791),1,Q$12+1)*$T791</f>
        <v>3.4796815635722947E-12</v>
      </c>
      <c r="T791" s="292">
        <f>'RWIP Allocation'!C85</f>
        <v>55605423.129999995</v>
      </c>
      <c r="U791" s="50"/>
      <c r="V791" s="55" t="s">
        <v>98</v>
      </c>
      <c r="W791" s="50"/>
      <c r="X791" s="50"/>
      <c r="Y791" s="50"/>
    </row>
    <row r="792" spans="1:25" x14ac:dyDescent="0.2">
      <c r="T792" s="83"/>
      <c r="V792" s="50"/>
      <c r="W792" s="50"/>
    </row>
    <row r="793" spans="1:25" x14ac:dyDescent="0.2">
      <c r="A793" s="60">
        <v>23</v>
      </c>
      <c r="B793" s="48" t="s">
        <v>749</v>
      </c>
      <c r="C793" s="56" t="s">
        <v>1318</v>
      </c>
      <c r="D793" s="66">
        <f ca="1">SUM(F793:I793)+K793</f>
        <v>34534.550000000003</v>
      </c>
      <c r="F793" s="60">
        <f ca="1">INDEX(INDIRECT($C793),1,F$12+1)*$T793</f>
        <v>34534.550000000003</v>
      </c>
      <c r="H793" s="60">
        <f ca="1">INDEX(INDIRECT($C793),1,H$12+1)*$T793</f>
        <v>0</v>
      </c>
      <c r="I793" s="60">
        <f ca="1">(L793+M793+N793)</f>
        <v>0</v>
      </c>
      <c r="L793" s="60">
        <f ca="1">INDEX(INDIRECT($C793),1,L$12+1)*$T793</f>
        <v>0</v>
      </c>
      <c r="M793" s="60"/>
      <c r="N793" s="60">
        <f ca="1">SUM(O793:Q793)</f>
        <v>0</v>
      </c>
      <c r="O793" s="60">
        <f t="shared" ref="O793:Q794" ca="1" si="229">INDEX(INDIRECT($C793),1,O$12+1)*$T793</f>
        <v>0</v>
      </c>
      <c r="P793" s="60">
        <f t="shared" ca="1" si="229"/>
        <v>0</v>
      </c>
      <c r="Q793" s="60">
        <f t="shared" ca="1" si="229"/>
        <v>0</v>
      </c>
      <c r="T793" s="292">
        <f>'RWIP Allocation'!B91</f>
        <v>34534.550000000003</v>
      </c>
      <c r="U793" s="50"/>
      <c r="V793" s="84" t="s">
        <v>104</v>
      </c>
      <c r="W793" s="50"/>
      <c r="X793" s="50"/>
      <c r="Y793" s="50"/>
    </row>
    <row r="794" spans="1:25" x14ac:dyDescent="0.2">
      <c r="A794" s="60">
        <v>24</v>
      </c>
      <c r="B794" s="48" t="s">
        <v>750</v>
      </c>
      <c r="C794" s="56" t="s">
        <v>1319</v>
      </c>
      <c r="D794" s="66">
        <f ca="1">SUM(F794:I794)+K794</f>
        <v>19031719.870000001</v>
      </c>
      <c r="F794" s="60">
        <f ca="1">INDEX(INDIRECT($C794),1,F$12+1)*$T794</f>
        <v>16570803.046553809</v>
      </c>
      <c r="H794" s="60">
        <f ca="1">INDEX(INDIRECT($C794),1,H$12+1)*$T794</f>
        <v>1130380.1292264219</v>
      </c>
      <c r="I794" s="60">
        <f ca="1">(L794+M794+N794)</f>
        <v>1330536.6942197701</v>
      </c>
      <c r="L794" s="60">
        <f ca="1">INDEX(INDIRECT($C794),1,L$12+1)*$T794</f>
        <v>600.11499748336064</v>
      </c>
      <c r="M794" s="60"/>
      <c r="N794" s="60">
        <f ca="1">SUM(O794:Q794)</f>
        <v>1329936.5792222868</v>
      </c>
      <c r="O794" s="60">
        <f t="shared" ca="1" si="229"/>
        <v>422269.74460426945</v>
      </c>
      <c r="P794" s="60">
        <f t="shared" ca="1" si="229"/>
        <v>907666.83461801743</v>
      </c>
      <c r="Q794" s="60">
        <f t="shared" ca="1" si="229"/>
        <v>2.5938860534287354E-14</v>
      </c>
      <c r="T794" s="292">
        <f>'RWIP Allocation'!B90</f>
        <v>19031719.870000001</v>
      </c>
      <c r="U794" s="50"/>
      <c r="V794" s="55" t="s">
        <v>98</v>
      </c>
      <c r="W794" s="50"/>
      <c r="X794" s="50"/>
      <c r="Y794" s="50"/>
    </row>
    <row r="795" spans="1:25" x14ac:dyDescent="0.2">
      <c r="A795" s="60"/>
      <c r="B795" s="48"/>
      <c r="C795" s="51"/>
      <c r="D795" s="66"/>
      <c r="F795" s="60"/>
      <c r="H795" s="60"/>
      <c r="I795" s="60"/>
      <c r="L795" s="60"/>
      <c r="M795" s="60"/>
      <c r="N795" s="60"/>
      <c r="O795" s="60"/>
      <c r="P795" s="60"/>
      <c r="Q795" s="60"/>
      <c r="T795" s="83"/>
      <c r="U795" s="50"/>
      <c r="V795" s="50"/>
      <c r="W795" s="50"/>
      <c r="X795" s="50"/>
      <c r="Y795" s="50"/>
    </row>
    <row r="796" spans="1:25" x14ac:dyDescent="0.2">
      <c r="A796" s="60">
        <v>25</v>
      </c>
      <c r="B796" s="48" t="s">
        <v>125</v>
      </c>
      <c r="C796" s="58"/>
      <c r="D796" s="66">
        <f ca="1">SUM(F796:I796)+K796</f>
        <v>2419286203.2700005</v>
      </c>
      <c r="F796" s="60">
        <f ca="1">F778+F785+F789+F791+F793+F794</f>
        <v>2091528460.1268773</v>
      </c>
      <c r="H796" s="60">
        <f ca="1">H778+H785+H789+H791+H793+H794</f>
        <v>159664577.96647444</v>
      </c>
      <c r="I796" s="60">
        <f ca="1">(L796+M796+N796)</f>
        <v>168093165.17664853</v>
      </c>
      <c r="L796" s="60">
        <f ca="1">L778+L785+L789+L791+L793+L794</f>
        <v>156838.07680747</v>
      </c>
      <c r="M796" s="60"/>
      <c r="N796" s="60">
        <f ca="1">SUM(O796:Q796)</f>
        <v>167936327.09984106</v>
      </c>
      <c r="O796" s="60">
        <f ca="1">O778+O785+O789+O791+O793+O794</f>
        <v>53369104.810249016</v>
      </c>
      <c r="P796" s="60">
        <f ca="1">P778+P785+P789+P791+P793+P794</f>
        <v>114567222.28959204</v>
      </c>
      <c r="Q796" s="60">
        <f ca="1">Q778+Q785+Q789+Q791+Q793+Q794</f>
        <v>3.5056204241065819E-12</v>
      </c>
      <c r="T796" s="50"/>
      <c r="U796" s="50" t="str">
        <f ca="1">IF(ROUND(D796,0)=ROUND('RWIP Allocation'!C100,0),"ok","err")</f>
        <v>err</v>
      </c>
      <c r="W796" s="50"/>
    </row>
    <row r="797" spans="1:25" x14ac:dyDescent="0.2">
      <c r="C797" s="58"/>
      <c r="T797" s="58"/>
      <c r="U797" s="50"/>
      <c r="V797" s="50"/>
      <c r="W797" s="50"/>
    </row>
    <row r="798" spans="1:25" x14ac:dyDescent="0.2">
      <c r="A798" s="60">
        <v>26</v>
      </c>
      <c r="B798" s="48" t="s">
        <v>1114</v>
      </c>
      <c r="C798" s="58"/>
      <c r="D798" s="66">
        <f ca="1">SUM(F798:I798)+K798</f>
        <v>4073283819.250001</v>
      </c>
      <c r="F798" s="60">
        <f ca="1">F753-F796</f>
        <v>3561520105.9314809</v>
      </c>
      <c r="H798" s="60">
        <f ca="1">H753-H796</f>
        <v>225955270.45836845</v>
      </c>
      <c r="I798" s="60">
        <f ca="1">(L798+M798+N798)</f>
        <v>285808442.86015201</v>
      </c>
      <c r="L798" s="60">
        <f ca="1">L753-L796</f>
        <v>47886.199905867747</v>
      </c>
      <c r="M798" s="60"/>
      <c r="N798" s="60">
        <f ca="1">SUM(O798:Q798)</f>
        <v>285760556.66024613</v>
      </c>
      <c r="O798" s="60">
        <f ca="1">O753-O796</f>
        <v>90684732.211932525</v>
      </c>
      <c r="P798" s="60">
        <f ca="1">P753-P796</f>
        <v>195075824.44831359</v>
      </c>
      <c r="Q798" s="60">
        <f ca="1">Q753-Q796</f>
        <v>5.3432076903705236E-12</v>
      </c>
      <c r="T798" s="58"/>
      <c r="U798" s="50"/>
      <c r="V798" s="50"/>
      <c r="W798" s="50"/>
    </row>
    <row r="799" spans="1:25" x14ac:dyDescent="0.2">
      <c r="C799" s="58"/>
      <c r="T799" s="58"/>
      <c r="U799" s="50"/>
      <c r="W799" s="50"/>
    </row>
    <row r="800" spans="1:25" x14ac:dyDescent="0.2">
      <c r="C800" s="58"/>
      <c r="T800" s="58"/>
      <c r="U800" s="50"/>
      <c r="W800" s="50"/>
    </row>
    <row r="801" spans="1:25" x14ac:dyDescent="0.2">
      <c r="B801" s="64" t="s">
        <v>126</v>
      </c>
      <c r="C801" s="58"/>
      <c r="T801" s="58"/>
      <c r="U801" s="50"/>
      <c r="W801" s="50"/>
    </row>
    <row r="802" spans="1:25" x14ac:dyDescent="0.2">
      <c r="C802" s="58"/>
      <c r="W802" s="50"/>
    </row>
    <row r="803" spans="1:25" x14ac:dyDescent="0.2">
      <c r="B803" s="59" t="s">
        <v>127</v>
      </c>
      <c r="C803" s="58"/>
      <c r="W803" s="50"/>
    </row>
    <row r="804" spans="1:25" x14ac:dyDescent="0.2">
      <c r="B804" s="59"/>
      <c r="C804" s="58"/>
      <c r="W804" s="50"/>
    </row>
    <row r="805" spans="1:25" x14ac:dyDescent="0.2">
      <c r="B805" s="48" t="s">
        <v>110</v>
      </c>
      <c r="W805" s="50"/>
    </row>
    <row r="806" spans="1:25" x14ac:dyDescent="0.2">
      <c r="A806" s="60">
        <v>1</v>
      </c>
      <c r="B806" s="48" t="s">
        <v>128</v>
      </c>
      <c r="C806" s="51" t="s">
        <v>1044</v>
      </c>
      <c r="D806" s="66">
        <f ca="1">SUM(F806:I806)+K806</f>
        <v>265520100.28000033</v>
      </c>
      <c r="F806" s="60">
        <f ca="1">INDEX(INDIRECT($C806),1,F$12+1)*$T806</f>
        <v>229805037.56414443</v>
      </c>
      <c r="H806" s="60">
        <f ca="1">INDEX(INDIRECT($C806),1,H$12+1)*$T806</f>
        <v>13495767.686942417</v>
      </c>
      <c r="I806" s="60">
        <f ca="1">(L806+M806+N806)</f>
        <v>22219295.028913476</v>
      </c>
      <c r="L806" s="60">
        <f ca="1">INDEX(INDIRECT($C806),1,L$12+1)*$T806</f>
        <v>2031.883120587537</v>
      </c>
      <c r="M806" s="60"/>
      <c r="N806" s="60">
        <f ca="1">SUM(O806:Q806)</f>
        <v>22217263.145792887</v>
      </c>
      <c r="O806" s="60">
        <f t="shared" ref="O806:Q808" ca="1" si="230">INDEX(INDIRECT($C806),1,O$12+1)*$T806</f>
        <v>6932349.8039188348</v>
      </c>
      <c r="P806" s="60">
        <f t="shared" ca="1" si="230"/>
        <v>15284913.34187405</v>
      </c>
      <c r="Q806" s="60">
        <f t="shared" ca="1" si="230"/>
        <v>0</v>
      </c>
      <c r="T806" s="85">
        <f>'CWIP and AFUDC'!K7-T808</f>
        <v>265520100.28000033</v>
      </c>
      <c r="U806" s="50"/>
      <c r="V806" s="50"/>
      <c r="W806" s="50"/>
      <c r="X806" s="50"/>
      <c r="Y806" s="50"/>
    </row>
    <row r="807" spans="1:25" x14ac:dyDescent="0.2">
      <c r="A807" s="60">
        <v>2</v>
      </c>
      <c r="B807" s="48" t="s">
        <v>129</v>
      </c>
      <c r="C807" s="51" t="s">
        <v>616</v>
      </c>
      <c r="D807" s="66">
        <f ca="1">SUM(F807:I807)+K807</f>
        <v>0</v>
      </c>
      <c r="F807" s="60">
        <f ca="1">INDEX(INDIRECT($C807),1,F$12+1)*$T807</f>
        <v>0</v>
      </c>
      <c r="H807" s="60">
        <f ca="1">INDEX(INDIRECT($C807),1,H$12+1)*$T807</f>
        <v>0</v>
      </c>
      <c r="I807" s="60">
        <f ca="1">(L807+M807+N807)</f>
        <v>0</v>
      </c>
      <c r="L807" s="60">
        <f ca="1">INDEX(INDIRECT($C807),1,L$12+1)*$T807</f>
        <v>0</v>
      </c>
      <c r="M807" s="60"/>
      <c r="N807" s="60">
        <f ca="1">SUM(O807:Q807)</f>
        <v>0</v>
      </c>
      <c r="O807" s="60">
        <f t="shared" ca="1" si="230"/>
        <v>0</v>
      </c>
      <c r="P807" s="60">
        <f t="shared" ca="1" si="230"/>
        <v>0</v>
      </c>
      <c r="Q807" s="60">
        <f t="shared" ca="1" si="230"/>
        <v>0</v>
      </c>
      <c r="T807" s="50">
        <v>0</v>
      </c>
      <c r="U807" s="50"/>
      <c r="V807" s="50"/>
      <c r="W807" s="50"/>
      <c r="X807" s="50"/>
      <c r="Y807" s="50"/>
    </row>
    <row r="808" spans="1:25" x14ac:dyDescent="0.2">
      <c r="A808" s="60">
        <v>3</v>
      </c>
      <c r="B808" s="48" t="s">
        <v>130</v>
      </c>
      <c r="C808" s="51" t="s">
        <v>622</v>
      </c>
      <c r="D808" s="66">
        <f ca="1">SUM(F808:I808)+K808</f>
        <v>332113.38000000129</v>
      </c>
      <c r="F808" s="60">
        <f ca="1">INDEX(INDIRECT($C808),1,F$12+1)*$T808</f>
        <v>0</v>
      </c>
      <c r="H808" s="60">
        <f ca="1">INDEX(INDIRECT($C808),1,H$12+1)*$T808</f>
        <v>0</v>
      </c>
      <c r="I808" s="60">
        <f ca="1">(L808+M808+N808)</f>
        <v>332113.38000000129</v>
      </c>
      <c r="L808" s="60">
        <f ca="1">INDEX(INDIRECT($C808),1,L$12+1)*$T808</f>
        <v>0</v>
      </c>
      <c r="M808" s="60"/>
      <c r="N808" s="60">
        <f ca="1">SUM(O808:Q808)</f>
        <v>332113.38000000129</v>
      </c>
      <c r="O808" s="60">
        <f t="shared" ca="1" si="230"/>
        <v>103627.8010308306</v>
      </c>
      <c r="P808" s="60">
        <f t="shared" ca="1" si="230"/>
        <v>228485.57896917072</v>
      </c>
      <c r="Q808" s="60">
        <f t="shared" ca="1" si="230"/>
        <v>0</v>
      </c>
      <c r="T808" s="85">
        <f>'CWIP and AFUDC'!H19</f>
        <v>332113.38000000134</v>
      </c>
      <c r="U808" s="50"/>
      <c r="V808" s="50"/>
      <c r="W808" s="50"/>
      <c r="X808" s="50"/>
      <c r="Y808" s="50"/>
    </row>
    <row r="809" spans="1:25" x14ac:dyDescent="0.2">
      <c r="A809" s="60">
        <v>4</v>
      </c>
      <c r="B809" s="48" t="s">
        <v>131</v>
      </c>
      <c r="D809" s="66">
        <f ca="1">SUM(F809:I809)+K809</f>
        <v>265852213.66000032</v>
      </c>
      <c r="F809" s="60">
        <f ca="1">SUM(F806:F808)</f>
        <v>229805037.56414443</v>
      </c>
      <c r="H809" s="60">
        <f ca="1">SUM(H806:H808)</f>
        <v>13495767.686942417</v>
      </c>
      <c r="I809" s="60">
        <f ca="1">(L809+M809+N809)</f>
        <v>22551408.408913475</v>
      </c>
      <c r="L809" s="60">
        <f ca="1">SUM(L806:L808)</f>
        <v>2031.883120587537</v>
      </c>
      <c r="M809" s="60"/>
      <c r="N809" s="60">
        <f ca="1">SUM(O809:Q809)</f>
        <v>22549376.525792886</v>
      </c>
      <c r="O809" s="60">
        <f ca="1">SUM(O806:O808)</f>
        <v>7035977.6049496653</v>
      </c>
      <c r="P809" s="60">
        <f ca="1">SUM(P806:P808)</f>
        <v>15513398.920843221</v>
      </c>
      <c r="Q809" s="60">
        <f ca="1">SUM(Q806:Q808)</f>
        <v>0</v>
      </c>
      <c r="T809" s="83"/>
      <c r="U809" s="50"/>
      <c r="W809" s="50"/>
    </row>
    <row r="810" spans="1:25" x14ac:dyDescent="0.2">
      <c r="T810" s="87"/>
      <c r="W810" s="50"/>
    </row>
    <row r="811" spans="1:25" x14ac:dyDescent="0.2">
      <c r="B811" s="48" t="s">
        <v>121</v>
      </c>
      <c r="C811" s="58"/>
      <c r="T811" s="87"/>
      <c r="W811" s="50"/>
    </row>
    <row r="812" spans="1:25" x14ac:dyDescent="0.2">
      <c r="A812" s="60">
        <v>5</v>
      </c>
      <c r="B812" s="48" t="s">
        <v>128</v>
      </c>
      <c r="C812" s="51" t="s">
        <v>1031</v>
      </c>
      <c r="D812" s="66">
        <f t="shared" ref="D812:D817" ca="1" si="231">SUM(F812:I812)+K812</f>
        <v>42124235.740000039</v>
      </c>
      <c r="F812" s="60">
        <f ca="1">INDEX(INDIRECT($C812),1,F$12+1)*$T812</f>
        <v>36186518.394817472</v>
      </c>
      <c r="H812" s="60">
        <f ca="1">INDEX(INDIRECT($C812),1,H$12+1)*$T812</f>
        <v>2206908.4127519433</v>
      </c>
      <c r="I812" s="60">
        <f t="shared" ref="I812:I817" ca="1" si="232">(L812+M812+N812)</f>
        <v>3730808.9324306287</v>
      </c>
      <c r="L812" s="60">
        <f ca="1">INDEX(INDIRECT($C812),1,L$12+1)*$T812</f>
        <v>319.95284654600687</v>
      </c>
      <c r="M812" s="60"/>
      <c r="N812" s="60">
        <f t="shared" ref="N812:N817" ca="1" si="233">SUM(O812:Q812)</f>
        <v>3730488.9795840825</v>
      </c>
      <c r="O812" s="60">
        <f t="shared" ref="O812:Q816" ca="1" si="234">INDEX(INDIRECT($C812),1,O$12+1)*$T812</f>
        <v>1164007.212609272</v>
      </c>
      <c r="P812" s="60">
        <f t="shared" ca="1" si="234"/>
        <v>2566481.7669748105</v>
      </c>
      <c r="Q812" s="60">
        <f t="shared" ca="1" si="234"/>
        <v>0</v>
      </c>
      <c r="T812" s="85">
        <f>'CWIP and AFUDC'!K9+'CWIP and AFUDC'!K25-T816</f>
        <v>42124235.740000039</v>
      </c>
      <c r="U812" s="50"/>
      <c r="V812" s="50"/>
      <c r="W812" s="50"/>
      <c r="X812" s="50"/>
      <c r="Y812" s="50"/>
    </row>
    <row r="813" spans="1:25" x14ac:dyDescent="0.2">
      <c r="A813" s="60">
        <v>6</v>
      </c>
      <c r="B813" s="48" t="s">
        <v>132</v>
      </c>
      <c r="C813" s="51" t="s">
        <v>1031</v>
      </c>
      <c r="D813" s="66">
        <f t="shared" ca="1" si="231"/>
        <v>0</v>
      </c>
      <c r="F813" s="60">
        <f ca="1">INDEX(INDIRECT($C813),1,F$12+1)*$T813</f>
        <v>0</v>
      </c>
      <c r="H813" s="60">
        <f ca="1">INDEX(INDIRECT($C813),1,H$12+1)*$T813</f>
        <v>0</v>
      </c>
      <c r="I813" s="60">
        <f t="shared" ca="1" si="232"/>
        <v>0</v>
      </c>
      <c r="L813" s="60">
        <f ca="1">INDEX(INDIRECT($C813),1,L$12+1)*$T813</f>
        <v>0</v>
      </c>
      <c r="M813" s="60"/>
      <c r="N813" s="60">
        <f t="shared" ca="1" si="233"/>
        <v>0</v>
      </c>
      <c r="O813" s="60">
        <f t="shared" ca="1" si="234"/>
        <v>0</v>
      </c>
      <c r="P813" s="60">
        <f t="shared" ca="1" si="234"/>
        <v>0</v>
      </c>
      <c r="Q813" s="60">
        <f t="shared" ca="1" si="234"/>
        <v>0</v>
      </c>
      <c r="T813" s="50">
        <v>0</v>
      </c>
      <c r="U813" s="50"/>
      <c r="V813" s="50"/>
      <c r="W813" s="50"/>
      <c r="X813" s="50"/>
      <c r="Y813" s="50"/>
    </row>
    <row r="814" spans="1:25" x14ac:dyDescent="0.2">
      <c r="A814" s="60">
        <v>7</v>
      </c>
      <c r="B814" s="48" t="s">
        <v>133</v>
      </c>
      <c r="C814" s="51" t="s">
        <v>1033</v>
      </c>
      <c r="D814" s="66">
        <f t="shared" ca="1" si="231"/>
        <v>908362.5</v>
      </c>
      <c r="F814" s="60">
        <f ca="1">INDEX(INDIRECT($C814),1,F$12+1)*$T814</f>
        <v>0</v>
      </c>
      <c r="H814" s="60">
        <f ca="1">INDEX(INDIRECT($C814),1,H$12+1)*$T814</f>
        <v>908269.95928627369</v>
      </c>
      <c r="I814" s="60">
        <f t="shared" ca="1" si="232"/>
        <v>92.540713726362441</v>
      </c>
      <c r="L814" s="60">
        <f ca="1">INDEX(INDIRECT($C814),1,L$12+1)*$T814</f>
        <v>0</v>
      </c>
      <c r="M814" s="60"/>
      <c r="N814" s="60">
        <f t="shared" ca="1" si="233"/>
        <v>92.540713726362441</v>
      </c>
      <c r="O814" s="60">
        <f t="shared" ca="1" si="234"/>
        <v>28.875050650734103</v>
      </c>
      <c r="P814" s="60">
        <f t="shared" ca="1" si="234"/>
        <v>63.665663075628338</v>
      </c>
      <c r="Q814" s="60">
        <f t="shared" ca="1" si="234"/>
        <v>0</v>
      </c>
      <c r="T814" s="85">
        <f>'CWIP and AFUDC'!K18</f>
        <v>908362.50000000012</v>
      </c>
      <c r="U814" s="50"/>
      <c r="V814" s="50"/>
      <c r="W814" s="50"/>
      <c r="X814" s="50"/>
      <c r="Y814" s="50"/>
    </row>
    <row r="815" spans="1:25" x14ac:dyDescent="0.2">
      <c r="A815" s="60">
        <v>8</v>
      </c>
      <c r="B815" s="48" t="s">
        <v>129</v>
      </c>
      <c r="C815" s="51" t="s">
        <v>631</v>
      </c>
      <c r="D815" s="66">
        <f t="shared" ca="1" si="231"/>
        <v>0</v>
      </c>
      <c r="F815" s="60">
        <f ca="1">INDEX(INDIRECT($C815),1,F$12+1)*$T815</f>
        <v>0</v>
      </c>
      <c r="H815" s="60">
        <f ca="1">INDEX(INDIRECT($C815),1,H$12+1)*$T815</f>
        <v>0</v>
      </c>
      <c r="I815" s="60">
        <f t="shared" ca="1" si="232"/>
        <v>0</v>
      </c>
      <c r="L815" s="60">
        <f ca="1">INDEX(INDIRECT($C815),1,L$12+1)*$T815</f>
        <v>0</v>
      </c>
      <c r="M815" s="60"/>
      <c r="N815" s="60">
        <f t="shared" ca="1" si="233"/>
        <v>0</v>
      </c>
      <c r="O815" s="60">
        <f t="shared" ca="1" si="234"/>
        <v>0</v>
      </c>
      <c r="P815" s="60">
        <f t="shared" ca="1" si="234"/>
        <v>0</v>
      </c>
      <c r="Q815" s="60">
        <f t="shared" ca="1" si="234"/>
        <v>0</v>
      </c>
      <c r="T815" s="50">
        <v>0</v>
      </c>
      <c r="U815" s="50"/>
      <c r="V815" s="50"/>
      <c r="W815" s="50"/>
      <c r="X815" s="50"/>
      <c r="Y815" s="50"/>
    </row>
    <row r="816" spans="1:25" x14ac:dyDescent="0.2">
      <c r="A816" s="60">
        <v>9</v>
      </c>
      <c r="B816" s="48" t="s">
        <v>130</v>
      </c>
      <c r="C816" s="51" t="s">
        <v>633</v>
      </c>
      <c r="D816" s="66">
        <f t="shared" ca="1" si="231"/>
        <v>8716.3099999999977</v>
      </c>
      <c r="F816" s="60">
        <f ca="1">INDEX(INDIRECT($C816),1,F$12+1)*$T816</f>
        <v>0</v>
      </c>
      <c r="H816" s="60">
        <f ca="1">INDEX(INDIRECT($C816),1,H$12+1)*$T816</f>
        <v>0</v>
      </c>
      <c r="I816" s="60">
        <f t="shared" ca="1" si="232"/>
        <v>8716.3099999999977</v>
      </c>
      <c r="L816" s="60">
        <f ca="1">INDEX(INDIRECT($C816),1,L$12+1)*$T816</f>
        <v>0</v>
      </c>
      <c r="M816" s="60"/>
      <c r="N816" s="60">
        <f t="shared" ca="1" si="233"/>
        <v>8716.3099999999977</v>
      </c>
      <c r="O816" s="60">
        <f t="shared" ca="1" si="234"/>
        <v>2719.7098725833785</v>
      </c>
      <c r="P816" s="60">
        <f t="shared" ca="1" si="234"/>
        <v>5996.6001274166183</v>
      </c>
      <c r="Q816" s="60">
        <f t="shared" ca="1" si="234"/>
        <v>0</v>
      </c>
      <c r="T816" s="85">
        <f>'CWIP and AFUDC'!H43</f>
        <v>8716.3099999999977</v>
      </c>
      <c r="U816" s="50"/>
      <c r="V816" s="50"/>
      <c r="W816" s="50"/>
      <c r="X816" s="50"/>
      <c r="Y816" s="50"/>
    </row>
    <row r="817" spans="1:26" x14ac:dyDescent="0.2">
      <c r="A817" s="60">
        <v>10</v>
      </c>
      <c r="B817" s="48" t="s">
        <v>134</v>
      </c>
      <c r="D817" s="66">
        <f t="shared" ca="1" si="231"/>
        <v>43041314.550000042</v>
      </c>
      <c r="F817" s="60">
        <f ca="1">SUM(F812:F816)</f>
        <v>36186518.394817472</v>
      </c>
      <c r="H817" s="60">
        <f ca="1">SUM(H812:H816)</f>
        <v>3115178.3720382173</v>
      </c>
      <c r="I817" s="60">
        <f t="shared" ca="1" si="232"/>
        <v>3739617.7831443553</v>
      </c>
      <c r="L817" s="60">
        <f ca="1">SUM(L812:L816)</f>
        <v>319.95284654600687</v>
      </c>
      <c r="M817" s="60"/>
      <c r="N817" s="60">
        <f t="shared" ca="1" si="233"/>
        <v>3739297.8302978091</v>
      </c>
      <c r="O817" s="60">
        <f ca="1">SUM(O812:O816)</f>
        <v>1166755.7975325061</v>
      </c>
      <c r="P817" s="60">
        <f ca="1">SUM(P812:P816)</f>
        <v>2572542.0327653028</v>
      </c>
      <c r="Q817" s="60">
        <f ca="1">SUM(Q812:Q816)</f>
        <v>0</v>
      </c>
      <c r="T817" s="83"/>
      <c r="W817" s="104"/>
    </row>
    <row r="818" spans="1:26" s="75" customFormat="1" x14ac:dyDescent="0.2">
      <c r="A818" s="141"/>
      <c r="B818" s="141"/>
      <c r="C818" s="141"/>
      <c r="D818" s="141"/>
      <c r="E818" s="141"/>
      <c r="F818" s="141"/>
      <c r="G818" s="141"/>
      <c r="H818" s="141"/>
      <c r="I818" s="141"/>
      <c r="J818" s="141"/>
      <c r="K818" s="141"/>
      <c r="L818" s="141"/>
      <c r="M818" s="141"/>
      <c r="N818" s="141"/>
      <c r="O818" s="141"/>
      <c r="P818" s="141"/>
      <c r="Q818" s="141"/>
      <c r="R818" s="141"/>
      <c r="S818" s="141"/>
      <c r="U818" s="140"/>
      <c r="W818" s="104"/>
    </row>
    <row r="819" spans="1:26" x14ac:dyDescent="0.2">
      <c r="A819" s="60">
        <v>11</v>
      </c>
      <c r="B819" s="70" t="s">
        <v>135</v>
      </c>
      <c r="C819" s="51" t="s">
        <v>674</v>
      </c>
      <c r="D819" s="66">
        <f ca="1">SUM(F819:I819)+K819</f>
        <v>1166386.3899999994</v>
      </c>
      <c r="F819" s="60">
        <f ca="1">INDEX(INDIRECT($C819),1,F$12+1)*$T819</f>
        <v>0</v>
      </c>
      <c r="H819" s="60">
        <f ca="1">INDEX(INDIRECT($C819),1,H$12+1)*$T819</f>
        <v>1166386.3899999994</v>
      </c>
      <c r="I819" s="60">
        <f ca="1">(L819+M819+N819)</f>
        <v>0</v>
      </c>
      <c r="L819" s="60">
        <f ca="1">INDEX(INDIRECT($C819),1,L$12+1)*$T819</f>
        <v>0</v>
      </c>
      <c r="M819" s="60"/>
      <c r="N819" s="60">
        <f ca="1">SUM(O819:Q819)</f>
        <v>0</v>
      </c>
      <c r="O819" s="60">
        <f t="shared" ref="O819:Q820" ca="1" si="235">INDEX(INDIRECT($C819),1,O$12+1)*$T819</f>
        <v>0</v>
      </c>
      <c r="P819" s="60">
        <f t="shared" ca="1" si="235"/>
        <v>0</v>
      </c>
      <c r="Q819" s="60">
        <f t="shared" ca="1" si="235"/>
        <v>0</v>
      </c>
      <c r="T819" s="85">
        <f>'CWIP and AFUDC'!K20+'CWIP and AFUDC'!K27</f>
        <v>1166386.3899999994</v>
      </c>
      <c r="U819" s="50"/>
      <c r="V819" s="50"/>
      <c r="W819" s="104"/>
      <c r="X819" s="50"/>
      <c r="Y819" s="50"/>
    </row>
    <row r="820" spans="1:26" x14ac:dyDescent="0.2">
      <c r="A820" s="60">
        <v>12</v>
      </c>
      <c r="B820" s="70" t="s">
        <v>62</v>
      </c>
      <c r="C820" s="51" t="s">
        <v>1039</v>
      </c>
      <c r="D820" s="66">
        <f ca="1">SUM(F820:I820)+K820</f>
        <v>21264678.32</v>
      </c>
      <c r="F820" s="60">
        <f ca="1">INDEX(INDIRECT($C820),1,F$12+1)*$T820</f>
        <v>21196764.524602309</v>
      </c>
      <c r="H820" s="60">
        <f ca="1">INDEX(INDIRECT($C820),1,H$12+1)*$T820</f>
        <v>0</v>
      </c>
      <c r="I820" s="60">
        <f ca="1">(L820+M820+N820)</f>
        <v>67913.795397691894</v>
      </c>
      <c r="L820" s="60">
        <f ca="1">INDEX(INDIRECT($C820),1,L$12+1)*$T820</f>
        <v>0</v>
      </c>
      <c r="M820" s="60"/>
      <c r="N820" s="60">
        <f ca="1">SUM(O820:Q820)</f>
        <v>67913.795397691894</v>
      </c>
      <c r="O820" s="60">
        <f t="shared" ca="1" si="235"/>
        <v>58361.121882332794</v>
      </c>
      <c r="P820" s="60">
        <f t="shared" ca="1" si="235"/>
        <v>9552.6735153590962</v>
      </c>
      <c r="Q820" s="60">
        <f t="shared" ca="1" si="235"/>
        <v>0</v>
      </c>
      <c r="T820" s="85">
        <f>'CWIP and AFUDC'!K11</f>
        <v>21264678.32</v>
      </c>
      <c r="U820" s="50"/>
      <c r="V820" s="50"/>
      <c r="W820" s="50"/>
      <c r="X820" s="50"/>
      <c r="Y820" s="50"/>
    </row>
    <row r="821" spans="1:26" x14ac:dyDescent="0.2">
      <c r="A821" s="60">
        <v>13</v>
      </c>
      <c r="B821" s="48" t="s">
        <v>136</v>
      </c>
      <c r="D821" s="66">
        <f ca="1">SUM(F821:I821)+K821</f>
        <v>22431064.710000001</v>
      </c>
      <c r="F821" s="60">
        <f ca="1">SUM(F819:F820)</f>
        <v>21196764.524602309</v>
      </c>
      <c r="H821" s="60">
        <f ca="1">SUM(H819:H820)</f>
        <v>1166386.3899999994</v>
      </c>
      <c r="I821" s="60">
        <f ca="1">(L821+M821+N821)</f>
        <v>67913.795397691894</v>
      </c>
      <c r="L821" s="60">
        <f ca="1">SUM(L819:L820)</f>
        <v>0</v>
      </c>
      <c r="M821" s="60"/>
      <c r="N821" s="60">
        <f ca="1">SUM(O821:Q821)</f>
        <v>67913.795397691894</v>
      </c>
      <c r="O821" s="60">
        <f ca="1">SUM(O819:O820)</f>
        <v>58361.121882332794</v>
      </c>
      <c r="P821" s="60">
        <f ca="1">SUM(P819:P820)</f>
        <v>9552.6735153590962</v>
      </c>
      <c r="Q821" s="60">
        <f ca="1">SUM(Q819:Q820)</f>
        <v>0</v>
      </c>
      <c r="T821" s="83"/>
      <c r="U821" s="50"/>
      <c r="W821" s="50"/>
    </row>
    <row r="822" spans="1:26" x14ac:dyDescent="0.2">
      <c r="T822" s="87"/>
      <c r="W822" s="50"/>
    </row>
    <row r="823" spans="1:26" x14ac:dyDescent="0.2">
      <c r="A823" s="60">
        <v>14</v>
      </c>
      <c r="B823" s="48" t="s">
        <v>137</v>
      </c>
      <c r="C823" s="51" t="s">
        <v>1041</v>
      </c>
      <c r="D823" s="66">
        <f ca="1">SUM(F823:I823)+K823</f>
        <v>13913845.399999997</v>
      </c>
      <c r="F823" s="60">
        <f ca="1">INDEX(INDIRECT($C823),1,F$12+1)*$T823</f>
        <v>12374679.4873465</v>
      </c>
      <c r="H823" s="60">
        <f ca="1">INDEX(INDIRECT($C823),1,H$12+1)*$T823</f>
        <v>762381.135318332</v>
      </c>
      <c r="I823" s="60">
        <f ca="1">(L823+M823+N823)</f>
        <v>776784.7773351653</v>
      </c>
      <c r="L823" s="60">
        <f ca="1">INDEX(INDIRECT($C823),1,L$12+1)*$T823</f>
        <v>427.13600297915804</v>
      </c>
      <c r="M823" s="60"/>
      <c r="N823" s="60">
        <f ca="1">SUM(O823:Q823)</f>
        <v>776357.64133218618</v>
      </c>
      <c r="O823" s="60">
        <f ca="1">INDEX(INDIRECT($C823),1,O$12+1)*$T823</f>
        <v>252209.53359774314</v>
      </c>
      <c r="P823" s="60">
        <f ca="1">INDEX(INDIRECT($C823),1,P$12+1)*$T823</f>
        <v>524148.10773444304</v>
      </c>
      <c r="Q823" s="60">
        <f ca="1">INDEX(INDIRECT($C823),1,Q$12+1)*$T823</f>
        <v>8.7070196738875489E-13</v>
      </c>
      <c r="T823" s="85">
        <f>'CWIP and AFUDC'!K5+'CWIP and AFUDC'!K16</f>
        <v>13913845.399999999</v>
      </c>
      <c r="U823" s="50"/>
      <c r="V823" s="50"/>
      <c r="W823" s="329">
        <f>SUM(T806:T823)</f>
        <v>345238438.32000029</v>
      </c>
      <c r="X823" s="88">
        <f>'CWIP and AFUDC'!K32</f>
        <v>345238438.32000035</v>
      </c>
      <c r="Y823" s="328">
        <f>W823-X823</f>
        <v>0</v>
      </c>
    </row>
    <row r="824" spans="1:26" x14ac:dyDescent="0.2">
      <c r="T824" s="58"/>
      <c r="U824" s="50"/>
      <c r="W824" s="50"/>
    </row>
    <row r="825" spans="1:26" x14ac:dyDescent="0.2">
      <c r="A825" s="60">
        <v>15</v>
      </c>
      <c r="B825" s="48" t="s">
        <v>138</v>
      </c>
      <c r="C825" s="58"/>
      <c r="D825" s="66">
        <f ca="1">SUM(F825:I825)+K825</f>
        <v>345238438.32000029</v>
      </c>
      <c r="F825" s="60">
        <f ca="1">F809+F817+F821+F823</f>
        <v>299562999.97091067</v>
      </c>
      <c r="H825" s="60">
        <f ca="1">H809+H817+H821+H823</f>
        <v>18539713.584298965</v>
      </c>
      <c r="I825" s="60">
        <f ca="1">(L825+M825+N825)</f>
        <v>27135724.764790684</v>
      </c>
      <c r="L825" s="60">
        <f ca="1">L809+L817+L821+L823</f>
        <v>2778.9719701127019</v>
      </c>
      <c r="M825" s="60"/>
      <c r="N825" s="60">
        <f ca="1">SUM(O825:Q825)</f>
        <v>27132945.792820573</v>
      </c>
      <c r="O825" s="60">
        <f ca="1">O809+O817+O821+O823</f>
        <v>8513304.0579622462</v>
      </c>
      <c r="P825" s="60">
        <f ca="1">P809+P817+P821+P823</f>
        <v>18619641.734858327</v>
      </c>
      <c r="Q825" s="60">
        <f ca="1">Q809+Q817+Q821+Q823</f>
        <v>8.7070196738875489E-13</v>
      </c>
      <c r="T825" s="34"/>
      <c r="U825" s="34" t="str">
        <f ca="1">IF(ROUND(D825,0)=ROUND('CWIP and AFUDC'!K32,0),"ok","err")</f>
        <v>ok</v>
      </c>
      <c r="W825" s="50"/>
    </row>
    <row r="826" spans="1:26" x14ac:dyDescent="0.2">
      <c r="C826" s="58"/>
      <c r="W826" s="50"/>
    </row>
    <row r="827" spans="1:26" x14ac:dyDescent="0.2">
      <c r="B827" s="48" t="s">
        <v>139</v>
      </c>
      <c r="C827" s="58"/>
      <c r="W827" s="50"/>
    </row>
    <row r="828" spans="1:26" x14ac:dyDescent="0.2">
      <c r="B828" s="48" t="s">
        <v>140</v>
      </c>
      <c r="C828" s="58"/>
      <c r="W828" s="50"/>
    </row>
    <row r="829" spans="1:26" x14ac:dyDescent="0.2">
      <c r="A829" s="60">
        <v>16</v>
      </c>
      <c r="B829" s="48" t="s">
        <v>141</v>
      </c>
      <c r="C829" s="51" t="s">
        <v>683</v>
      </c>
      <c r="D829" s="66">
        <f ca="1">SUM(F829:I829)+K829</f>
        <v>89278977.999999985</v>
      </c>
      <c r="F829" s="60">
        <f ca="1">INDEX(INDIRECT($C829),1,F$12+1)*$T829</f>
        <v>77455484.262884691</v>
      </c>
      <c r="H829" s="60">
        <f ca="1">INDEX(INDIRECT($C829),1,H$12+1)*$T829</f>
        <v>4095410.6387411822</v>
      </c>
      <c r="I829" s="60">
        <f ca="1">(L829+M829+N829)</f>
        <v>7728083.098374119</v>
      </c>
      <c r="L829" s="60">
        <f ca="1">INDEX(INDIRECT($C829),1,L$12+1)*$T829</f>
        <v>425.78195862202313</v>
      </c>
      <c r="M829" s="60"/>
      <c r="N829" s="60">
        <f ca="1">SUM(O829:Q829)</f>
        <v>7727657.3164154971</v>
      </c>
      <c r="O829" s="60">
        <f ca="1">INDEX(INDIRECT($C829),1,O$12+1)*$T829</f>
        <v>2522667.1611161698</v>
      </c>
      <c r="P829" s="60">
        <f ca="1">INDEX(INDIRECT($C829),1,P$12+1)*$T829</f>
        <v>5204990.1552993273</v>
      </c>
      <c r="Q829" s="60">
        <f ca="1">INDEX(INDIRECT($C829),1,Q$12+1)*$T829</f>
        <v>0</v>
      </c>
      <c r="T829" s="85">
        <f>'M&amp;S'!H22</f>
        <v>89278978</v>
      </c>
      <c r="U829" s="50"/>
      <c r="V829" s="50" t="s">
        <v>1058</v>
      </c>
      <c r="W829" s="50"/>
      <c r="X829" s="292">
        <f>'M&amp;S'!H19</f>
        <v>86500323.279999986</v>
      </c>
      <c r="Y829" s="84" t="s">
        <v>1541</v>
      </c>
      <c r="Z829" s="50" t="s">
        <v>784</v>
      </c>
    </row>
    <row r="830" spans="1:26" x14ac:dyDescent="0.2">
      <c r="B830" s="48" t="s">
        <v>142</v>
      </c>
      <c r="C830" s="58"/>
      <c r="T830" s="58"/>
      <c r="W830" s="50"/>
    </row>
    <row r="831" spans="1:26" x14ac:dyDescent="0.2">
      <c r="A831" s="60">
        <v>17</v>
      </c>
      <c r="B831" s="48" t="s">
        <v>143</v>
      </c>
      <c r="C831" s="51" t="s">
        <v>1046</v>
      </c>
      <c r="D831" s="66">
        <f t="shared" ref="D831:D837" ca="1" si="236">SUM(F831:I831)+K831</f>
        <v>24117434.159910001</v>
      </c>
      <c r="F831" s="60">
        <f ca="1">INDEX(INDIRECT($C831),1,F$12+1)*$T831</f>
        <v>20667010.516504548</v>
      </c>
      <c r="H831" s="60">
        <f ca="1">INDEX(INDIRECT($C831),1,H$12+1)*$T831</f>
        <v>1250935.3425559681</v>
      </c>
      <c r="I831" s="60">
        <f t="shared" ref="I831:I837" ca="1" si="237">(L831+M831+N831)</f>
        <v>2199488.3008494824</v>
      </c>
      <c r="L831" s="60">
        <f ca="1">INDEX(INDIRECT($C831),1,L$12+1)*$T831</f>
        <v>182.73293861005729</v>
      </c>
      <c r="M831" s="60"/>
      <c r="N831" s="60">
        <f t="shared" ref="N831:N837" ca="1" si="238">SUM(O831:Q831)</f>
        <v>2199305.5679108724</v>
      </c>
      <c r="O831" s="60">
        <f t="shared" ref="O831:Q835" ca="1" si="239">INDEX(INDIRECT($C831),1,O$12+1)*$T831</f>
        <v>686239.13856606698</v>
      </c>
      <c r="P831" s="60">
        <f t="shared" ca="1" si="239"/>
        <v>1513066.4293448054</v>
      </c>
      <c r="Q831" s="60">
        <f t="shared" ca="1" si="239"/>
        <v>0</v>
      </c>
      <c r="T831" s="85">
        <f>'M&amp;S'!D$22*'M&amp;S'!D35</f>
        <v>24117434.159910001</v>
      </c>
      <c r="U831" s="50"/>
      <c r="V831" s="50" t="s">
        <v>1058</v>
      </c>
      <c r="W831" s="50"/>
      <c r="X831" s="292">
        <f>'M&amp;S'!B35</f>
        <v>24609116.731468812</v>
      </c>
      <c r="Y831" s="84" t="s">
        <v>1541</v>
      </c>
      <c r="Z831" s="50" t="s">
        <v>784</v>
      </c>
    </row>
    <row r="832" spans="1:26" x14ac:dyDescent="0.2">
      <c r="A832" s="60">
        <v>18</v>
      </c>
      <c r="B832" s="48" t="s">
        <v>144</v>
      </c>
      <c r="C832" s="51" t="s">
        <v>1048</v>
      </c>
      <c r="D832" s="66">
        <f t="shared" ca="1" si="236"/>
        <v>3386564.8713800004</v>
      </c>
      <c r="F832" s="60">
        <f ca="1">INDEX(INDIRECT($C832),1,F$12+1)*$T832</f>
        <v>2717592.3545860951</v>
      </c>
      <c r="H832" s="60">
        <f ca="1">INDEX(INDIRECT($C832),1,H$12+1)*$T832</f>
        <v>389011.31734482636</v>
      </c>
      <c r="I832" s="60">
        <f t="shared" ca="1" si="237"/>
        <v>279961.19944907894</v>
      </c>
      <c r="L832" s="60">
        <f ca="1">INDEX(INDIRECT($C832),1,L$12+1)*$T832</f>
        <v>24.028324585269129</v>
      </c>
      <c r="M832" s="60"/>
      <c r="N832" s="60">
        <f t="shared" ca="1" si="238"/>
        <v>279937.17112449365</v>
      </c>
      <c r="O832" s="60">
        <f t="shared" ca="1" si="239"/>
        <v>87347.500032737284</v>
      </c>
      <c r="P832" s="60">
        <f t="shared" ca="1" si="239"/>
        <v>192589.67109175638</v>
      </c>
      <c r="Q832" s="60">
        <f t="shared" ca="1" si="239"/>
        <v>0</v>
      </c>
      <c r="T832" s="85">
        <f>'M&amp;S'!D$22*'M&amp;S'!D36</f>
        <v>3386564.8713800004</v>
      </c>
      <c r="U832" s="50"/>
      <c r="V832" s="50" t="s">
        <v>1058</v>
      </c>
      <c r="W832" s="50"/>
      <c r="X832" s="292">
        <f>'M&amp;S'!B36</f>
        <v>3455449.254149348</v>
      </c>
      <c r="Y832" s="84" t="s">
        <v>1541</v>
      </c>
      <c r="Z832" s="50" t="s">
        <v>784</v>
      </c>
    </row>
    <row r="833" spans="1:26" x14ac:dyDescent="0.2">
      <c r="A833" s="60">
        <v>19</v>
      </c>
      <c r="B833" s="48" t="s">
        <v>87</v>
      </c>
      <c r="C833" s="51" t="s">
        <v>1037</v>
      </c>
      <c r="D833" s="66">
        <f t="shared" ca="1" si="236"/>
        <v>6086545.8707999997</v>
      </c>
      <c r="F833" s="60">
        <f ca="1">INDEX(INDIRECT($C833),1,F$12+1)*$T833</f>
        <v>5726506.5035210308</v>
      </c>
      <c r="H833" s="60">
        <f ca="1">INDEX(INDIRECT($C833),1,H$12+1)*$T833</f>
        <v>341003.91497732833</v>
      </c>
      <c r="I833" s="60">
        <f t="shared" ca="1" si="237"/>
        <v>19035.452301641242</v>
      </c>
      <c r="L833" s="60">
        <f ca="1">INDEX(INDIRECT($C833),1,L$12+1)*$T833</f>
        <v>687.89786368506395</v>
      </c>
      <c r="M833" s="60"/>
      <c r="N833" s="60">
        <f t="shared" ca="1" si="238"/>
        <v>18347.55443795618</v>
      </c>
      <c r="O833" s="60">
        <f t="shared" ca="1" si="239"/>
        <v>15766.80929884664</v>
      </c>
      <c r="P833" s="60">
        <f t="shared" ca="1" si="239"/>
        <v>2580.745139109541</v>
      </c>
      <c r="Q833" s="60">
        <f t="shared" ca="1" si="239"/>
        <v>0</v>
      </c>
      <c r="T833" s="85">
        <f>'M&amp;S'!D$22*'M&amp;S'!D37</f>
        <v>6086545.8707999997</v>
      </c>
      <c r="U833" s="50"/>
      <c r="V833" s="50" t="s">
        <v>1058</v>
      </c>
      <c r="W833" s="50"/>
      <c r="X833" s="292">
        <f>'M&amp;S'!B37</f>
        <v>6210493.8243997507</v>
      </c>
      <c r="Y833" s="84" t="s">
        <v>1541</v>
      </c>
      <c r="Z833" s="50" t="s">
        <v>784</v>
      </c>
    </row>
    <row r="834" spans="1:26" x14ac:dyDescent="0.2">
      <c r="A834" s="60">
        <v>20</v>
      </c>
      <c r="B834" s="48" t="s">
        <v>153</v>
      </c>
      <c r="C834" s="51" t="s">
        <v>1041</v>
      </c>
      <c r="D834" s="66">
        <f t="shared" ca="1" si="236"/>
        <v>0</v>
      </c>
      <c r="F834" s="60">
        <f ca="1">INDEX(INDIRECT($C834),1,F$12+1)*$T834</f>
        <v>0</v>
      </c>
      <c r="H834" s="60">
        <f ca="1">INDEX(INDIRECT($C834),1,H$12+1)*$T834</f>
        <v>0</v>
      </c>
      <c r="I834" s="60">
        <f t="shared" ca="1" si="237"/>
        <v>0</v>
      </c>
      <c r="L834" s="60">
        <f ca="1">INDEX(INDIRECT($C834),1,L$12+1)*$T834</f>
        <v>0</v>
      </c>
      <c r="M834" s="60"/>
      <c r="N834" s="60">
        <f t="shared" ca="1" si="238"/>
        <v>0</v>
      </c>
      <c r="O834" s="60">
        <f t="shared" ca="1" si="239"/>
        <v>0</v>
      </c>
      <c r="P834" s="60">
        <f t="shared" ca="1" si="239"/>
        <v>0</v>
      </c>
      <c r="Q834" s="60">
        <f t="shared" ca="1" si="239"/>
        <v>0</v>
      </c>
      <c r="T834" s="85">
        <f>X834</f>
        <v>0</v>
      </c>
      <c r="U834" s="50"/>
      <c r="V834" s="50" t="s">
        <v>1058</v>
      </c>
      <c r="W834" s="50"/>
      <c r="X834" s="292">
        <v>0</v>
      </c>
      <c r="Y834" s="84" t="s">
        <v>1541</v>
      </c>
      <c r="Z834" s="50" t="s">
        <v>784</v>
      </c>
    </row>
    <row r="835" spans="1:26" x14ac:dyDescent="0.2">
      <c r="A835" s="60">
        <v>21</v>
      </c>
      <c r="B835" s="48" t="s">
        <v>154</v>
      </c>
      <c r="C835" s="56" t="s">
        <v>636</v>
      </c>
      <c r="D835" s="66">
        <f t="shared" ca="1" si="236"/>
        <v>9844414.0000000019</v>
      </c>
      <c r="F835" s="60">
        <f ca="1">INDEX(INDIRECT($C835),1,F$12+1)*$T835</f>
        <v>8531621.4285385814</v>
      </c>
      <c r="H835" s="60">
        <f ca="1">INDEX(INDIRECT($C835),1,H$12+1)*$T835</f>
        <v>580559.13143060904</v>
      </c>
      <c r="I835" s="60">
        <f t="shared" ca="1" si="237"/>
        <v>732233.44003081066</v>
      </c>
      <c r="L835" s="60">
        <f ca="1">INDEX(INDIRECT($C835),1,L$12+1)*$T835</f>
        <v>262.19862939291284</v>
      </c>
      <c r="M835" s="60"/>
      <c r="N835" s="60">
        <f t="shared" ca="1" si="238"/>
        <v>731971.24140141776</v>
      </c>
      <c r="O835" s="60">
        <f t="shared" ca="1" si="239"/>
        <v>231336.59058172684</v>
      </c>
      <c r="P835" s="60">
        <f t="shared" ca="1" si="239"/>
        <v>500634.65081969096</v>
      </c>
      <c r="Q835" s="60">
        <f t="shared" ca="1" si="239"/>
        <v>0</v>
      </c>
      <c r="T835" s="85">
        <f>'M&amp;S'!F22</f>
        <v>9844414</v>
      </c>
      <c r="U835" s="50"/>
      <c r="V835" s="50" t="s">
        <v>1058</v>
      </c>
      <c r="W835" s="50"/>
      <c r="X835" s="292">
        <f>'M&amp;S'!F18</f>
        <v>10204327.460000001</v>
      </c>
      <c r="Y835" s="84" t="s">
        <v>1541</v>
      </c>
      <c r="Z835" s="50" t="s">
        <v>784</v>
      </c>
    </row>
    <row r="836" spans="1:26" x14ac:dyDescent="0.2">
      <c r="A836" s="60">
        <v>22</v>
      </c>
      <c r="B836" s="48" t="s">
        <v>155</v>
      </c>
      <c r="C836" s="58"/>
      <c r="D836" s="66">
        <f t="shared" ca="1" si="236"/>
        <v>43434958.902090006</v>
      </c>
      <c r="F836" s="60">
        <f ca="1">SUM(F831:F835)</f>
        <v>37642730.803150259</v>
      </c>
      <c r="H836" s="60">
        <f ca="1">SUM(H831:H835)</f>
        <v>2561509.7063087318</v>
      </c>
      <c r="I836" s="60">
        <f t="shared" ca="1" si="237"/>
        <v>3230718.3926310134</v>
      </c>
      <c r="L836" s="60">
        <f ca="1">SUM(L831:L835)</f>
        <v>1156.8577562733033</v>
      </c>
      <c r="M836" s="60"/>
      <c r="N836" s="60">
        <f t="shared" ca="1" si="238"/>
        <v>3229561.5348747401</v>
      </c>
      <c r="O836" s="60">
        <f ca="1">SUM(O831:O835)</f>
        <v>1020690.0384793777</v>
      </c>
      <c r="P836" s="60">
        <f ca="1">SUM(P831:P835)</f>
        <v>2208871.4963953621</v>
      </c>
      <c r="Q836" s="60">
        <f ca="1">SUM(Q831:Q835)</f>
        <v>0</v>
      </c>
      <c r="W836" s="50"/>
      <c r="X836" s="168">
        <f>SUM(X831:X835)</f>
        <v>44479387.270017914</v>
      </c>
    </row>
    <row r="837" spans="1:26" x14ac:dyDescent="0.2">
      <c r="A837" s="60">
        <v>23</v>
      </c>
      <c r="B837" s="48" t="s">
        <v>156</v>
      </c>
      <c r="C837" s="58"/>
      <c r="D837" s="66">
        <f t="shared" ca="1" si="236"/>
        <v>132713936.90209</v>
      </c>
      <c r="F837" s="60">
        <f ca="1">F829+F836</f>
        <v>115098215.06603494</v>
      </c>
      <c r="H837" s="60">
        <f ca="1">H829+H836</f>
        <v>6656920.345049914</v>
      </c>
      <c r="I837" s="60">
        <f t="shared" ca="1" si="237"/>
        <v>10958801.491005132</v>
      </c>
      <c r="L837" s="60">
        <f ca="1">L829+L836</f>
        <v>1582.6397148953265</v>
      </c>
      <c r="M837" s="60"/>
      <c r="N837" s="60">
        <f t="shared" ca="1" si="238"/>
        <v>10957218.851290237</v>
      </c>
      <c r="O837" s="60">
        <f ca="1">O829+O836</f>
        <v>3543357.1995955473</v>
      </c>
      <c r="P837" s="60">
        <f ca="1">P829+P836</f>
        <v>7413861.6516946889</v>
      </c>
      <c r="Q837" s="60">
        <f ca="1">Q829+Q836</f>
        <v>0</v>
      </c>
      <c r="W837" s="50"/>
    </row>
    <row r="838" spans="1:26" x14ac:dyDescent="0.2">
      <c r="C838" s="58"/>
      <c r="W838" s="50"/>
    </row>
    <row r="839" spans="1:26" x14ac:dyDescent="0.2">
      <c r="B839" s="48" t="s">
        <v>157</v>
      </c>
      <c r="C839" s="58"/>
      <c r="W839" s="50"/>
    </row>
    <row r="840" spans="1:26" x14ac:dyDescent="0.2">
      <c r="A840" s="60">
        <v>24</v>
      </c>
      <c r="B840" s="70" t="s">
        <v>645</v>
      </c>
      <c r="C840" s="56" t="s">
        <v>1320</v>
      </c>
      <c r="D840" s="66">
        <f ca="1">SUM(F840:I840)+K840</f>
        <v>6284027.9999999991</v>
      </c>
      <c r="F840" s="60">
        <f ca="1">INDEX(INDIRECT($C840),1,F$12+1)*$T840</f>
        <v>5524818.8476915052</v>
      </c>
      <c r="H840" s="60">
        <f ca="1">INDEX(INDIRECT($C840),1,H$12+1)*$T840</f>
        <v>360096.60715444217</v>
      </c>
      <c r="I840" s="60">
        <f ca="1">(L840+M840+N840)</f>
        <v>399112.54515405226</v>
      </c>
      <c r="L840" s="60">
        <f ca="1">INDEX(INDIRECT($C840),1,L$12+1)*$T840</f>
        <v>195.76879170054093</v>
      </c>
      <c r="M840" s="60"/>
      <c r="N840" s="60">
        <f ca="1">SUM(O840:Q840)</f>
        <v>398916.77636235172</v>
      </c>
      <c r="O840" s="60">
        <f t="shared" ref="O840:Q841" ca="1" si="240">INDEX(INDIRECT($C840),1,O$12+1)*$T840</f>
        <v>127831.72843074553</v>
      </c>
      <c r="P840" s="60">
        <f t="shared" ca="1" si="240"/>
        <v>271085.04793160618</v>
      </c>
      <c r="Q840" s="60">
        <f t="shared" ca="1" si="240"/>
        <v>1.8334901919395626E-13</v>
      </c>
      <c r="T840" s="85">
        <f>'M&amp;S'!J22</f>
        <v>6284028</v>
      </c>
      <c r="U840" s="50"/>
      <c r="V840" s="50" t="s">
        <v>1058</v>
      </c>
      <c r="W840" s="50"/>
      <c r="X840" s="292">
        <f>'M&amp;S'!J18</f>
        <v>6333282.1100000003</v>
      </c>
      <c r="Y840" s="84" t="s">
        <v>1541</v>
      </c>
      <c r="Z840" s="50" t="s">
        <v>784</v>
      </c>
    </row>
    <row r="841" spans="1:26" x14ac:dyDescent="0.2">
      <c r="A841" s="60">
        <v>25</v>
      </c>
      <c r="B841" s="48" t="s">
        <v>158</v>
      </c>
      <c r="C841" s="56" t="s">
        <v>1409</v>
      </c>
      <c r="D841" s="66">
        <f ca="1">SUM(F841:I841)+K841</f>
        <v>1042648</v>
      </c>
      <c r="F841" s="60">
        <f ca="1">INDEX(INDIRECT($C841),1,F$12+1)*$T841</f>
        <v>1042648</v>
      </c>
      <c r="H841" s="60">
        <f ca="1">INDEX(INDIRECT($C841),1,H$12+1)*$T841</f>
        <v>0</v>
      </c>
      <c r="I841" s="60">
        <f ca="1">(L841+M841+N841)</f>
        <v>0</v>
      </c>
      <c r="L841" s="60">
        <f ca="1">INDEX(INDIRECT($C841),1,L$12+1)*$T841</f>
        <v>0</v>
      </c>
      <c r="M841" s="60"/>
      <c r="N841" s="60">
        <f ca="1">SUM(O841:Q841)</f>
        <v>0</v>
      </c>
      <c r="O841" s="60">
        <f t="shared" ca="1" si="240"/>
        <v>0</v>
      </c>
      <c r="P841" s="60">
        <f t="shared" ca="1" si="240"/>
        <v>0</v>
      </c>
      <c r="Q841" s="60">
        <f t="shared" ca="1" si="240"/>
        <v>0</v>
      </c>
      <c r="T841" s="85">
        <f>'M&amp;S'!P22</f>
        <v>1042648</v>
      </c>
      <c r="U841" s="50"/>
      <c r="V841" s="50" t="s">
        <v>1058</v>
      </c>
      <c r="W841" s="50"/>
      <c r="X841" s="292">
        <f>'M&amp;S'!P18</f>
        <v>672451.46</v>
      </c>
      <c r="Y841" s="84" t="s">
        <v>1541</v>
      </c>
      <c r="Z841" s="50" t="s">
        <v>784</v>
      </c>
    </row>
    <row r="842" spans="1:26" x14ac:dyDescent="0.2">
      <c r="A842" s="60">
        <v>26</v>
      </c>
      <c r="B842" s="48" t="s">
        <v>159</v>
      </c>
      <c r="C842" s="58"/>
      <c r="D842" s="66">
        <f ca="1">SUM(F842:I842)+K842</f>
        <v>7326675.9999999991</v>
      </c>
      <c r="F842" s="60">
        <f ca="1">F841+F840</f>
        <v>6567466.8476915052</v>
      </c>
      <c r="H842" s="60">
        <f ca="1">H841+H840</f>
        <v>360096.60715444217</v>
      </c>
      <c r="I842" s="60">
        <f ca="1">(L842+M842+N842)</f>
        <v>399112.54515405226</v>
      </c>
      <c r="L842" s="60">
        <f ca="1">L841+L840</f>
        <v>195.76879170054093</v>
      </c>
      <c r="M842" s="60"/>
      <c r="N842" s="60">
        <f ca="1">SUM(O842:Q842)</f>
        <v>398916.77636235172</v>
      </c>
      <c r="O842" s="60">
        <f ca="1">O841+O840</f>
        <v>127831.72843074553</v>
      </c>
      <c r="P842" s="60">
        <f ca="1">P841+P840</f>
        <v>271085.04793160618</v>
      </c>
      <c r="Q842" s="60">
        <f ca="1">Q841+Q840</f>
        <v>1.8334901919395626E-13</v>
      </c>
      <c r="W842" s="50"/>
      <c r="X842" s="50"/>
    </row>
    <row r="843" spans="1:26" x14ac:dyDescent="0.2">
      <c r="C843" s="58"/>
      <c r="W843" s="50"/>
    </row>
    <row r="844" spans="1:26" x14ac:dyDescent="0.2">
      <c r="A844" s="60">
        <v>27</v>
      </c>
      <c r="B844" s="48" t="s">
        <v>160</v>
      </c>
      <c r="D844" s="66">
        <f ca="1">SUM(F844:I844)+K844</f>
        <v>104067439.13621081</v>
      </c>
      <c r="F844" s="60">
        <f ca="1">(1/8)*(+F1105-F989)</f>
        <v>96090910.252275959</v>
      </c>
      <c r="H844" s="60">
        <v>0</v>
      </c>
      <c r="I844" s="60">
        <f ca="1">(L844+M844+N844)</f>
        <v>7976528.8839348536</v>
      </c>
      <c r="L844" s="60">
        <f ca="1">(1/8)*(+L1105-L989)</f>
        <v>1716.2047600187343</v>
      </c>
      <c r="M844" s="60"/>
      <c r="N844" s="60">
        <f ca="1">SUM(O844:Q844)</f>
        <v>7974812.6791748349</v>
      </c>
      <c r="O844" s="60">
        <f ca="1">(1/8)*(+O1105-O989)</f>
        <v>2592827.9473244175</v>
      </c>
      <c r="P844" s="60">
        <f ca="1">(1/8)*(+P1105-P989)</f>
        <v>5381984.7318504173</v>
      </c>
      <c r="Q844" s="60">
        <f ca="1">(1/8)*(+Q1105-Q989)</f>
        <v>6.1148525802722101E-13</v>
      </c>
      <c r="V844" s="84" t="s">
        <v>239</v>
      </c>
      <c r="W844" s="50"/>
    </row>
    <row r="845" spans="1:26" x14ac:dyDescent="0.2">
      <c r="C845" s="58"/>
      <c r="W845" s="50"/>
    </row>
    <row r="846" spans="1:26" x14ac:dyDescent="0.2">
      <c r="A846" s="60">
        <v>28</v>
      </c>
      <c r="B846" s="48" t="s">
        <v>161</v>
      </c>
      <c r="C846" s="58"/>
      <c r="D846" s="66">
        <f ca="1">SUM(F846:I846)+K846</f>
        <v>244108052.03830078</v>
      </c>
      <c r="F846" s="60">
        <f ca="1">F844+F842+F837</f>
        <v>217756592.16600239</v>
      </c>
      <c r="H846" s="60">
        <f ca="1">H844+H842+H837</f>
        <v>7017016.952204356</v>
      </c>
      <c r="I846" s="60">
        <f ca="1">(L846+M846+N846)</f>
        <v>19334442.920094036</v>
      </c>
      <c r="L846" s="60">
        <f ca="1">L844+L842+L837</f>
        <v>3494.6132666146018</v>
      </c>
      <c r="M846" s="60"/>
      <c r="N846" s="60">
        <f ca="1">SUM(O846:Q846)</f>
        <v>19330948.306827422</v>
      </c>
      <c r="O846" s="60">
        <f ca="1">O844+O842+O837</f>
        <v>6264016.87535071</v>
      </c>
      <c r="P846" s="60">
        <f ca="1">P844+P842+P837</f>
        <v>13066931.431476712</v>
      </c>
      <c r="Q846" s="60">
        <f ca="1">Q844+Q842+Q837</f>
        <v>7.9483427722117725E-13</v>
      </c>
      <c r="W846" s="50"/>
    </row>
    <row r="847" spans="1:26" x14ac:dyDescent="0.2">
      <c r="C847" s="58"/>
      <c r="W847" s="50"/>
    </row>
    <row r="848" spans="1:26" x14ac:dyDescent="0.2">
      <c r="A848" s="60">
        <v>29</v>
      </c>
      <c r="B848" s="48" t="s">
        <v>162</v>
      </c>
      <c r="C848" s="51" t="s">
        <v>614</v>
      </c>
      <c r="D848" s="66">
        <f ca="1">SUM(F848:I848)+K848</f>
        <v>480272</v>
      </c>
      <c r="F848" s="60">
        <f ca="1">INDEX(INDIRECT($C848),1,F$12+1)*$T848</f>
        <v>415670.69643548207</v>
      </c>
      <c r="H848" s="60">
        <f ca="1">INDEX(INDIRECT($C848),1,H$12+1)*$T848</f>
        <v>24411.106095953157</v>
      </c>
      <c r="I848" s="60">
        <f ca="1">(L848+M848+N848)</f>
        <v>40190.197468564773</v>
      </c>
      <c r="L848" s="60">
        <f ca="1">INDEX(INDIRECT($C848),1,L$12+1)*$T848</f>
        <v>3.6752643926457633</v>
      </c>
      <c r="M848" s="60"/>
      <c r="N848" s="60">
        <f ca="1">SUM(O848:Q848)</f>
        <v>40186.522204172128</v>
      </c>
      <c r="O848" s="60">
        <f ca="1">INDEX(INDIRECT($C848),1,O$12+1)*$T848</f>
        <v>12539.214551051777</v>
      </c>
      <c r="P848" s="60">
        <f ca="1">INDEX(INDIRECT($C848),1,P$12+1)*$T848</f>
        <v>27647.307653120348</v>
      </c>
      <c r="Q848" s="60">
        <f ca="1">INDEX(INDIRECT($C848),1,Q$12+1)*$T848</f>
        <v>0</v>
      </c>
      <c r="T848" s="292">
        <f>'M&amp;S'!L22</f>
        <v>480272</v>
      </c>
      <c r="U848" s="50"/>
      <c r="V848" s="50" t="s">
        <v>1058</v>
      </c>
      <c r="W848" s="50"/>
      <c r="X848" s="292">
        <f>'M&amp;S'!L18</f>
        <v>426062.63</v>
      </c>
      <c r="Y848" s="84" t="s">
        <v>1541</v>
      </c>
      <c r="Z848" s="50" t="s">
        <v>784</v>
      </c>
    </row>
    <row r="849" spans="1:25" x14ac:dyDescent="0.2">
      <c r="W849" s="50"/>
    </row>
    <row r="850" spans="1:25" x14ac:dyDescent="0.2">
      <c r="A850" s="60">
        <v>30</v>
      </c>
      <c r="B850" s="48" t="s">
        <v>163</v>
      </c>
      <c r="C850" s="58"/>
      <c r="D850" s="66">
        <f ca="1">SUM(F850:I850)+K850</f>
        <v>589826762.35830104</v>
      </c>
      <c r="F850" s="60">
        <f ca="1">F848+F846+F825</f>
        <v>517735262.83334851</v>
      </c>
      <c r="H850" s="60">
        <f ca="1">H848+H846+H825</f>
        <v>25581141.642599273</v>
      </c>
      <c r="I850" s="60">
        <f ca="1">(L850+M850+N850)</f>
        <v>46510357.882353283</v>
      </c>
      <c r="L850" s="60">
        <f ca="1">L848+L846+L825</f>
        <v>6277.2605011199494</v>
      </c>
      <c r="M850" s="60"/>
      <c r="N850" s="60">
        <f ca="1">SUM(O850:Q850)</f>
        <v>46504080.621852167</v>
      </c>
      <c r="O850" s="60">
        <f ca="1">O848+O846+O825</f>
        <v>14789860.147864008</v>
      </c>
      <c r="P850" s="60">
        <f ca="1">P848+P846+P825</f>
        <v>31714220.47398816</v>
      </c>
      <c r="Q850" s="60">
        <f ca="1">Q848+Q846+Q825</f>
        <v>1.665536244609932E-12</v>
      </c>
      <c r="W850" s="50"/>
    </row>
    <row r="851" spans="1:25" x14ac:dyDescent="0.2">
      <c r="C851" s="58"/>
      <c r="W851" s="50"/>
    </row>
    <row r="852" spans="1:25" x14ac:dyDescent="0.2">
      <c r="C852" s="58"/>
      <c r="W852" s="50"/>
    </row>
    <row r="853" spans="1:25" x14ac:dyDescent="0.2">
      <c r="B853" s="64" t="s">
        <v>164</v>
      </c>
      <c r="C853" s="58"/>
      <c r="W853" s="50"/>
    </row>
    <row r="854" spans="1:25" x14ac:dyDescent="0.2">
      <c r="C854" s="58"/>
      <c r="W854" s="50"/>
    </row>
    <row r="855" spans="1:25" x14ac:dyDescent="0.2">
      <c r="A855" s="58"/>
      <c r="B855" s="48" t="s">
        <v>165</v>
      </c>
      <c r="C855" s="58"/>
      <c r="W855" s="50"/>
    </row>
    <row r="856" spans="1:25" x14ac:dyDescent="0.2">
      <c r="A856" s="58"/>
      <c r="B856" s="48"/>
      <c r="C856" s="58"/>
      <c r="W856" s="50"/>
    </row>
    <row r="857" spans="1:25" x14ac:dyDescent="0.2">
      <c r="A857" s="58"/>
      <c r="B857" s="48" t="s">
        <v>110</v>
      </c>
      <c r="C857" s="58"/>
      <c r="W857" s="50"/>
    </row>
    <row r="858" spans="1:25" x14ac:dyDescent="0.2">
      <c r="A858" s="60">
        <v>1</v>
      </c>
      <c r="B858" s="48" t="s">
        <v>128</v>
      </c>
      <c r="C858" s="51" t="s">
        <v>1044</v>
      </c>
      <c r="D858" s="66">
        <f ca="1">SUM(F858:I858)+K858</f>
        <v>339799367</v>
      </c>
      <c r="F858" s="60">
        <f ca="1">INDEX(INDIRECT($C858),1,F$12+1)*$T858</f>
        <v>294093012.97853291</v>
      </c>
      <c r="H858" s="60">
        <f ca="1">INDEX(INDIRECT($C858),1,H$12+1)*$T858</f>
        <v>17271209.646147855</v>
      </c>
      <c r="I858" s="60">
        <f ca="1">(L858+M858+N858)</f>
        <v>28435144.375319213</v>
      </c>
      <c r="L858" s="60">
        <f ca="1">INDEX(INDIRECT($C858),1,L$12+1)*$T858</f>
        <v>2600.3025664179254</v>
      </c>
      <c r="M858" s="60"/>
      <c r="N858" s="60">
        <f ca="1">SUM(O858:Q858)</f>
        <v>28432544.072752796</v>
      </c>
      <c r="O858" s="60">
        <f t="shared" ref="O858:Q860" ca="1" si="241">INDEX(INDIRECT($C858),1,O$12+1)*$T858</f>
        <v>8871675.1489251554</v>
      </c>
      <c r="P858" s="60">
        <f t="shared" ca="1" si="241"/>
        <v>19560868.923827641</v>
      </c>
      <c r="Q858" s="60">
        <f t="shared" ca="1" si="241"/>
        <v>0</v>
      </c>
      <c r="T858" s="325">
        <v>339799367</v>
      </c>
      <c r="U858" s="90"/>
      <c r="V858" s="50" t="s">
        <v>456</v>
      </c>
      <c r="W858" s="50"/>
      <c r="X858" s="50"/>
      <c r="Y858" s="50"/>
    </row>
    <row r="859" spans="1:25" x14ac:dyDescent="0.2">
      <c r="A859" s="60">
        <v>2</v>
      </c>
      <c r="B859" s="48" t="s">
        <v>129</v>
      </c>
      <c r="C859" s="51" t="s">
        <v>616</v>
      </c>
      <c r="D859" s="66">
        <f ca="1">SUM(F859:I859)+K859</f>
        <v>1401506</v>
      </c>
      <c r="F859" s="60">
        <f ca="1">INDEX(INDIRECT($C859),1,F$12+1)*$T859</f>
        <v>0</v>
      </c>
      <c r="H859" s="60">
        <f ca="1">INDEX(INDIRECT($C859),1,H$12+1)*$T859</f>
        <v>529621.79201319953</v>
      </c>
      <c r="I859" s="60">
        <f ca="1">(L859+M859+N859)</f>
        <v>871884.20798680047</v>
      </c>
      <c r="L859" s="60">
        <f ca="1">INDEX(INDIRECT($C859),1,L$12+1)*$T859</f>
        <v>0</v>
      </c>
      <c r="M859" s="60"/>
      <c r="N859" s="60">
        <f ca="1">SUM(O859:Q859)</f>
        <v>871884.20798680047</v>
      </c>
      <c r="O859" s="60">
        <f t="shared" ca="1" si="241"/>
        <v>272049.99457468145</v>
      </c>
      <c r="P859" s="60">
        <f t="shared" ca="1" si="241"/>
        <v>599834.21341211896</v>
      </c>
      <c r="Q859" s="60">
        <f t="shared" ca="1" si="241"/>
        <v>0</v>
      </c>
      <c r="T859" s="325">
        <v>1401506</v>
      </c>
      <c r="U859" s="90"/>
      <c r="V859" s="50" t="s">
        <v>456</v>
      </c>
      <c r="W859" s="50"/>
      <c r="X859" s="50"/>
      <c r="Y859" s="50"/>
    </row>
    <row r="860" spans="1:25" x14ac:dyDescent="0.2">
      <c r="A860" s="60">
        <v>3</v>
      </c>
      <c r="B860" s="48" t="s">
        <v>130</v>
      </c>
      <c r="C860" s="51" t="s">
        <v>622</v>
      </c>
      <c r="D860" s="66">
        <f ca="1">SUM(F860:I860)+K860</f>
        <v>99539.999999999985</v>
      </c>
      <c r="F860" s="60">
        <f ca="1">INDEX(INDIRECT($C860),1,F$12+1)*$T860</f>
        <v>0</v>
      </c>
      <c r="H860" s="60">
        <f ca="1">INDEX(INDIRECT($C860),1,H$12+1)*$T860</f>
        <v>0</v>
      </c>
      <c r="I860" s="60">
        <f ca="1">(L860+M860+N860)</f>
        <v>99539.999999999985</v>
      </c>
      <c r="L860" s="60">
        <f ca="1">INDEX(INDIRECT($C860),1,L$12+1)*$T860</f>
        <v>0</v>
      </c>
      <c r="M860" s="60"/>
      <c r="N860" s="60">
        <f ca="1">SUM(O860:Q860)</f>
        <v>99539.999999999985</v>
      </c>
      <c r="O860" s="60">
        <f t="shared" ca="1" si="241"/>
        <v>31059.005555900327</v>
      </c>
      <c r="P860" s="60">
        <f t="shared" ca="1" si="241"/>
        <v>68480.994444099662</v>
      </c>
      <c r="Q860" s="60">
        <f t="shared" ca="1" si="241"/>
        <v>0</v>
      </c>
      <c r="T860" s="325">
        <v>99540</v>
      </c>
      <c r="U860" s="90"/>
      <c r="V860" s="50" t="s">
        <v>456</v>
      </c>
      <c r="W860" s="50"/>
      <c r="X860" s="50"/>
      <c r="Y860" s="50"/>
    </row>
    <row r="861" spans="1:25" x14ac:dyDescent="0.2">
      <c r="A861" s="60">
        <v>4</v>
      </c>
      <c r="B861" s="48" t="s">
        <v>131</v>
      </c>
      <c r="D861" s="66">
        <f ca="1">SUM(F861:I861)+K861</f>
        <v>341300413</v>
      </c>
      <c r="F861" s="60">
        <f ca="1">SUM(F858:F860)</f>
        <v>294093012.97853291</v>
      </c>
      <c r="H861" s="60">
        <f ca="1">SUM(H858:H860)</f>
        <v>17800831.438161053</v>
      </c>
      <c r="I861" s="60">
        <f ca="1">(L861+M861+N861)</f>
        <v>29406568.583306007</v>
      </c>
      <c r="L861" s="60">
        <f ca="1">SUM(L858:L860)</f>
        <v>2600.3025664179254</v>
      </c>
      <c r="M861" s="60"/>
      <c r="N861" s="60">
        <f ca="1">SUM(O861:Q861)</f>
        <v>29403968.280739591</v>
      </c>
      <c r="O861" s="60">
        <f ca="1">SUM(O858:O860)</f>
        <v>9174784.1490557361</v>
      </c>
      <c r="P861" s="60">
        <f ca="1">SUM(P858:P860)</f>
        <v>20229184.131683856</v>
      </c>
      <c r="Q861" s="60">
        <f ca="1">SUM(Q858:Q860)</f>
        <v>0</v>
      </c>
      <c r="W861" s="50"/>
    </row>
    <row r="862" spans="1:25" x14ac:dyDescent="0.2">
      <c r="W862" s="50"/>
    </row>
    <row r="863" spans="1:25" x14ac:dyDescent="0.2">
      <c r="B863" s="48" t="s">
        <v>121</v>
      </c>
      <c r="W863" s="50"/>
    </row>
    <row r="864" spans="1:25" x14ac:dyDescent="0.2">
      <c r="A864" s="60">
        <v>5</v>
      </c>
      <c r="B864" s="48" t="s">
        <v>82</v>
      </c>
      <c r="C864" s="51" t="s">
        <v>1031</v>
      </c>
      <c r="D864" s="66">
        <f t="shared" ref="D864:D869" ca="1" si="242">SUM(F864:I864)+K864</f>
        <v>38541449</v>
      </c>
      <c r="F864" s="60">
        <f ca="1">INDEX(INDIRECT($C864),1,F$12+1)*$T864</f>
        <v>33108751.49901101</v>
      </c>
      <c r="H864" s="60">
        <f ca="1">INDEX(INDIRECT($C864),1,H$12+1)*$T864</f>
        <v>2019204.5397035351</v>
      </c>
      <c r="I864" s="60">
        <f t="shared" ref="I864:I869" ca="1" si="243">(L864+M864+N864)</f>
        <v>3413492.9612854593</v>
      </c>
      <c r="L864" s="60">
        <f ca="1">INDEX(INDIRECT($C864),1,L$12+1)*$T864</f>
        <v>292.73994176820497</v>
      </c>
      <c r="M864" s="60"/>
      <c r="N864" s="60">
        <f t="shared" ref="N864:N869" ca="1" si="244">SUM(O864:Q864)</f>
        <v>3413200.221343691</v>
      </c>
      <c r="O864" s="60">
        <f t="shared" ref="O864:Q868" ca="1" si="245">INDEX(INDIRECT($C864),1,O$12+1)*$T864</f>
        <v>1065005.0697017671</v>
      </c>
      <c r="P864" s="60">
        <f t="shared" ca="1" si="245"/>
        <v>2348195.1516419239</v>
      </c>
      <c r="Q864" s="60">
        <f t="shared" ca="1" si="245"/>
        <v>0</v>
      </c>
      <c r="T864" s="325">
        <v>38541449</v>
      </c>
      <c r="U864" s="90"/>
      <c r="V864" s="50" t="s">
        <v>456</v>
      </c>
      <c r="W864" s="50"/>
      <c r="X864" s="50"/>
      <c r="Y864" s="50"/>
    </row>
    <row r="865" spans="1:25" x14ac:dyDescent="0.2">
      <c r="A865" s="60">
        <v>6</v>
      </c>
      <c r="B865" s="48" t="s">
        <v>83</v>
      </c>
      <c r="C865" s="51" t="s">
        <v>624</v>
      </c>
      <c r="D865" s="66">
        <f t="shared" ca="1" si="242"/>
        <v>425142</v>
      </c>
      <c r="F865" s="60">
        <f ca="1">INDEX(INDIRECT($C865),1,F$12+1)*$T865</f>
        <v>387660.08136940765</v>
      </c>
      <c r="H865" s="60">
        <f ca="1">INDEX(INDIRECT($C865),1,H$12+1)*$T865</f>
        <v>0</v>
      </c>
      <c r="I865" s="60">
        <f t="shared" ca="1" si="243"/>
        <v>37481.918630592321</v>
      </c>
      <c r="L865" s="60">
        <f ca="1">INDEX(INDIRECT($C865),1,L$12+1)*$T865</f>
        <v>3.4276009969547729</v>
      </c>
      <c r="M865" s="60"/>
      <c r="N865" s="60">
        <f t="shared" ca="1" si="244"/>
        <v>37478.491029595367</v>
      </c>
      <c r="O865" s="60">
        <f t="shared" ca="1" si="245"/>
        <v>11694.240115681767</v>
      </c>
      <c r="P865" s="60">
        <f t="shared" ca="1" si="245"/>
        <v>25784.250913913598</v>
      </c>
      <c r="Q865" s="60">
        <f t="shared" ca="1" si="245"/>
        <v>0</v>
      </c>
      <c r="T865" s="325">
        <v>425142</v>
      </c>
      <c r="U865" s="90"/>
      <c r="V865" s="50" t="s">
        <v>456</v>
      </c>
      <c r="W865" s="50"/>
      <c r="X865" s="50"/>
      <c r="Y865" s="50"/>
    </row>
    <row r="866" spans="1:25" x14ac:dyDescent="0.2">
      <c r="A866" s="60">
        <v>7</v>
      </c>
      <c r="B866" s="48" t="s">
        <v>752</v>
      </c>
      <c r="C866" s="51" t="s">
        <v>1033</v>
      </c>
      <c r="D866" s="66">
        <f t="shared" ca="1" si="242"/>
        <v>2733631</v>
      </c>
      <c r="F866" s="60">
        <f ca="1">INDEX(INDIRECT($C866),1,F$12+1)*$T866</f>
        <v>0</v>
      </c>
      <c r="H866" s="60">
        <f ca="1">INDEX(INDIRECT($C866),1,H$12+1)*$T866</f>
        <v>2733352.5074776816</v>
      </c>
      <c r="I866" s="60">
        <f t="shared" ca="1" si="243"/>
        <v>278.49252231846856</v>
      </c>
      <c r="L866" s="60">
        <f ca="1">INDEX(INDIRECT($C866),1,L$12+1)*$T866</f>
        <v>0</v>
      </c>
      <c r="M866" s="60"/>
      <c r="N866" s="60">
        <f t="shared" ca="1" si="244"/>
        <v>278.49252231846856</v>
      </c>
      <c r="O866" s="60">
        <f t="shared" ca="1" si="245"/>
        <v>86.896732951235776</v>
      </c>
      <c r="P866" s="60">
        <f t="shared" ca="1" si="245"/>
        <v>191.59578936723275</v>
      </c>
      <c r="Q866" s="60">
        <f t="shared" ca="1" si="245"/>
        <v>0</v>
      </c>
      <c r="T866" s="325">
        <v>2733631</v>
      </c>
      <c r="U866" s="90"/>
      <c r="V866" s="50" t="s">
        <v>456</v>
      </c>
      <c r="W866" s="50"/>
      <c r="X866" s="50"/>
      <c r="Y866" s="50"/>
    </row>
    <row r="867" spans="1:25" x14ac:dyDescent="0.2">
      <c r="A867" s="60">
        <v>8</v>
      </c>
      <c r="B867" s="48" t="s">
        <v>76</v>
      </c>
      <c r="C867" s="51" t="s">
        <v>631</v>
      </c>
      <c r="D867" s="66">
        <f t="shared" ca="1" si="242"/>
        <v>262968</v>
      </c>
      <c r="F867" s="60">
        <f ca="1">INDEX(INDIRECT($C867),1,F$12+1)*$T867</f>
        <v>0</v>
      </c>
      <c r="H867" s="60">
        <f ca="1">INDEX(INDIRECT($C867),1,H$12+1)*$T867</f>
        <v>99374.232719750798</v>
      </c>
      <c r="I867" s="60">
        <f t="shared" ca="1" si="243"/>
        <v>163593.76728024919</v>
      </c>
      <c r="L867" s="60">
        <f ca="1">INDEX(INDIRECT($C867),1,L$12+1)*$T867</f>
        <v>0</v>
      </c>
      <c r="M867" s="60"/>
      <c r="N867" s="60">
        <f t="shared" ca="1" si="244"/>
        <v>163593.76728024919</v>
      </c>
      <c r="O867" s="60">
        <f t="shared" ca="1" si="245"/>
        <v>51045.406136909027</v>
      </c>
      <c r="P867" s="60">
        <f t="shared" ca="1" si="245"/>
        <v>112548.36114334017</v>
      </c>
      <c r="Q867" s="60">
        <f t="shared" ca="1" si="245"/>
        <v>0</v>
      </c>
      <c r="T867" s="325">
        <v>262968</v>
      </c>
      <c r="U867" s="90"/>
      <c r="V867" s="50" t="s">
        <v>456</v>
      </c>
      <c r="W867" s="50"/>
      <c r="X867" s="50"/>
      <c r="Y867" s="50"/>
    </row>
    <row r="868" spans="1:25" x14ac:dyDescent="0.2">
      <c r="A868" s="60">
        <v>9</v>
      </c>
      <c r="B868" s="48" t="s">
        <v>77</v>
      </c>
      <c r="C868" s="51" t="s">
        <v>633</v>
      </c>
      <c r="D868" s="66">
        <f t="shared" ca="1" si="242"/>
        <v>7528</v>
      </c>
      <c r="F868" s="60">
        <f ca="1">INDEX(INDIRECT($C868),1,F$12+1)*$T868</f>
        <v>0</v>
      </c>
      <c r="H868" s="60">
        <f ca="1">INDEX(INDIRECT($C868),1,H$12+1)*$T868</f>
        <v>0</v>
      </c>
      <c r="I868" s="60">
        <f t="shared" ca="1" si="243"/>
        <v>7528</v>
      </c>
      <c r="L868" s="60">
        <f ca="1">INDEX(INDIRECT($C868),1,L$12+1)*$T868</f>
        <v>0</v>
      </c>
      <c r="M868" s="60"/>
      <c r="N868" s="60">
        <f t="shared" ca="1" si="244"/>
        <v>7528</v>
      </c>
      <c r="O868" s="60">
        <f t="shared" ca="1" si="245"/>
        <v>2348.9270024594903</v>
      </c>
      <c r="P868" s="60">
        <f t="shared" ca="1" si="245"/>
        <v>5179.0729975405093</v>
      </c>
      <c r="Q868" s="60">
        <f t="shared" ca="1" si="245"/>
        <v>0</v>
      </c>
      <c r="T868" s="325">
        <v>7528</v>
      </c>
      <c r="U868" s="90"/>
      <c r="V868" s="50" t="s">
        <v>456</v>
      </c>
      <c r="W868" s="50"/>
      <c r="X868" s="50"/>
      <c r="Y868" s="50"/>
    </row>
    <row r="869" spans="1:25" x14ac:dyDescent="0.2">
      <c r="A869" s="60">
        <v>10</v>
      </c>
      <c r="B869" s="48" t="s">
        <v>122</v>
      </c>
      <c r="D869" s="66">
        <f t="shared" ca="1" si="242"/>
        <v>41970718.000000007</v>
      </c>
      <c r="F869" s="60">
        <f ca="1">SUM(F864:F868)</f>
        <v>33496411.580380417</v>
      </c>
      <c r="H869" s="60">
        <f ca="1">SUM(H864:H868)</f>
        <v>4851931.2799009681</v>
      </c>
      <c r="I869" s="60">
        <f t="shared" ca="1" si="243"/>
        <v>3622375.1397186201</v>
      </c>
      <c r="L869" s="60">
        <f ca="1">SUM(L864:L868)</f>
        <v>296.16754276515974</v>
      </c>
      <c r="M869" s="60"/>
      <c r="N869" s="60">
        <f t="shared" ca="1" si="244"/>
        <v>3622078.9721758547</v>
      </c>
      <c r="O869" s="60">
        <f ca="1">SUM(O864:O868)</f>
        <v>1130180.5396897686</v>
      </c>
      <c r="P869" s="60">
        <f ca="1">SUM(P864:P868)</f>
        <v>2491898.4324860862</v>
      </c>
      <c r="Q869" s="60">
        <f ca="1">SUM(Q864:Q868)</f>
        <v>0</v>
      </c>
      <c r="W869" s="50"/>
    </row>
    <row r="870" spans="1:25" x14ac:dyDescent="0.2">
      <c r="W870" s="50"/>
    </row>
    <row r="871" spans="1:25" x14ac:dyDescent="0.2">
      <c r="A871" s="60">
        <v>11</v>
      </c>
      <c r="B871" s="48" t="s">
        <v>166</v>
      </c>
      <c r="C871" s="51" t="s">
        <v>676</v>
      </c>
      <c r="D871" s="66">
        <f ca="1">SUM(F871:I871)+K871</f>
        <v>5364985</v>
      </c>
      <c r="F871" s="60">
        <f ca="1">INDEX(INDIRECT($C871),1,F$12+1)*$T871</f>
        <v>0</v>
      </c>
      <c r="H871" s="60">
        <f ca="1">INDEX(INDIRECT($C871),1,H$12+1)*$T871</f>
        <v>5364985</v>
      </c>
      <c r="I871" s="60">
        <f ca="1">(L871+M871+N871)</f>
        <v>0</v>
      </c>
      <c r="L871" s="60">
        <f ca="1">INDEX(INDIRECT($C871),1,L$12+1)*$T871</f>
        <v>0</v>
      </c>
      <c r="M871" s="60"/>
      <c r="N871" s="60">
        <f ca="1">SUM(O871:Q871)</f>
        <v>0</v>
      </c>
      <c r="O871" s="60">
        <f t="shared" ref="O871:Q872" ca="1" si="246">INDEX(INDIRECT($C871),1,O$12+1)*$T871</f>
        <v>0</v>
      </c>
      <c r="P871" s="60">
        <f t="shared" ca="1" si="246"/>
        <v>0</v>
      </c>
      <c r="Q871" s="60">
        <f t="shared" ca="1" si="246"/>
        <v>0</v>
      </c>
      <c r="T871" s="325">
        <v>5364985</v>
      </c>
      <c r="U871" s="90"/>
      <c r="V871" s="50" t="s">
        <v>456</v>
      </c>
      <c r="W871" s="50"/>
      <c r="X871" s="50"/>
      <c r="Y871" s="50"/>
    </row>
    <row r="872" spans="1:25" x14ac:dyDescent="0.2">
      <c r="A872" s="60">
        <v>12</v>
      </c>
      <c r="B872" s="48" t="s">
        <v>167</v>
      </c>
      <c r="C872" s="51" t="s">
        <v>1169</v>
      </c>
      <c r="D872" s="66">
        <f ca="1">SUM(F872:I872)+K872</f>
        <v>103029906</v>
      </c>
      <c r="F872" s="60">
        <f ca="1">INDEX(INDIRECT($C872),1,F$12+1)*$T872</f>
        <v>102688559.46099892</v>
      </c>
      <c r="H872" s="60">
        <f ca="1">INDEX(INDIRECT($C872),1,H$12+1)*$T872</f>
        <v>0</v>
      </c>
      <c r="I872" s="60">
        <f ca="1">(L872+M872+N872)</f>
        <v>341346.53900108277</v>
      </c>
      <c r="L872" s="60">
        <f ca="1">INDEX(INDIRECT($C872),1,L$12+1)*$T872</f>
        <v>12335.485978176082</v>
      </c>
      <c r="M872" s="60"/>
      <c r="N872" s="60">
        <f ca="1">SUM(O872:Q872)</f>
        <v>329011.05302290671</v>
      </c>
      <c r="O872" s="60">
        <f t="shared" ca="1" si="246"/>
        <v>282732.75044729857</v>
      </c>
      <c r="P872" s="60">
        <f t="shared" ca="1" si="246"/>
        <v>46278.302575608133</v>
      </c>
      <c r="Q872" s="60">
        <f t="shared" ca="1" si="246"/>
        <v>0</v>
      </c>
      <c r="T872" s="325">
        <v>103029906</v>
      </c>
      <c r="U872" s="90"/>
      <c r="V872" s="50" t="s">
        <v>456</v>
      </c>
      <c r="W872" s="50"/>
      <c r="X872" s="50"/>
      <c r="Y872" s="50"/>
    </row>
    <row r="873" spans="1:25" x14ac:dyDescent="0.2">
      <c r="A873" s="60">
        <v>13</v>
      </c>
      <c r="B873" s="48" t="s">
        <v>123</v>
      </c>
      <c r="D873" s="66">
        <f ca="1">SUM(F873:I873)+K873</f>
        <v>108394891</v>
      </c>
      <c r="F873" s="60">
        <f ca="1">SUM(F871:F872)</f>
        <v>102688559.46099892</v>
      </c>
      <c r="H873" s="60">
        <f ca="1">SUM(H871:H872)</f>
        <v>5364985</v>
      </c>
      <c r="I873" s="60">
        <f ca="1">(L873+M873+N873)</f>
        <v>341346.53900108277</v>
      </c>
      <c r="L873" s="60">
        <f ca="1">SUM(L871:L872)</f>
        <v>12335.485978176082</v>
      </c>
      <c r="M873" s="60"/>
      <c r="N873" s="60">
        <f ca="1">SUM(O873:Q873)</f>
        <v>329011.05302290671</v>
      </c>
      <c r="O873" s="60">
        <f ca="1">SUM(O871:O872)</f>
        <v>282732.75044729857</v>
      </c>
      <c r="P873" s="60">
        <f ca="1">SUM(P871:P872)</f>
        <v>46278.302575608133</v>
      </c>
      <c r="Q873" s="60">
        <f ca="1">SUM(Q871:Q872)</f>
        <v>0</v>
      </c>
      <c r="W873" s="50"/>
    </row>
    <row r="874" spans="1:25" x14ac:dyDescent="0.2">
      <c r="W874" s="50"/>
    </row>
    <row r="875" spans="1:25" x14ac:dyDescent="0.2">
      <c r="A875" s="60">
        <v>14</v>
      </c>
      <c r="B875" s="48" t="s">
        <v>137</v>
      </c>
      <c r="C875" s="51" t="s">
        <v>1041</v>
      </c>
      <c r="D875" s="66">
        <f ca="1">SUM(F875:I875)+K875</f>
        <v>10530465</v>
      </c>
      <c r="F875" s="60">
        <f ca="1">INDEX(INDIRECT($C875),1,F$12+1)*$T875</f>
        <v>9365572.5991982259</v>
      </c>
      <c r="H875" s="60">
        <f ca="1">INDEX(INDIRECT($C875),1,H$12+1)*$T875</f>
        <v>576995.62064488372</v>
      </c>
      <c r="I875" s="60">
        <f ca="1">(L875+M875+N875)</f>
        <v>587896.78015688993</v>
      </c>
      <c r="L875" s="60">
        <f ca="1">INDEX(INDIRECT($C875),1,L$12+1)*$T875</f>
        <v>323.27085721477977</v>
      </c>
      <c r="M875" s="60"/>
      <c r="N875" s="60">
        <f ca="1">SUM(O875:Q875)</f>
        <v>587573.50929967512</v>
      </c>
      <c r="O875" s="60">
        <f ca="1">INDEX(INDIRECT($C875),1,O$12+1)*$T875</f>
        <v>190880.63650738556</v>
      </c>
      <c r="P875" s="60">
        <f ca="1">INDEX(INDIRECT($C875),1,P$12+1)*$T875</f>
        <v>396692.87279228953</v>
      </c>
      <c r="Q875" s="60">
        <f ca="1">INDEX(INDIRECT($C875),1,Q$12+1)*$T875</f>
        <v>6.5897646045559955E-13</v>
      </c>
      <c r="T875" s="325">
        <v>10530465</v>
      </c>
      <c r="U875" s="90"/>
      <c r="V875" s="50" t="s">
        <v>456</v>
      </c>
      <c r="W875" s="50"/>
      <c r="X875" s="50"/>
      <c r="Y875" s="50"/>
    </row>
    <row r="876" spans="1:25" x14ac:dyDescent="0.2">
      <c r="W876" s="50"/>
    </row>
    <row r="877" spans="1:25" x14ac:dyDescent="0.2">
      <c r="A877" s="60">
        <v>15</v>
      </c>
      <c r="B877" s="48" t="s">
        <v>168</v>
      </c>
      <c r="C877" s="58"/>
      <c r="D877" s="66">
        <f ca="1">SUM(F877:I877)+K877</f>
        <v>502196487</v>
      </c>
      <c r="F877" s="60">
        <f ca="1">F861+F869+F873+F875</f>
        <v>439643556.61911047</v>
      </c>
      <c r="H877" s="60">
        <f ca="1">H861+H869+H873+H875</f>
        <v>28594743.338706903</v>
      </c>
      <c r="I877" s="60">
        <f ca="1">(L877+M877+N877)</f>
        <v>33958187.042182602</v>
      </c>
      <c r="L877" s="60">
        <f ca="1">L861+L869+L873+L875</f>
        <v>15555.226944573948</v>
      </c>
      <c r="M877" s="60"/>
      <c r="N877" s="60">
        <f ca="1">SUM(O877:Q877)</f>
        <v>33942631.815238029</v>
      </c>
      <c r="O877" s="60">
        <f ca="1">O861+O869+O873+O875</f>
        <v>10778578.07570019</v>
      </c>
      <c r="P877" s="60">
        <f ca="1">P861+P869+P873+P875</f>
        <v>23164053.739537839</v>
      </c>
      <c r="Q877" s="60">
        <f ca="1">Q861+Q869+Q873+Q875</f>
        <v>6.5897646045559955E-13</v>
      </c>
      <c r="T877" s="58"/>
      <c r="W877" s="50"/>
    </row>
    <row r="878" spans="1:25" x14ac:dyDescent="0.2">
      <c r="A878" s="58"/>
      <c r="B878" s="58"/>
      <c r="C878" s="58"/>
      <c r="W878" s="50"/>
    </row>
    <row r="879" spans="1:25" x14ac:dyDescent="0.2">
      <c r="A879" s="58"/>
      <c r="B879" s="48" t="s">
        <v>169</v>
      </c>
      <c r="C879" s="58"/>
      <c r="W879" s="50"/>
    </row>
    <row r="880" spans="1:25" x14ac:dyDescent="0.2">
      <c r="A880" s="60">
        <v>16</v>
      </c>
      <c r="B880" s="48" t="s">
        <v>170</v>
      </c>
      <c r="C880" s="51" t="s">
        <v>1046</v>
      </c>
      <c r="D880" s="66">
        <f t="shared" ref="D880:D886" ca="1" si="247">SUM(F880:I880)+K880</f>
        <v>100707740</v>
      </c>
      <c r="F880" s="60">
        <f t="shared" ref="F880:F885" ca="1" si="248">INDEX(INDIRECT($C880),1,F$12+1)*$T880</f>
        <v>86299724.418162271</v>
      </c>
      <c r="H880" s="60">
        <f t="shared" ref="H880:H885" ca="1" si="249">INDEX(INDIRECT($C880),1,H$12+1)*$T880</f>
        <v>5223560.284217543</v>
      </c>
      <c r="I880" s="60">
        <f t="shared" ref="I880:I886" ca="1" si="250">(L880+M880+N880)</f>
        <v>9184455.2976201847</v>
      </c>
      <c r="L880" s="60">
        <f t="shared" ref="L880:L885" ca="1" si="251">INDEX(INDIRECT($C880),1,L$12+1)*$T880</f>
        <v>763.04225188133717</v>
      </c>
      <c r="M880" s="60"/>
      <c r="N880" s="60">
        <f t="shared" ref="N880:N886" ca="1" si="252">SUM(O880:Q880)</f>
        <v>9183692.2553683035</v>
      </c>
      <c r="O880" s="60">
        <f t="shared" ref="O880:Q885" ca="1" si="253">INDEX(INDIRECT($C880),1,O$12+1)*$T880</f>
        <v>2865544.9948077453</v>
      </c>
      <c r="P880" s="60">
        <f t="shared" ca="1" si="253"/>
        <v>6318147.2605605591</v>
      </c>
      <c r="Q880" s="60">
        <f t="shared" ca="1" si="253"/>
        <v>0</v>
      </c>
      <c r="T880" s="325">
        <v>100707740</v>
      </c>
      <c r="U880" s="90"/>
      <c r="V880" s="50" t="s">
        <v>456</v>
      </c>
      <c r="W880" s="50"/>
      <c r="X880" s="50"/>
      <c r="Y880" s="50"/>
    </row>
    <row r="881" spans="1:25" x14ac:dyDescent="0.2">
      <c r="A881" s="60">
        <v>17</v>
      </c>
      <c r="B881" s="48" t="s">
        <v>171</v>
      </c>
      <c r="C881" s="51" t="s">
        <v>1070</v>
      </c>
      <c r="D881" s="66">
        <f t="shared" ca="1" si="247"/>
        <v>0</v>
      </c>
      <c r="F881" s="60">
        <f t="shared" ca="1" si="248"/>
        <v>0</v>
      </c>
      <c r="H881" s="60">
        <f t="shared" ca="1" si="249"/>
        <v>0</v>
      </c>
      <c r="I881" s="60">
        <f t="shared" ca="1" si="250"/>
        <v>0</v>
      </c>
      <c r="L881" s="60">
        <f t="shared" ca="1" si="251"/>
        <v>0</v>
      </c>
      <c r="M881" s="60"/>
      <c r="N881" s="60">
        <f t="shared" ca="1" si="252"/>
        <v>0</v>
      </c>
      <c r="O881" s="60">
        <f t="shared" ca="1" si="253"/>
        <v>0</v>
      </c>
      <c r="P881" s="60">
        <f t="shared" ca="1" si="253"/>
        <v>0</v>
      </c>
      <c r="Q881" s="60">
        <f t="shared" ca="1" si="253"/>
        <v>0</v>
      </c>
      <c r="T881" s="325">
        <v>0</v>
      </c>
      <c r="U881" s="90"/>
      <c r="V881" s="50" t="s">
        <v>456</v>
      </c>
      <c r="W881" s="50"/>
      <c r="X881" s="50"/>
      <c r="Y881" s="50"/>
    </row>
    <row r="882" spans="1:25" x14ac:dyDescent="0.2">
      <c r="A882" s="60">
        <v>18</v>
      </c>
      <c r="B882" s="70" t="s">
        <v>63</v>
      </c>
      <c r="C882" s="51" t="s">
        <v>1072</v>
      </c>
      <c r="D882" s="66">
        <f t="shared" ca="1" si="247"/>
        <v>0</v>
      </c>
      <c r="F882" s="60">
        <f t="shared" ca="1" si="248"/>
        <v>0</v>
      </c>
      <c r="H882" s="60">
        <f t="shared" ca="1" si="249"/>
        <v>0</v>
      </c>
      <c r="I882" s="60">
        <f t="shared" ca="1" si="250"/>
        <v>0</v>
      </c>
      <c r="L882" s="60">
        <f t="shared" ca="1" si="251"/>
        <v>0</v>
      </c>
      <c r="M882" s="60"/>
      <c r="N882" s="60">
        <f t="shared" ca="1" si="252"/>
        <v>0</v>
      </c>
      <c r="O882" s="60">
        <f t="shared" ca="1" si="253"/>
        <v>0</v>
      </c>
      <c r="P882" s="60">
        <f t="shared" ca="1" si="253"/>
        <v>0</v>
      </c>
      <c r="Q882" s="60">
        <f t="shared" ca="1" si="253"/>
        <v>0</v>
      </c>
      <c r="T882" s="325">
        <v>0</v>
      </c>
      <c r="U882" s="90"/>
      <c r="V882" s="50" t="s">
        <v>456</v>
      </c>
      <c r="W882" s="50"/>
      <c r="X882" s="50"/>
      <c r="Y882" s="50"/>
    </row>
    <row r="883" spans="1:25" x14ac:dyDescent="0.2">
      <c r="A883" s="60">
        <v>18</v>
      </c>
      <c r="B883" s="48" t="s">
        <v>173</v>
      </c>
      <c r="C883" s="51" t="s">
        <v>678</v>
      </c>
      <c r="D883" s="66">
        <f t="shared" ca="1" si="247"/>
        <v>0</v>
      </c>
      <c r="F883" s="60">
        <f t="shared" ca="1" si="248"/>
        <v>0</v>
      </c>
      <c r="H883" s="60">
        <f t="shared" ca="1" si="249"/>
        <v>0</v>
      </c>
      <c r="I883" s="60">
        <f t="shared" ca="1" si="250"/>
        <v>0</v>
      </c>
      <c r="L883" s="60">
        <f t="shared" ca="1" si="251"/>
        <v>0</v>
      </c>
      <c r="M883" s="60"/>
      <c r="N883" s="60">
        <f t="shared" ca="1" si="252"/>
        <v>0</v>
      </c>
      <c r="O883" s="60">
        <f t="shared" ca="1" si="253"/>
        <v>0</v>
      </c>
      <c r="P883" s="60">
        <f t="shared" ca="1" si="253"/>
        <v>0</v>
      </c>
      <c r="Q883" s="60">
        <f t="shared" ca="1" si="253"/>
        <v>0</v>
      </c>
      <c r="T883" s="325">
        <v>0</v>
      </c>
      <c r="U883" s="90"/>
      <c r="V883" s="50" t="s">
        <v>456</v>
      </c>
      <c r="W883" s="50"/>
      <c r="X883" s="50"/>
      <c r="Y883" s="50"/>
    </row>
    <row r="884" spans="1:25" x14ac:dyDescent="0.2">
      <c r="A884" s="60">
        <v>20</v>
      </c>
      <c r="B884" s="48" t="s">
        <v>174</v>
      </c>
      <c r="C884" s="51" t="s">
        <v>1169</v>
      </c>
      <c r="D884" s="66">
        <f t="shared" ca="1" si="247"/>
        <v>0</v>
      </c>
      <c r="F884" s="60">
        <f t="shared" ca="1" si="248"/>
        <v>0</v>
      </c>
      <c r="H884" s="60">
        <f t="shared" ca="1" si="249"/>
        <v>0</v>
      </c>
      <c r="I884" s="60">
        <f t="shared" ca="1" si="250"/>
        <v>0</v>
      </c>
      <c r="L884" s="60">
        <f t="shared" ca="1" si="251"/>
        <v>0</v>
      </c>
      <c r="M884" s="60"/>
      <c r="N884" s="60">
        <f t="shared" ca="1" si="252"/>
        <v>0</v>
      </c>
      <c r="O884" s="60">
        <f t="shared" ca="1" si="253"/>
        <v>0</v>
      </c>
      <c r="P884" s="60">
        <f t="shared" ca="1" si="253"/>
        <v>0</v>
      </c>
      <c r="Q884" s="60">
        <f t="shared" ca="1" si="253"/>
        <v>0</v>
      </c>
      <c r="T884" s="325">
        <v>0</v>
      </c>
      <c r="U884" s="90"/>
      <c r="V884" s="50" t="s">
        <v>456</v>
      </c>
      <c r="W884" s="50"/>
      <c r="X884" s="50"/>
      <c r="Y884" s="50"/>
    </row>
    <row r="885" spans="1:25" x14ac:dyDescent="0.2">
      <c r="A885" s="60">
        <v>21</v>
      </c>
      <c r="B885" s="48" t="s">
        <v>175</v>
      </c>
      <c r="C885" s="51" t="s">
        <v>1041</v>
      </c>
      <c r="D885" s="66">
        <f t="shared" ca="1" si="247"/>
        <v>0</v>
      </c>
      <c r="F885" s="60">
        <f t="shared" ca="1" si="248"/>
        <v>0</v>
      </c>
      <c r="H885" s="60">
        <f t="shared" ca="1" si="249"/>
        <v>0</v>
      </c>
      <c r="I885" s="60">
        <f t="shared" ca="1" si="250"/>
        <v>0</v>
      </c>
      <c r="L885" s="60">
        <f t="shared" ca="1" si="251"/>
        <v>0</v>
      </c>
      <c r="M885" s="60"/>
      <c r="N885" s="60">
        <f t="shared" ca="1" si="252"/>
        <v>0</v>
      </c>
      <c r="O885" s="60">
        <f t="shared" ca="1" si="253"/>
        <v>0</v>
      </c>
      <c r="P885" s="60">
        <f t="shared" ca="1" si="253"/>
        <v>0</v>
      </c>
      <c r="Q885" s="60">
        <f t="shared" ca="1" si="253"/>
        <v>0</v>
      </c>
      <c r="T885" s="325">
        <v>0</v>
      </c>
      <c r="U885" s="90"/>
      <c r="V885" s="50" t="s">
        <v>456</v>
      </c>
      <c r="W885" s="50"/>
      <c r="X885" s="50"/>
      <c r="Y885" s="50"/>
    </row>
    <row r="886" spans="1:25" x14ac:dyDescent="0.2">
      <c r="A886" s="60">
        <v>22</v>
      </c>
      <c r="B886" s="48" t="s">
        <v>176</v>
      </c>
      <c r="C886" s="58"/>
      <c r="D886" s="66">
        <f t="shared" ca="1" si="247"/>
        <v>100707740</v>
      </c>
      <c r="F886" s="60">
        <f ca="1">SUM(F880:F885)</f>
        <v>86299724.418162271</v>
      </c>
      <c r="H886" s="60">
        <f ca="1">SUM(H880:H885)</f>
        <v>5223560.284217543</v>
      </c>
      <c r="I886" s="60">
        <f t="shared" ca="1" si="250"/>
        <v>9184455.2976201847</v>
      </c>
      <c r="L886" s="60">
        <f ca="1">SUM(L880:L885)</f>
        <v>763.04225188133717</v>
      </c>
      <c r="M886" s="60"/>
      <c r="N886" s="60">
        <f t="shared" ca="1" si="252"/>
        <v>9183692.2553683035</v>
      </c>
      <c r="O886" s="60">
        <f ca="1">SUM(O880:O885)</f>
        <v>2865544.9948077453</v>
      </c>
      <c r="P886" s="60">
        <f ca="1">SUM(P880:P885)</f>
        <v>6318147.2605605591</v>
      </c>
      <c r="Q886" s="60">
        <f ca="1">SUM(Q880:Q885)</f>
        <v>0</v>
      </c>
      <c r="T886" s="58"/>
      <c r="W886" s="50"/>
    </row>
    <row r="887" spans="1:25" x14ac:dyDescent="0.2">
      <c r="C887" s="58"/>
      <c r="W887" s="50"/>
    </row>
    <row r="888" spans="1:25" x14ac:dyDescent="0.2">
      <c r="A888" s="60">
        <v>23</v>
      </c>
      <c r="B888" s="48" t="s">
        <v>696</v>
      </c>
      <c r="C888" s="51" t="s">
        <v>697</v>
      </c>
      <c r="D888" s="66">
        <f ca="1">SUM(F888:I888)+K888</f>
        <v>3147887.16</v>
      </c>
      <c r="F888" s="60">
        <f ca="1">INDEX(INDIRECT($C888),1,F$12+1)*$T888</f>
        <v>2936188.7806725097</v>
      </c>
      <c r="H888" s="60">
        <f ca="1">INDEX(INDIRECT($C888),1,H$12+1)*$T888</f>
        <v>211698.37932749046</v>
      </c>
      <c r="I888" s="60">
        <f ca="1">(L888+M888+N888)</f>
        <v>0</v>
      </c>
      <c r="L888" s="60">
        <f ca="1">INDEX(INDIRECT($C888),1,L$12+1)*$T888</f>
        <v>0</v>
      </c>
      <c r="M888" s="60"/>
      <c r="N888" s="60">
        <f ca="1">SUM(O888:Q888)</f>
        <v>0</v>
      </c>
      <c r="O888" s="60">
        <f t="shared" ref="O888:Q890" ca="1" si="254">INDEX(INDIRECT($C888),1,O$12+1)*$T888</f>
        <v>0</v>
      </c>
      <c r="P888" s="60">
        <f t="shared" ca="1" si="254"/>
        <v>0</v>
      </c>
      <c r="Q888" s="60">
        <f t="shared" ca="1" si="254"/>
        <v>0</v>
      </c>
      <c r="T888" s="325">
        <v>3147887.16</v>
      </c>
      <c r="U888" s="50"/>
      <c r="V888" s="50" t="s">
        <v>455</v>
      </c>
      <c r="W888" s="50"/>
      <c r="X888" s="50"/>
      <c r="Y888" s="50"/>
    </row>
    <row r="889" spans="1:25" x14ac:dyDescent="0.2">
      <c r="A889" s="60">
        <v>24</v>
      </c>
      <c r="B889" s="70" t="s">
        <v>69</v>
      </c>
      <c r="C889" s="51" t="s">
        <v>699</v>
      </c>
      <c r="D889" s="66">
        <f>T889</f>
        <v>23057677.960000001</v>
      </c>
      <c r="F889" s="60">
        <v>0</v>
      </c>
      <c r="H889" s="60">
        <f ca="1">INDEX(INDIRECT($C889),1,H$12+1)*$T889</f>
        <v>525361.27</v>
      </c>
      <c r="I889" s="60">
        <f ca="1">(L889+M889+N889)</f>
        <v>0</v>
      </c>
      <c r="L889" s="60">
        <f ca="1">INDEX(INDIRECT($C889),1,L$12+1)*$T889</f>
        <v>0</v>
      </c>
      <c r="M889" s="60"/>
      <c r="N889" s="60">
        <f ca="1">SUM(O889:Q889)</f>
        <v>0</v>
      </c>
      <c r="O889" s="60">
        <f t="shared" ca="1" si="254"/>
        <v>0</v>
      </c>
      <c r="P889" s="60">
        <f t="shared" ca="1" si="254"/>
        <v>0</v>
      </c>
      <c r="Q889" s="60">
        <f t="shared" ca="1" si="254"/>
        <v>0</v>
      </c>
      <c r="T889" s="325">
        <v>23057677.960000001</v>
      </c>
      <c r="U889" s="50"/>
      <c r="V889" s="50" t="s">
        <v>755</v>
      </c>
      <c r="W889" s="50"/>
      <c r="X889" s="50"/>
      <c r="Y889" s="50"/>
    </row>
    <row r="890" spans="1:25" x14ac:dyDescent="0.2">
      <c r="A890" s="60">
        <v>25</v>
      </c>
      <c r="B890" s="48" t="s">
        <v>753</v>
      </c>
      <c r="C890" s="51" t="s">
        <v>744</v>
      </c>
      <c r="D890" s="66">
        <f ca="1">SUM(F890:I890)+K890</f>
        <v>-2824747</v>
      </c>
      <c r="F890" s="60">
        <f ca="1">INDEX(INDIRECT($C890),1,F$12+1)*$T890</f>
        <v>0</v>
      </c>
      <c r="H890" s="60">
        <f ca="1">INDEX(INDIRECT($C890),1,H$12+1)*$T890</f>
        <v>-2824747</v>
      </c>
      <c r="I890" s="60">
        <f ca="1">(L890+M890+N890)</f>
        <v>0</v>
      </c>
      <c r="L890" s="60">
        <f ca="1">INDEX(INDIRECT($C890),1,L$12+1)*$T890</f>
        <v>0</v>
      </c>
      <c r="M890" s="60"/>
      <c r="N890" s="60">
        <f ca="1">SUM(O890:Q890)</f>
        <v>0</v>
      </c>
      <c r="O890" s="60">
        <f t="shared" ca="1" si="254"/>
        <v>0</v>
      </c>
      <c r="P890" s="60">
        <f t="shared" ca="1" si="254"/>
        <v>0</v>
      </c>
      <c r="Q890" s="60">
        <f t="shared" ca="1" si="254"/>
        <v>0</v>
      </c>
      <c r="T890" s="325">
        <v>-2824747</v>
      </c>
      <c r="U890" s="50"/>
      <c r="V890" s="50" t="s">
        <v>214</v>
      </c>
      <c r="W890" s="50"/>
      <c r="X890" s="50"/>
      <c r="Y890" s="50"/>
    </row>
    <row r="891" spans="1:25" x14ac:dyDescent="0.2">
      <c r="A891" s="60">
        <v>26</v>
      </c>
      <c r="B891" s="70" t="s">
        <v>68</v>
      </c>
      <c r="C891" s="51" t="s">
        <v>730</v>
      </c>
      <c r="D891" s="66">
        <f>T891</f>
        <v>59597737.969999999</v>
      </c>
      <c r="F891" s="60">
        <v>0</v>
      </c>
      <c r="H891" s="60">
        <f ca="1">INDEX(INDIRECT($C891),1,H$12+1)*$T891</f>
        <v>3265538.018409566</v>
      </c>
      <c r="I891" s="60">
        <f>(L891+M891+N891)</f>
        <v>0</v>
      </c>
      <c r="L891" s="60">
        <v>0</v>
      </c>
      <c r="M891" s="60"/>
      <c r="N891" s="60">
        <f>SUM(O891:Q891)</f>
        <v>0</v>
      </c>
      <c r="O891" s="60">
        <v>0</v>
      </c>
      <c r="P891" s="60">
        <v>0</v>
      </c>
      <c r="Q891" s="66">
        <v>0</v>
      </c>
      <c r="T891" s="325">
        <v>59597737.969999999</v>
      </c>
      <c r="U891" s="50"/>
      <c r="V891" s="84" t="s">
        <v>294</v>
      </c>
      <c r="W891" s="50"/>
      <c r="X891" s="50"/>
      <c r="Y891" s="50"/>
    </row>
    <row r="892" spans="1:25" x14ac:dyDescent="0.2">
      <c r="A892" s="60">
        <v>27</v>
      </c>
      <c r="B892" s="48" t="s">
        <v>177</v>
      </c>
      <c r="C892" s="58"/>
      <c r="D892" s="60">
        <f ca="1">D877+D886+D888+D889+D890+D891</f>
        <v>685882783.09000003</v>
      </c>
      <c r="F892" s="60">
        <f ca="1">F877+F886+F888+F889+F890+F891</f>
        <v>528879469.81794524</v>
      </c>
      <c r="H892" s="60">
        <f ca="1">H877+H886+H888+H889+H890+H891</f>
        <v>34996154.290661506</v>
      </c>
      <c r="I892" s="60">
        <f ca="1">(L892+M892+N892)</f>
        <v>43142642.339802794</v>
      </c>
      <c r="L892" s="60">
        <f ca="1">L877+L886+L888+L889+L890+L891</f>
        <v>16318.269196455285</v>
      </c>
      <c r="M892" s="60"/>
      <c r="N892" s="60">
        <f ca="1">SUM(O892:Q892)</f>
        <v>43126324.070606336</v>
      </c>
      <c r="O892" s="60">
        <f ca="1">O877+O886+O888+O889+O890+O891</f>
        <v>13644123.070507936</v>
      </c>
      <c r="P892" s="60">
        <f ca="1">P877+P886+P888+P889+P890+P891</f>
        <v>29482201.0000984</v>
      </c>
      <c r="Q892" s="60">
        <f ca="1">Q877+Q886+Q888+Q889+Q890+Q891</f>
        <v>6.5897646045559955E-13</v>
      </c>
      <c r="T892" s="58"/>
      <c r="V892" s="84"/>
      <c r="W892" s="50"/>
    </row>
    <row r="893" spans="1:25" x14ac:dyDescent="0.2">
      <c r="C893" s="58"/>
      <c r="T893" s="58"/>
      <c r="W893" s="50"/>
    </row>
    <row r="894" spans="1:25" x14ac:dyDescent="0.2">
      <c r="A894" s="60">
        <v>28</v>
      </c>
      <c r="B894" s="48" t="s">
        <v>1116</v>
      </c>
      <c r="C894" s="58"/>
      <c r="D894" s="60">
        <f ca="1">D798+D850-D892</f>
        <v>3977227798.518302</v>
      </c>
      <c r="F894" s="60">
        <f ca="1">F798+F850-F892</f>
        <v>3550375898.9468842</v>
      </c>
      <c r="H894" s="60">
        <f ca="1">H798+H850-H892</f>
        <v>216540257.81030622</v>
      </c>
      <c r="I894" s="60">
        <f ca="1">(L894+M894+N894)</f>
        <v>289176158.40270245</v>
      </c>
      <c r="L894" s="60">
        <f ca="1">L798+L850-L892</f>
        <v>37845.191210532408</v>
      </c>
      <c r="M894" s="60"/>
      <c r="N894" s="60">
        <f ca="1">SUM(O894:Q894)</f>
        <v>289138313.21149194</v>
      </c>
      <c r="O894" s="60">
        <f ca="1">O798+O850-O892</f>
        <v>91830469.28928861</v>
      </c>
      <c r="P894" s="60">
        <f ca="1">P798+P850-P892</f>
        <v>197307843.92220336</v>
      </c>
      <c r="Q894" s="60">
        <f ca="1">Q798+Q850-Q892</f>
        <v>6.3497674745248559E-12</v>
      </c>
      <c r="T894" s="58"/>
      <c r="W894" s="50"/>
    </row>
    <row r="895" spans="1:25" x14ac:dyDescent="0.2">
      <c r="C895" s="58"/>
      <c r="T895" s="58"/>
      <c r="W895" s="50"/>
    </row>
    <row r="896" spans="1:25" x14ac:dyDescent="0.2">
      <c r="C896" s="58"/>
      <c r="F896" s="34"/>
      <c r="T896" s="58"/>
      <c r="W896" s="50"/>
    </row>
    <row r="897" spans="1:25" x14ac:dyDescent="0.2">
      <c r="B897" s="64" t="s">
        <v>1232</v>
      </c>
      <c r="C897" s="58"/>
      <c r="F897" s="34"/>
      <c r="T897" s="58"/>
      <c r="W897" s="50"/>
    </row>
    <row r="898" spans="1:25" x14ac:dyDescent="0.2">
      <c r="C898" s="58"/>
      <c r="F898" s="34"/>
      <c r="W898" s="50"/>
    </row>
    <row r="899" spans="1:25" x14ac:dyDescent="0.2">
      <c r="B899" s="48" t="s">
        <v>178</v>
      </c>
      <c r="W899" s="50"/>
    </row>
    <row r="900" spans="1:25" x14ac:dyDescent="0.2">
      <c r="A900" s="60">
        <v>1</v>
      </c>
      <c r="B900" s="217" t="s">
        <v>1388</v>
      </c>
      <c r="C900" s="58"/>
      <c r="D900" s="66">
        <f t="shared" ref="D900:D909" si="255">SUM(F900:I900)+K900</f>
        <v>509303762.84999996</v>
      </c>
      <c r="F900" s="60">
        <f t="shared" ref="F900:F908" si="256">F253</f>
        <v>476589863.13999999</v>
      </c>
      <c r="H900" s="60">
        <f t="shared" ref="H900:H908" si="257">H253</f>
        <v>32707844.710000001</v>
      </c>
      <c r="I900" s="60">
        <f t="shared" ref="I900:I909" si="258">(L900+M900+N900)</f>
        <v>6055</v>
      </c>
      <c r="L900" s="60">
        <f t="shared" ref="L900:L908" si="259">L253</f>
        <v>6055</v>
      </c>
      <c r="M900" s="60"/>
      <c r="N900" s="60">
        <f t="shared" ref="N900:N909" si="260">SUM(O900:Q900)</f>
        <v>0</v>
      </c>
      <c r="O900" s="60">
        <f t="shared" ref="O900:Q908" si="261">O253</f>
        <v>0</v>
      </c>
      <c r="P900" s="60">
        <f t="shared" si="261"/>
        <v>0</v>
      </c>
      <c r="Q900" s="60">
        <f t="shared" si="261"/>
        <v>0</v>
      </c>
      <c r="W900" s="50"/>
    </row>
    <row r="901" spans="1:25" x14ac:dyDescent="0.2">
      <c r="A901" s="60">
        <v>2</v>
      </c>
      <c r="B901" s="217" t="s">
        <v>1389</v>
      </c>
      <c r="C901" s="58"/>
      <c r="D901" s="66">
        <f t="shared" si="255"/>
        <v>181449246.41</v>
      </c>
      <c r="F901" s="60">
        <f t="shared" si="256"/>
        <v>175113848.34</v>
      </c>
      <c r="H901" s="60">
        <f t="shared" si="257"/>
        <v>6335398.0700000003</v>
      </c>
      <c r="I901" s="60">
        <f t="shared" si="258"/>
        <v>0</v>
      </c>
      <c r="L901" s="60">
        <f t="shared" si="259"/>
        <v>0</v>
      </c>
      <c r="M901" s="60"/>
      <c r="N901" s="60">
        <f t="shared" si="260"/>
        <v>0</v>
      </c>
      <c r="O901" s="60">
        <f t="shared" si="261"/>
        <v>0</v>
      </c>
      <c r="P901" s="60">
        <f t="shared" si="261"/>
        <v>0</v>
      </c>
      <c r="Q901" s="60">
        <f t="shared" si="261"/>
        <v>0</v>
      </c>
      <c r="W901" s="50"/>
    </row>
    <row r="902" spans="1:25" x14ac:dyDescent="0.2">
      <c r="A902" s="60">
        <v>3</v>
      </c>
      <c r="B902" s="217" t="s">
        <v>1390</v>
      </c>
      <c r="C902" s="58"/>
      <c r="D902" s="66">
        <f t="shared" si="255"/>
        <v>159939302.09999999</v>
      </c>
      <c r="F902" s="60">
        <f t="shared" si="256"/>
        <v>149946898.97</v>
      </c>
      <c r="H902" s="60">
        <f t="shared" si="257"/>
        <v>9992403.1300000008</v>
      </c>
      <c r="I902" s="60">
        <f t="shared" si="258"/>
        <v>0</v>
      </c>
      <c r="L902" s="60">
        <f t="shared" si="259"/>
        <v>0</v>
      </c>
      <c r="M902" s="60"/>
      <c r="N902" s="60">
        <f t="shared" si="260"/>
        <v>0</v>
      </c>
      <c r="O902" s="60">
        <f t="shared" si="261"/>
        <v>0</v>
      </c>
      <c r="P902" s="60">
        <f t="shared" si="261"/>
        <v>0</v>
      </c>
      <c r="Q902" s="60">
        <f t="shared" si="261"/>
        <v>0</v>
      </c>
      <c r="W902" s="50"/>
    </row>
    <row r="903" spans="1:25" x14ac:dyDescent="0.2">
      <c r="A903" s="60">
        <v>4</v>
      </c>
      <c r="B903" s="217" t="s">
        <v>1391</v>
      </c>
      <c r="C903" s="58"/>
      <c r="D903" s="66">
        <f t="shared" si="255"/>
        <v>342664408.80000001</v>
      </c>
      <c r="F903" s="60">
        <f t="shared" si="256"/>
        <v>339425792.10000002</v>
      </c>
      <c r="H903" s="60">
        <f t="shared" si="257"/>
        <v>3238616.7</v>
      </c>
      <c r="I903" s="60">
        <f t="shared" si="258"/>
        <v>0</v>
      </c>
      <c r="L903" s="60">
        <f t="shared" si="259"/>
        <v>0</v>
      </c>
      <c r="M903" s="60"/>
      <c r="N903" s="60">
        <f t="shared" si="260"/>
        <v>0</v>
      </c>
      <c r="O903" s="60">
        <f t="shared" si="261"/>
        <v>0</v>
      </c>
      <c r="P903" s="60">
        <f t="shared" si="261"/>
        <v>0</v>
      </c>
      <c r="Q903" s="60">
        <f t="shared" si="261"/>
        <v>0</v>
      </c>
      <c r="W903" s="50"/>
    </row>
    <row r="904" spans="1:25" x14ac:dyDescent="0.2">
      <c r="A904" s="60">
        <v>5</v>
      </c>
      <c r="B904" s="217" t="s">
        <v>1392</v>
      </c>
      <c r="C904" s="58"/>
      <c r="D904" s="66">
        <f t="shared" si="255"/>
        <v>43926568.659999996</v>
      </c>
      <c r="F904" s="60">
        <f t="shared" si="256"/>
        <v>29838195.829999998</v>
      </c>
      <c r="H904" s="60">
        <f t="shared" si="257"/>
        <v>14088372.83</v>
      </c>
      <c r="I904" s="60">
        <f t="shared" si="258"/>
        <v>0</v>
      </c>
      <c r="L904" s="60">
        <f t="shared" si="259"/>
        <v>0</v>
      </c>
      <c r="M904" s="60"/>
      <c r="N904" s="60">
        <f t="shared" si="260"/>
        <v>0</v>
      </c>
      <c r="O904" s="60">
        <f t="shared" si="261"/>
        <v>0</v>
      </c>
      <c r="P904" s="60">
        <f t="shared" si="261"/>
        <v>0</v>
      </c>
      <c r="Q904" s="60">
        <f t="shared" si="261"/>
        <v>0</v>
      </c>
      <c r="W904" s="50"/>
    </row>
    <row r="905" spans="1:25" x14ac:dyDescent="0.2">
      <c r="A905" s="60">
        <v>6</v>
      </c>
      <c r="B905" s="217" t="s">
        <v>1393</v>
      </c>
      <c r="C905" s="58"/>
      <c r="D905" s="66">
        <f t="shared" si="255"/>
        <v>10746104.729999999</v>
      </c>
      <c r="F905" s="60">
        <f t="shared" si="256"/>
        <v>10423249.619999999</v>
      </c>
      <c r="H905" s="60">
        <f t="shared" si="257"/>
        <v>322855.11</v>
      </c>
      <c r="I905" s="60">
        <f t="shared" si="258"/>
        <v>0</v>
      </c>
      <c r="L905" s="60">
        <f t="shared" si="259"/>
        <v>0</v>
      </c>
      <c r="M905" s="60"/>
      <c r="N905" s="60">
        <f t="shared" si="260"/>
        <v>0</v>
      </c>
      <c r="O905" s="60">
        <f t="shared" si="261"/>
        <v>0</v>
      </c>
      <c r="P905" s="60">
        <f t="shared" si="261"/>
        <v>0</v>
      </c>
      <c r="Q905" s="60">
        <f t="shared" si="261"/>
        <v>0</v>
      </c>
      <c r="W905" s="50"/>
    </row>
    <row r="906" spans="1:25" x14ac:dyDescent="0.2">
      <c r="A906" s="60">
        <v>7</v>
      </c>
      <c r="B906" s="217" t="s">
        <v>1394</v>
      </c>
      <c r="C906" s="58"/>
      <c r="D906" s="66">
        <f t="shared" si="255"/>
        <v>111947307.06</v>
      </c>
      <c r="F906" s="60">
        <f t="shared" si="256"/>
        <v>105659336.56</v>
      </c>
      <c r="H906" s="60">
        <f t="shared" si="257"/>
        <v>6287970.5</v>
      </c>
      <c r="I906" s="60">
        <f t="shared" si="258"/>
        <v>0</v>
      </c>
      <c r="L906" s="60">
        <f t="shared" si="259"/>
        <v>0</v>
      </c>
      <c r="M906" s="60"/>
      <c r="N906" s="60">
        <f t="shared" si="260"/>
        <v>0</v>
      </c>
      <c r="O906" s="60">
        <f t="shared" si="261"/>
        <v>0</v>
      </c>
      <c r="P906" s="60">
        <f t="shared" si="261"/>
        <v>0</v>
      </c>
      <c r="Q906" s="60">
        <f t="shared" si="261"/>
        <v>0</v>
      </c>
      <c r="W906" s="50"/>
    </row>
    <row r="907" spans="1:25" x14ac:dyDescent="0.2">
      <c r="A907" s="60">
        <v>8</v>
      </c>
      <c r="B907" s="217" t="s">
        <v>1395</v>
      </c>
      <c r="C907" s="58"/>
      <c r="D907" s="66">
        <f t="shared" si="255"/>
        <v>4874900.92</v>
      </c>
      <c r="F907" s="60">
        <f t="shared" si="256"/>
        <v>4703886.5199999996</v>
      </c>
      <c r="H907" s="60">
        <f t="shared" si="257"/>
        <v>171014.39999999999</v>
      </c>
      <c r="I907" s="60">
        <f t="shared" si="258"/>
        <v>0</v>
      </c>
      <c r="L907" s="60">
        <f t="shared" si="259"/>
        <v>0</v>
      </c>
      <c r="M907" s="60"/>
      <c r="N907" s="60">
        <f t="shared" si="260"/>
        <v>0</v>
      </c>
      <c r="O907" s="60">
        <f t="shared" si="261"/>
        <v>0</v>
      </c>
      <c r="P907" s="60">
        <f t="shared" si="261"/>
        <v>0</v>
      </c>
      <c r="Q907" s="60">
        <f t="shared" si="261"/>
        <v>0</v>
      </c>
      <c r="W907" s="50"/>
    </row>
    <row r="908" spans="1:25" x14ac:dyDescent="0.2">
      <c r="A908" s="60">
        <v>9</v>
      </c>
      <c r="B908" s="217" t="s">
        <v>1396</v>
      </c>
      <c r="C908" s="58"/>
      <c r="D908" s="66">
        <f t="shared" si="255"/>
        <v>98298884.889999986</v>
      </c>
      <c r="F908" s="60">
        <f t="shared" si="256"/>
        <v>0</v>
      </c>
      <c r="H908" s="60">
        <f t="shared" si="257"/>
        <v>0</v>
      </c>
      <c r="I908" s="60">
        <f t="shared" si="258"/>
        <v>98298884.889999986</v>
      </c>
      <c r="L908" s="60">
        <f t="shared" si="259"/>
        <v>0</v>
      </c>
      <c r="M908" s="60"/>
      <c r="N908" s="60">
        <f t="shared" si="260"/>
        <v>98298884.889999986</v>
      </c>
      <c r="O908" s="60">
        <f t="shared" si="261"/>
        <v>31838591.359999999</v>
      </c>
      <c r="P908" s="60">
        <f t="shared" si="261"/>
        <v>66460293.529999994</v>
      </c>
      <c r="Q908" s="60">
        <f t="shared" si="261"/>
        <v>0</v>
      </c>
      <c r="W908" s="50"/>
    </row>
    <row r="909" spans="1:25" x14ac:dyDescent="0.2">
      <c r="A909" s="60">
        <v>10</v>
      </c>
      <c r="B909" s="70" t="s">
        <v>1398</v>
      </c>
      <c r="C909" s="51" t="s">
        <v>683</v>
      </c>
      <c r="D909" s="66">
        <f t="shared" ca="1" si="255"/>
        <v>2912962.3200000003</v>
      </c>
      <c r="F909" s="60">
        <f ca="1">INDEX(INDIRECT($C909),1,F$12+1)*$T909</f>
        <v>2527189.6272730194</v>
      </c>
      <c r="H909" s="60">
        <f ca="1">INDEX(INDIRECT($C909),1,H$12+1)*$T909</f>
        <v>133623.58242474726</v>
      </c>
      <c r="I909" s="60">
        <f t="shared" ca="1" si="258"/>
        <v>252149.11030223337</v>
      </c>
      <c r="L909" s="60">
        <f ca="1">INDEX(INDIRECT($C909),1,L$12+1)*$T909</f>
        <v>13.892260303447387</v>
      </c>
      <c r="M909" s="60"/>
      <c r="N909" s="60">
        <f t="shared" ca="1" si="260"/>
        <v>252135.21804192991</v>
      </c>
      <c r="O909" s="60">
        <f ca="1">INDEX(INDIRECT($C909),1,O$12+1)*$T909</f>
        <v>82308.675019026006</v>
      </c>
      <c r="P909" s="60">
        <f ca="1">INDEX(INDIRECT($C909),1,P$12+1)*$T909</f>
        <v>169826.5430229039</v>
      </c>
      <c r="Q909" s="60">
        <f ca="1">INDEX(INDIRECT($C909),1,Q$12+1)*$T909</f>
        <v>0</v>
      </c>
      <c r="T909" s="325">
        <v>2912962.3200000003</v>
      </c>
      <c r="U909" s="50"/>
      <c r="V909" s="50"/>
      <c r="W909" s="84" t="s">
        <v>1504</v>
      </c>
      <c r="X909" s="50"/>
      <c r="Y909" s="50"/>
    </row>
    <row r="910" spans="1:25" x14ac:dyDescent="0.2">
      <c r="A910" s="33">
        <v>11</v>
      </c>
      <c r="B910" s="70" t="s">
        <v>1399</v>
      </c>
      <c r="C910" s="58"/>
      <c r="W910" s="50"/>
    </row>
    <row r="911" spans="1:25" x14ac:dyDescent="0.2">
      <c r="A911" s="60">
        <v>12</v>
      </c>
      <c r="B911" s="70" t="s">
        <v>1412</v>
      </c>
      <c r="C911" s="51" t="s">
        <v>614</v>
      </c>
      <c r="D911" s="66">
        <f ca="1">SUM(F911:I911)+K911</f>
        <v>0</v>
      </c>
      <c r="F911" s="60">
        <f ca="1">INDEX(INDIRECT($C911),1,F$12+1)*$T911</f>
        <v>0</v>
      </c>
      <c r="H911" s="60">
        <f ca="1">INDEX(INDIRECT($C911),1,H$12+1)*$T911</f>
        <v>0</v>
      </c>
      <c r="I911" s="60">
        <f ca="1">(L911+M911+N911)</f>
        <v>0</v>
      </c>
      <c r="L911" s="60">
        <f ca="1">INDEX(INDIRECT($C911),1,L$12+1)*$T911</f>
        <v>0</v>
      </c>
      <c r="M911" s="60"/>
      <c r="N911" s="60">
        <f ca="1">SUM(O911:Q911)</f>
        <v>0</v>
      </c>
      <c r="O911" s="60">
        <f t="shared" ref="O911:Q912" ca="1" si="262">INDEX(INDIRECT($C911),1,O$12+1)*$T911</f>
        <v>0</v>
      </c>
      <c r="P911" s="60">
        <f t="shared" ca="1" si="262"/>
        <v>0</v>
      </c>
      <c r="Q911" s="60">
        <f t="shared" ca="1" si="262"/>
        <v>0</v>
      </c>
      <c r="T911" s="325"/>
      <c r="U911" s="50"/>
      <c r="V911" s="50"/>
      <c r="W911" s="50"/>
      <c r="X911" s="50"/>
      <c r="Y911" s="50"/>
    </row>
    <row r="912" spans="1:25" x14ac:dyDescent="0.2">
      <c r="A912" s="60">
        <v>13</v>
      </c>
      <c r="B912" s="70" t="s">
        <v>1413</v>
      </c>
      <c r="C912" s="51" t="s">
        <v>683</v>
      </c>
      <c r="D912" s="66">
        <f ca="1">SUM(F912:I912)+K912</f>
        <v>29862147</v>
      </c>
      <c r="F912" s="60">
        <f ca="1">INDEX(INDIRECT($C912),1,F$12+1)*$T912</f>
        <v>25907409.659353957</v>
      </c>
      <c r="H912" s="60">
        <f ca="1">INDEX(INDIRECT($C912),1,H$12+1)*$T912</f>
        <v>1369838.1999786454</v>
      </c>
      <c r="I912" s="60">
        <f ca="1">(L912+M912+N912)</f>
        <v>2584899.1406673966</v>
      </c>
      <c r="L912" s="60">
        <f ca="1">INDEX(INDIRECT($C912),1,L$12+1)*$T912</f>
        <v>142.41609529086199</v>
      </c>
      <c r="M912" s="60"/>
      <c r="N912" s="60">
        <f ca="1">SUM(O912:Q912)</f>
        <v>2584756.7245721058</v>
      </c>
      <c r="O912" s="60">
        <f t="shared" ca="1" si="262"/>
        <v>843784.94562654768</v>
      </c>
      <c r="P912" s="60">
        <f t="shared" ca="1" si="262"/>
        <v>1740971.7789455582</v>
      </c>
      <c r="Q912" s="60">
        <f t="shared" ca="1" si="262"/>
        <v>0</v>
      </c>
      <c r="T912" s="325">
        <v>29862147</v>
      </c>
      <c r="U912" s="50"/>
      <c r="V912" s="50"/>
      <c r="W912" s="50"/>
      <c r="X912" s="50"/>
      <c r="Y912" s="50"/>
    </row>
    <row r="913" spans="1:29" x14ac:dyDescent="0.2">
      <c r="A913" s="60">
        <v>14</v>
      </c>
      <c r="B913" s="70" t="s">
        <v>1400</v>
      </c>
      <c r="C913" s="58"/>
      <c r="D913" s="66">
        <f ca="1">SUM(F913:I913)+K913</f>
        <v>29862147</v>
      </c>
      <c r="F913" s="60">
        <f ca="1">SUM(F911:F912)</f>
        <v>25907409.659353957</v>
      </c>
      <c r="H913" s="60">
        <f ca="1">SUM(H911:H912)</f>
        <v>1369838.1999786454</v>
      </c>
      <c r="I913" s="60">
        <f ca="1">(L913+M913+N913)</f>
        <v>2584899.1406673966</v>
      </c>
      <c r="L913" s="60">
        <f ca="1">SUM(L911:L912)</f>
        <v>142.41609529086199</v>
      </c>
      <c r="M913" s="60"/>
      <c r="N913" s="60">
        <f ca="1">SUM(O913:Q913)</f>
        <v>2584756.7245721058</v>
      </c>
      <c r="O913" s="60">
        <f ca="1">SUM(O911:O912)</f>
        <v>843784.94562654768</v>
      </c>
      <c r="P913" s="60">
        <f ca="1">SUM(P911:P912)</f>
        <v>1740971.7789455582</v>
      </c>
      <c r="Q913" s="60">
        <f ca="1">SUM(Q911:Q912)</f>
        <v>0</v>
      </c>
      <c r="T913" s="294"/>
      <c r="W913" s="50"/>
    </row>
    <row r="914" spans="1:29" x14ac:dyDescent="0.2">
      <c r="C914" s="58"/>
      <c r="T914" s="294"/>
      <c r="W914" s="50"/>
    </row>
    <row r="915" spans="1:29" x14ac:dyDescent="0.2">
      <c r="A915" s="60">
        <v>15</v>
      </c>
      <c r="B915" s="113" t="s">
        <v>1397</v>
      </c>
      <c r="C915" s="58"/>
      <c r="D915" s="66">
        <f>SUM(F915:I915)+K915</f>
        <v>0</v>
      </c>
      <c r="F915" s="60">
        <f>F263</f>
        <v>0</v>
      </c>
      <c r="H915" s="60">
        <f>H263</f>
        <v>0</v>
      </c>
      <c r="I915" s="60">
        <f>(L915+M915+N915)</f>
        <v>0</v>
      </c>
      <c r="L915" s="60">
        <f>L263</f>
        <v>0</v>
      </c>
      <c r="M915" s="60"/>
      <c r="N915" s="60">
        <f>SUM(O915:Q915)</f>
        <v>0</v>
      </c>
      <c r="O915" s="60">
        <f>O263</f>
        <v>0</v>
      </c>
      <c r="P915" s="60">
        <f>P263</f>
        <v>0</v>
      </c>
      <c r="Q915" s="60">
        <f>Q263</f>
        <v>0</v>
      </c>
      <c r="T915" s="58"/>
      <c r="W915" s="50"/>
    </row>
    <row r="916" spans="1:29" x14ac:dyDescent="0.2">
      <c r="W916" s="50"/>
    </row>
    <row r="917" spans="1:29" x14ac:dyDescent="0.2">
      <c r="A917" s="60">
        <v>16</v>
      </c>
      <c r="B917" s="70" t="s">
        <v>1411</v>
      </c>
      <c r="D917" s="66">
        <f ca="1">SUM(F917:I917)+K917</f>
        <v>1495925595.7400002</v>
      </c>
      <c r="F917" s="60">
        <f ca="1">SUM(F900:F909)+F913+F915</f>
        <v>1320135670.366627</v>
      </c>
      <c r="H917" s="60">
        <f ca="1">SUM(H900:H909)+H913+H915</f>
        <v>74647937.232403412</v>
      </c>
      <c r="I917" s="60">
        <f ca="1">(L917+M917+N917)</f>
        <v>101141988.14096963</v>
      </c>
      <c r="L917" s="60">
        <f ca="1">SUM(L900:L909)+L913+L915</f>
        <v>6211.3083555943094</v>
      </c>
      <c r="M917" s="60"/>
      <c r="N917" s="60">
        <f ca="1">SUM(O917:Q917)</f>
        <v>101135776.83261403</v>
      </c>
      <c r="O917" s="60">
        <f ca="1">SUM(O900:O909)+O913+O915</f>
        <v>32764684.980645575</v>
      </c>
      <c r="P917" s="60">
        <f ca="1">SUM(P900:P909)+P913+P915</f>
        <v>68371091.851968452</v>
      </c>
      <c r="Q917" s="60">
        <f ca="1">SUM(Q900:Q909)+Q913+Q915</f>
        <v>0</v>
      </c>
      <c r="T917" s="294"/>
      <c r="W917" s="50"/>
    </row>
    <row r="918" spans="1:29" x14ac:dyDescent="0.2">
      <c r="T918" s="294"/>
      <c r="W918" s="50"/>
    </row>
    <row r="919" spans="1:29" x14ac:dyDescent="0.2">
      <c r="B919" s="48" t="s">
        <v>179</v>
      </c>
      <c r="C919" s="58"/>
      <c r="T919" s="294"/>
      <c r="W919" s="50"/>
    </row>
    <row r="920" spans="1:29" x14ac:dyDescent="0.2">
      <c r="A920" s="60">
        <v>17</v>
      </c>
      <c r="B920" s="70" t="s">
        <v>1410</v>
      </c>
      <c r="C920" s="56" t="s">
        <v>1414</v>
      </c>
      <c r="D920" s="66">
        <f t="shared" ref="D920:D927" ca="1" si="263">SUM(F920:I920)+K920</f>
        <v>7125786</v>
      </c>
      <c r="F920" s="57">
        <f ca="1">INDEX(INDIRECT($C920),1,F$12+1)*$T920</f>
        <v>6910623.978525958</v>
      </c>
      <c r="H920" s="60">
        <f t="shared" ref="H920:H929" ca="1" si="264">INDEX(INDIRECT($C920),1,H$12+1)*$T920</f>
        <v>213936.55140869084</v>
      </c>
      <c r="I920" s="60">
        <f ca="1">(L920+M920+N920)</f>
        <v>1225.4700653511941</v>
      </c>
      <c r="L920" s="60">
        <f t="shared" ref="L920:L929" ca="1" si="265">INDEX(INDIRECT($C920),1,L$12+1)*$T920</f>
        <v>0</v>
      </c>
      <c r="M920" s="60"/>
      <c r="N920" s="60">
        <f ca="1">SUM(O920:Q920)</f>
        <v>1225.4700653511941</v>
      </c>
      <c r="O920" s="60">
        <f t="shared" ref="O920:Q928" ca="1" si="266">INDEX(INDIRECT($C920),1,O$12+1)*$T920</f>
        <v>1198.6500639209519</v>
      </c>
      <c r="P920" s="60">
        <f t="shared" ca="1" si="266"/>
        <v>26.820001430242296</v>
      </c>
      <c r="Q920" s="60">
        <f t="shared" ca="1" si="266"/>
        <v>0</v>
      </c>
      <c r="T920" s="325">
        <v>7125786</v>
      </c>
      <c r="U920" s="50"/>
      <c r="V920" s="50"/>
      <c r="W920" s="50"/>
      <c r="X920" s="50"/>
      <c r="Y920" s="50"/>
    </row>
    <row r="921" spans="1:29" x14ac:dyDescent="0.2">
      <c r="A921" s="60">
        <v>18</v>
      </c>
      <c r="B921" s="70" t="s">
        <v>1401</v>
      </c>
      <c r="C921" s="56" t="s">
        <v>1416</v>
      </c>
      <c r="D921" s="66">
        <f t="shared" ca="1" si="263"/>
        <v>1791597</v>
      </c>
      <c r="F921" s="57">
        <f ca="1">INDEX(INDIRECT($C921),1,F$12+1)*$T921</f>
        <v>1659612.2684171903</v>
      </c>
      <c r="H921" s="60">
        <f ca="1">INDEX(INDIRECT($C921),1,H$12+1)*$T921</f>
        <v>131984.73158280971</v>
      </c>
      <c r="I921" s="60">
        <f ca="1">(L921+M921+N921)</f>
        <v>0</v>
      </c>
      <c r="L921" s="60">
        <f t="shared" ref="L921:L927" ca="1" si="267">INDEX(INDIRECT($C921),1,L$12+1)*$T921</f>
        <v>0</v>
      </c>
      <c r="M921" s="60"/>
      <c r="N921" s="60">
        <f ca="1">SUM(O921:Q921)</f>
        <v>0</v>
      </c>
      <c r="O921" s="60">
        <f t="shared" ref="O921:Q922" ca="1" si="268">INDEX(INDIRECT($C921),1,O$12+1)*$T921</f>
        <v>0</v>
      </c>
      <c r="P921" s="60">
        <f t="shared" ca="1" si="268"/>
        <v>0</v>
      </c>
      <c r="Q921" s="60">
        <f t="shared" ca="1" si="268"/>
        <v>0</v>
      </c>
      <c r="T921" s="325">
        <v>1791597</v>
      </c>
      <c r="U921" s="50"/>
      <c r="V921" s="50"/>
      <c r="W921" s="50"/>
      <c r="X921" s="50"/>
      <c r="Y921" s="50"/>
    </row>
    <row r="922" spans="1:29" x14ac:dyDescent="0.2">
      <c r="A922" s="60">
        <v>19</v>
      </c>
      <c r="B922" s="70" t="s">
        <v>1402</v>
      </c>
      <c r="C922" s="56" t="s">
        <v>1418</v>
      </c>
      <c r="D922" s="66">
        <f t="shared" ca="1" si="263"/>
        <v>559380</v>
      </c>
      <c r="F922" s="57">
        <f ca="1">INDEX(INDIRECT($C922),1,F$12+1)*$T922</f>
        <v>547024.67536161793</v>
      </c>
      <c r="H922" s="60">
        <f ca="1">INDEX(INDIRECT($C922),1,H$12+1)*$T922</f>
        <v>12355.324638382092</v>
      </c>
      <c r="I922" s="60">
        <f ca="1">(L922+M922+N922)</f>
        <v>0</v>
      </c>
      <c r="L922" s="60">
        <f t="shared" ca="1" si="267"/>
        <v>0</v>
      </c>
      <c r="M922" s="60"/>
      <c r="N922" s="60">
        <f ca="1">SUM(O922:Q922)</f>
        <v>0</v>
      </c>
      <c r="O922" s="60">
        <f t="shared" ca="1" si="268"/>
        <v>0</v>
      </c>
      <c r="P922" s="60">
        <f t="shared" ca="1" si="268"/>
        <v>0</v>
      </c>
      <c r="Q922" s="60">
        <f t="shared" ca="1" si="268"/>
        <v>0</v>
      </c>
      <c r="T922" s="325">
        <f>43651+515729</f>
        <v>559380</v>
      </c>
      <c r="U922" s="50"/>
      <c r="V922" s="50"/>
      <c r="W922" s="50"/>
      <c r="X922" s="50"/>
      <c r="Y922" s="50"/>
      <c r="AA922" s="397" t="s">
        <v>1376</v>
      </c>
      <c r="AB922" s="396"/>
      <c r="AC922" s="396"/>
    </row>
    <row r="923" spans="1:29" x14ac:dyDescent="0.2">
      <c r="A923" s="60">
        <v>20</v>
      </c>
      <c r="B923" s="70" t="s">
        <v>1403</v>
      </c>
      <c r="C923" s="56" t="s">
        <v>1419</v>
      </c>
      <c r="D923" s="66">
        <f t="shared" ca="1" si="263"/>
        <v>2338708.0000000005</v>
      </c>
      <c r="F923" s="57">
        <f ca="1">INDEX(INDIRECT($C923),1,F$12+1)*$T923</f>
        <v>2153990.4323694822</v>
      </c>
      <c r="H923" s="60">
        <f t="shared" ca="1" si="264"/>
        <v>184358.56763512292</v>
      </c>
      <c r="I923" s="60">
        <f t="shared" ref="I923:I930" ca="1" si="269">(L923+M923+N923)</f>
        <v>358.99999539489335</v>
      </c>
      <c r="L923" s="60">
        <f t="shared" ca="1" si="267"/>
        <v>358.99999539489335</v>
      </c>
      <c r="M923" s="60"/>
      <c r="N923" s="60">
        <f t="shared" ref="N923:N930" ca="1" si="270">SUM(O923:Q923)</f>
        <v>0</v>
      </c>
      <c r="O923" s="60">
        <f t="shared" ca="1" si="266"/>
        <v>0</v>
      </c>
      <c r="P923" s="60">
        <f t="shared" ca="1" si="266"/>
        <v>0</v>
      </c>
      <c r="Q923" s="60">
        <f t="shared" ca="1" si="266"/>
        <v>0</v>
      </c>
      <c r="T923" s="325">
        <v>2338708</v>
      </c>
      <c r="U923" s="50"/>
      <c r="V923" s="50"/>
      <c r="W923" s="50"/>
      <c r="X923" s="50"/>
      <c r="Y923" s="285" t="s">
        <v>1317</v>
      </c>
      <c r="Z923" s="285"/>
      <c r="AA923" s="34" t="s">
        <v>739</v>
      </c>
      <c r="AB923" s="34" t="s">
        <v>1377</v>
      </c>
      <c r="AC923" s="34" t="s">
        <v>998</v>
      </c>
    </row>
    <row r="924" spans="1:29" x14ac:dyDescent="0.2">
      <c r="A924" s="60">
        <v>21</v>
      </c>
      <c r="B924" s="70" t="s">
        <v>1407</v>
      </c>
      <c r="C924" s="56" t="s">
        <v>1375</v>
      </c>
      <c r="D924" s="66">
        <f t="shared" ca="1" si="263"/>
        <v>14103930</v>
      </c>
      <c r="F924" s="57">
        <f ca="1">INDEX(INDIRECT($C924),1,F$12+1)*$T924+Y924</f>
        <v>10488823.331374643</v>
      </c>
      <c r="H924" s="60">
        <f ca="1">INDEX(INDIRECT($C924),1,H$12+1)*$T924</f>
        <v>616201.45514520886</v>
      </c>
      <c r="I924" s="60">
        <f ca="1">(L924+M924+N924)</f>
        <v>2998905.2134801485</v>
      </c>
      <c r="L924" s="60">
        <f t="shared" ca="1" si="267"/>
        <v>92.773480148330151</v>
      </c>
      <c r="M924" s="60"/>
      <c r="N924" s="60">
        <f ca="1">SUM(O924:Q924)</f>
        <v>2998812.44</v>
      </c>
      <c r="O924" s="60">
        <f>AB924</f>
        <v>888558.42</v>
      </c>
      <c r="P924" s="60">
        <f>AC924</f>
        <v>2110254.02</v>
      </c>
      <c r="Q924" s="60">
        <f ca="1">INDEX(INDIRECT($C924),1,Q$12+1)*$T924</f>
        <v>0</v>
      </c>
      <c r="T924" s="85">
        <f>14103930-Y924-AA924</f>
        <v>11108931.76</v>
      </c>
      <c r="U924" s="50"/>
      <c r="V924" s="50"/>
      <c r="W924" s="285" t="s">
        <v>1317</v>
      </c>
      <c r="X924" s="302"/>
      <c r="Y924" s="330">
        <f>-317.85*12</f>
        <v>-3814.2000000000003</v>
      </c>
      <c r="AA924" s="330">
        <f>AB924+AC924</f>
        <v>2998812.44</v>
      </c>
      <c r="AB924" s="330">
        <v>888558.42</v>
      </c>
      <c r="AC924" s="330">
        <v>2110254.02</v>
      </c>
    </row>
    <row r="925" spans="1:29" x14ac:dyDescent="0.2">
      <c r="A925" s="60">
        <v>22</v>
      </c>
      <c r="B925" s="70" t="s">
        <v>1405</v>
      </c>
      <c r="C925" s="56" t="s">
        <v>1409</v>
      </c>
      <c r="D925" s="66">
        <f t="shared" ca="1" si="263"/>
        <v>17113</v>
      </c>
      <c r="F925" s="57">
        <f ca="1">INDEX(INDIRECT($C925),1,F$12+1)*$T925</f>
        <v>17113</v>
      </c>
      <c r="H925" s="60">
        <f ca="1">INDEX(INDIRECT($C925),1,H$12+1)*$T925</f>
        <v>0</v>
      </c>
      <c r="I925" s="60">
        <f ca="1">(L925+M925+N925)</f>
        <v>0</v>
      </c>
      <c r="L925" s="60">
        <f t="shared" ca="1" si="267"/>
        <v>0</v>
      </c>
      <c r="M925" s="60"/>
      <c r="N925" s="60">
        <f ca="1">SUM(O925:Q925)</f>
        <v>0</v>
      </c>
      <c r="O925" s="60">
        <f t="shared" ref="O925:P927" ca="1" si="271">INDEX(INDIRECT($C925),1,O$12+1)*$T925</f>
        <v>0</v>
      </c>
      <c r="P925" s="60">
        <f t="shared" ca="1" si="271"/>
        <v>0</v>
      </c>
      <c r="Q925" s="60">
        <f ca="1">INDEX(INDIRECT($C925),1,Q$12+1)*$T925</f>
        <v>0</v>
      </c>
      <c r="T925" s="325">
        <v>17113</v>
      </c>
      <c r="U925" s="50"/>
      <c r="V925" s="50"/>
      <c r="W925" s="50"/>
      <c r="X925" s="50"/>
      <c r="Y925" s="50"/>
    </row>
    <row r="926" spans="1:29" x14ac:dyDescent="0.2">
      <c r="A926" s="60">
        <v>23</v>
      </c>
      <c r="B926" s="70" t="s">
        <v>1404</v>
      </c>
      <c r="C926" s="56" t="s">
        <v>1423</v>
      </c>
      <c r="D926" s="66">
        <f t="shared" ca="1" si="263"/>
        <v>139732</v>
      </c>
      <c r="F926" s="57">
        <f ca="1">INDEX(INDIRECT($C926),1,F$12+1)*$T926</f>
        <v>130861.99047819091</v>
      </c>
      <c r="H926" s="60">
        <f ca="1">INDEX(INDIRECT($C926),1,H$12+1)*$T926</f>
        <v>8870.0095218090937</v>
      </c>
      <c r="I926" s="60">
        <f ca="1">(L926+M926+N926)</f>
        <v>0</v>
      </c>
      <c r="L926" s="60">
        <f t="shared" ca="1" si="267"/>
        <v>0</v>
      </c>
      <c r="M926" s="60"/>
      <c r="N926" s="60">
        <f ca="1">SUM(O926:Q926)</f>
        <v>0</v>
      </c>
      <c r="O926" s="60">
        <f t="shared" ca="1" si="271"/>
        <v>0</v>
      </c>
      <c r="P926" s="60">
        <f t="shared" ca="1" si="271"/>
        <v>0</v>
      </c>
      <c r="Q926" s="60">
        <f ca="1">INDEX(INDIRECT($C926),1,Q$12+1)*$T926</f>
        <v>0</v>
      </c>
      <c r="T926" s="325">
        <v>139732</v>
      </c>
      <c r="U926" s="50"/>
      <c r="V926" s="50"/>
      <c r="W926" s="50"/>
      <c r="X926" s="50"/>
      <c r="Y926" s="50"/>
    </row>
    <row r="927" spans="1:29" x14ac:dyDescent="0.2">
      <c r="A927" s="60">
        <v>24</v>
      </c>
      <c r="B927" s="70" t="s">
        <v>1406</v>
      </c>
      <c r="C927" s="56" t="s">
        <v>1426</v>
      </c>
      <c r="D927" s="66">
        <f t="shared" ca="1" si="263"/>
        <v>22525</v>
      </c>
      <c r="F927" s="57">
        <f ca="1">INDEX(INDIRECT($C927),1,F$12+1)*$T927</f>
        <v>22525</v>
      </c>
      <c r="H927" s="60">
        <f ca="1">INDEX(INDIRECT($C927),1,H$12+1)*$T927</f>
        <v>0</v>
      </c>
      <c r="I927" s="60">
        <f ca="1">(L927+M927+N927)</f>
        <v>0</v>
      </c>
      <c r="L927" s="60">
        <f t="shared" ca="1" si="267"/>
        <v>0</v>
      </c>
      <c r="M927" s="60"/>
      <c r="N927" s="60">
        <f ca="1">SUM(O927:Q927)</f>
        <v>0</v>
      </c>
      <c r="O927" s="60">
        <f t="shared" ca="1" si="271"/>
        <v>0</v>
      </c>
      <c r="P927" s="60">
        <f t="shared" ca="1" si="271"/>
        <v>0</v>
      </c>
      <c r="Q927" s="60">
        <f ca="1">INDEX(INDIRECT($C927),1,Q$12+1)*$T927</f>
        <v>0</v>
      </c>
      <c r="T927" s="325">
        <v>22525</v>
      </c>
      <c r="U927" s="50"/>
      <c r="V927" s="50"/>
      <c r="W927" s="50"/>
      <c r="X927" s="50"/>
      <c r="Y927" s="50"/>
    </row>
    <row r="928" spans="1:29" x14ac:dyDescent="0.2">
      <c r="A928" s="60">
        <v>25</v>
      </c>
      <c r="B928" s="70" t="s">
        <v>1430</v>
      </c>
      <c r="C928" s="56" t="s">
        <v>1429</v>
      </c>
      <c r="D928" s="66">
        <f t="shared" ref="D928:D930" ca="1" si="272">SUM(F928:I928)+K928</f>
        <v>15192.000000000002</v>
      </c>
      <c r="F928" s="57">
        <f ca="1">INDEX(INDIRECT($C928),1,F$12+1)*$T928</f>
        <v>14276.52229638957</v>
      </c>
      <c r="H928" s="60">
        <f t="shared" ca="1" si="264"/>
        <v>915.47770361043069</v>
      </c>
      <c r="I928" s="60">
        <f t="shared" ca="1" si="269"/>
        <v>0</v>
      </c>
      <c r="L928" s="60">
        <f t="shared" ca="1" si="265"/>
        <v>0</v>
      </c>
      <c r="M928" s="60"/>
      <c r="N928" s="60">
        <f t="shared" ca="1" si="270"/>
        <v>0</v>
      </c>
      <c r="O928" s="60">
        <f t="shared" ca="1" si="266"/>
        <v>0</v>
      </c>
      <c r="P928" s="60">
        <f t="shared" ca="1" si="266"/>
        <v>0</v>
      </c>
      <c r="Q928" s="60">
        <f t="shared" ca="1" si="266"/>
        <v>0</v>
      </c>
      <c r="T928" s="325">
        <v>15192</v>
      </c>
      <c r="U928" s="50"/>
      <c r="V928" s="50"/>
      <c r="W928" s="50"/>
      <c r="X928" s="50"/>
      <c r="AA928" s="100"/>
    </row>
    <row r="929" spans="1:31" x14ac:dyDescent="0.2">
      <c r="A929" s="60">
        <v>26</v>
      </c>
      <c r="B929" s="70" t="s">
        <v>1408</v>
      </c>
      <c r="C929" s="56" t="s">
        <v>1409</v>
      </c>
      <c r="D929" s="66">
        <f ca="1">SUM(F929:I929)+K929</f>
        <v>-3602</v>
      </c>
      <c r="F929" s="57">
        <f ca="1">INDEX(INDIRECT($C929),1,F$12+1)*$T929</f>
        <v>-3602</v>
      </c>
      <c r="H929" s="60">
        <f t="shared" ca="1" si="264"/>
        <v>0</v>
      </c>
      <c r="I929" s="60">
        <f ca="1">(L929+M929+N929)</f>
        <v>0</v>
      </c>
      <c r="L929" s="60">
        <f t="shared" ca="1" si="265"/>
        <v>0</v>
      </c>
      <c r="M929" s="60"/>
      <c r="N929" s="60">
        <f ca="1">SUM(O929:Q929)</f>
        <v>0</v>
      </c>
      <c r="O929" s="60">
        <f t="shared" ref="O929" ca="1" si="273">INDEX(INDIRECT($C929),1,O$12+1)*$T929</f>
        <v>0</v>
      </c>
      <c r="P929" s="60">
        <f ca="1">INDEX(INDIRECT($C929),1,P$12+1)*$T929</f>
        <v>0</v>
      </c>
      <c r="Q929" s="60">
        <f t="shared" ref="Q929" ca="1" si="274">INDEX(INDIRECT($C929),1,Q$12+1)*$T929</f>
        <v>0</v>
      </c>
      <c r="T929" s="325">
        <v>-3602</v>
      </c>
      <c r="U929" s="50"/>
      <c r="V929" s="50"/>
      <c r="W929" s="50"/>
      <c r="X929" s="50"/>
      <c r="Y929" s="97"/>
    </row>
    <row r="930" spans="1:31" x14ac:dyDescent="0.2">
      <c r="A930" s="60">
        <v>27</v>
      </c>
      <c r="B930" s="48" t="s">
        <v>180</v>
      </c>
      <c r="C930" s="58"/>
      <c r="D930" s="66">
        <f t="shared" ca="1" si="272"/>
        <v>26110361.000000004</v>
      </c>
      <c r="F930" s="60">
        <f ca="1">SUM(F920:F929)</f>
        <v>21941249.198823474</v>
      </c>
      <c r="H930" s="60">
        <f ca="1">SUM(H920:H929)</f>
        <v>1168622.117635634</v>
      </c>
      <c r="I930" s="60">
        <f t="shared" ca="1" si="269"/>
        <v>3000489.6835408946</v>
      </c>
      <c r="L930" s="60">
        <f ca="1">SUM(L920:L929)</f>
        <v>451.77347554322353</v>
      </c>
      <c r="M930" s="60"/>
      <c r="N930" s="60">
        <f t="shared" ca="1" si="270"/>
        <v>3000037.9100653515</v>
      </c>
      <c r="O930" s="60">
        <f ca="1">SUM(O920:O929)</f>
        <v>889757.07006392104</v>
      </c>
      <c r="P930" s="60">
        <f ca="1">SUM(P920:P929)</f>
        <v>2110280.8400014304</v>
      </c>
      <c r="Q930" s="60">
        <f ca="1">SUM(Q920:Q929)</f>
        <v>0</v>
      </c>
      <c r="T930" s="58"/>
      <c r="U930" s="50"/>
      <c r="W930" s="50"/>
    </row>
    <row r="931" spans="1:31" x14ac:dyDescent="0.2">
      <c r="C931" s="58"/>
      <c r="W931" s="88" t="s">
        <v>326</v>
      </c>
    </row>
    <row r="932" spans="1:31" x14ac:dyDescent="0.2">
      <c r="A932" s="60">
        <v>28</v>
      </c>
      <c r="B932" s="48" t="s">
        <v>181</v>
      </c>
      <c r="C932" s="58"/>
      <c r="D932" s="66">
        <f ca="1">SUM(F932:I932)+K932</f>
        <v>1522035956.74</v>
      </c>
      <c r="F932" s="60">
        <f ca="1">F930+F917</f>
        <v>1342076919.5654504</v>
      </c>
      <c r="H932" s="60">
        <f ca="1">H930+H917</f>
        <v>75816559.35003905</v>
      </c>
      <c r="I932" s="60">
        <f ca="1">(L932+M932+N932)</f>
        <v>104142477.82451053</v>
      </c>
      <c r="L932" s="60">
        <f ca="1">L930+L917</f>
        <v>6663.0818311375333</v>
      </c>
      <c r="M932" s="60"/>
      <c r="N932" s="60">
        <f ca="1">SUM(O932:Q932)</f>
        <v>104135814.74267939</v>
      </c>
      <c r="O932" s="60">
        <f ca="1">O930+O917</f>
        <v>33654442.050709493</v>
      </c>
      <c r="P932" s="60">
        <f ca="1">P930+P917</f>
        <v>70481372.691969886</v>
      </c>
      <c r="Q932" s="60">
        <f ca="1">Q930+Q917</f>
        <v>0</v>
      </c>
      <c r="W932" s="332">
        <v>1522035957.1099999</v>
      </c>
      <c r="X932" s="331">
        <f ca="1">D932-W932</f>
        <v>-0.36999988555908203</v>
      </c>
    </row>
    <row r="933" spans="1:31" x14ac:dyDescent="0.2">
      <c r="C933" s="58"/>
      <c r="W933" s="50"/>
    </row>
    <row r="934" spans="1:31" x14ac:dyDescent="0.2">
      <c r="C934" s="58"/>
      <c r="W934" s="50"/>
    </row>
    <row r="935" spans="1:31" x14ac:dyDescent="0.2">
      <c r="B935" s="64" t="s">
        <v>182</v>
      </c>
      <c r="C935" s="58"/>
      <c r="W935" s="50"/>
    </row>
    <row r="936" spans="1:31" x14ac:dyDescent="0.2">
      <c r="C936" s="58"/>
      <c r="W936" s="50"/>
    </row>
    <row r="937" spans="1:31" x14ac:dyDescent="0.2">
      <c r="B937" s="48" t="s">
        <v>183</v>
      </c>
      <c r="C937" s="58"/>
      <c r="W937" s="50"/>
      <c r="X937" s="91"/>
      <c r="Y937" s="168" t="s">
        <v>1526</v>
      </c>
      <c r="Z937" s="40" t="s">
        <v>1377</v>
      </c>
      <c r="AA937" s="40" t="s">
        <v>998</v>
      </c>
    </row>
    <row r="938" spans="1:31" x14ac:dyDescent="0.2">
      <c r="A938" s="60">
        <v>1</v>
      </c>
      <c r="B938" s="48" t="s">
        <v>184</v>
      </c>
      <c r="C938" s="51" t="s">
        <v>1083</v>
      </c>
      <c r="D938" s="66">
        <f t="shared" ref="D938:D951" ca="1" si="275">SUM(F938:I938)+K938</f>
        <v>5863734.8500000006</v>
      </c>
      <c r="F938" s="60">
        <f t="shared" ref="F938:F944" ca="1" si="276">INDEX(INDIRECT($C938),1,F$12+1)*$T938</f>
        <v>5020058.5214573201</v>
      </c>
      <c r="H938" s="60">
        <f t="shared" ref="H938:H944" ca="1" si="277">INDEX(INDIRECT($C938),1,H$12+1)*$T938</f>
        <v>305263.99230084603</v>
      </c>
      <c r="I938" s="60">
        <f t="shared" ref="I938:I951" ca="1" si="278">(L938+M938+N938)</f>
        <v>538412.33624183445</v>
      </c>
      <c r="L938" s="60">
        <f t="shared" ref="L938:L944" ca="1" si="279">INDEX(INDIRECT($C938),1,L$12+1)*$T938</f>
        <v>44.386199198368878</v>
      </c>
      <c r="M938" s="60"/>
      <c r="N938" s="60">
        <f t="shared" ref="N938:N951" ca="1" si="280">SUM(O938:Q938)</f>
        <v>538367.95004263613</v>
      </c>
      <c r="O938" s="60">
        <f t="shared" ref="O938:Q944" ca="1" si="281">INDEX(INDIRECT($C938),1,O$12+1)*$T938</f>
        <v>167984.46003107197</v>
      </c>
      <c r="P938" s="60">
        <f t="shared" ca="1" si="281"/>
        <v>370383.49001156411</v>
      </c>
      <c r="Q938" s="60">
        <f t="shared" ca="1" si="281"/>
        <v>0</v>
      </c>
      <c r="T938" s="325">
        <v>5863734.8500000006</v>
      </c>
      <c r="U938" s="92">
        <v>500</v>
      </c>
      <c r="V938" s="92"/>
      <c r="W938" s="92">
        <f>SUMIF('O&amp;M'!$B$3:$B$87,TOTALCO!U938,'O&amp;M'!$F$3:$F$87)</f>
        <v>5863734.8500000006</v>
      </c>
      <c r="X938" s="333">
        <f ca="1">D938-T938</f>
        <v>0</v>
      </c>
      <c r="Y938" s="92"/>
    </row>
    <row r="939" spans="1:31" x14ac:dyDescent="0.2">
      <c r="A939" s="60">
        <v>2</v>
      </c>
      <c r="B939" s="48" t="s">
        <v>185</v>
      </c>
      <c r="C939" s="51" t="s">
        <v>683</v>
      </c>
      <c r="D939" s="66">
        <f t="shared" ca="1" si="275"/>
        <v>485118156.84999996</v>
      </c>
      <c r="F939" s="60">
        <f t="shared" ca="1" si="276"/>
        <v>420872445.06242895</v>
      </c>
      <c r="H939" s="60">
        <f t="shared" ca="1" si="277"/>
        <v>22253369.215427212</v>
      </c>
      <c r="I939" s="60">
        <f t="shared" ca="1" si="278"/>
        <v>41992342.572143801</v>
      </c>
      <c r="L939" s="60">
        <f t="shared" ca="1" si="279"/>
        <v>2313.5856123565709</v>
      </c>
      <c r="M939" s="60"/>
      <c r="N939" s="60">
        <f t="shared" ca="1" si="280"/>
        <v>41990028.986531444</v>
      </c>
      <c r="O939" s="60">
        <f t="shared" ca="1" si="281"/>
        <v>13707500.58929548</v>
      </c>
      <c r="P939" s="60">
        <f t="shared" ca="1" si="281"/>
        <v>28282528.397235963</v>
      </c>
      <c r="Q939" s="60">
        <f t="shared" ca="1" si="281"/>
        <v>0</v>
      </c>
      <c r="T939" s="325">
        <v>485118156.84999996</v>
      </c>
      <c r="U939" s="92">
        <v>501</v>
      </c>
      <c r="V939" s="92"/>
      <c r="W939" s="92">
        <f>SUMIF('O&amp;M'!$B$3:$B$87,TOTALCO!U939,'O&amp;M'!$F$3:$F$87)</f>
        <v>485118156.84999996</v>
      </c>
      <c r="X939" s="333">
        <f ca="1">D939-T939</f>
        <v>0</v>
      </c>
      <c r="Y939" s="92"/>
    </row>
    <row r="940" spans="1:31" x14ac:dyDescent="0.2">
      <c r="A940" s="60">
        <v>3</v>
      </c>
      <c r="B940" s="48" t="s">
        <v>186</v>
      </c>
      <c r="C940" s="51" t="s">
        <v>1099</v>
      </c>
      <c r="D940" s="66">
        <f t="shared" ca="1" si="275"/>
        <v>0</v>
      </c>
      <c r="F940" s="60">
        <f t="shared" ca="1" si="276"/>
        <v>0</v>
      </c>
      <c r="H940" s="60">
        <f t="shared" ca="1" si="277"/>
        <v>0</v>
      </c>
      <c r="I940" s="60">
        <f t="shared" ca="1" si="278"/>
        <v>0</v>
      </c>
      <c r="L940" s="60">
        <f t="shared" ca="1" si="279"/>
        <v>0</v>
      </c>
      <c r="M940" s="60"/>
      <c r="N940" s="60">
        <f t="shared" ca="1" si="280"/>
        <v>0</v>
      </c>
      <c r="O940" s="60">
        <f t="shared" ca="1" si="281"/>
        <v>0</v>
      </c>
      <c r="P940" s="60">
        <f t="shared" ca="1" si="281"/>
        <v>0</v>
      </c>
      <c r="Q940" s="60">
        <f t="shared" ca="1" si="281"/>
        <v>0</v>
      </c>
      <c r="T940" s="58"/>
      <c r="U940" s="92"/>
      <c r="V940" s="92"/>
      <c r="W940" s="92"/>
      <c r="X940" s="93"/>
      <c r="Y940" s="92"/>
    </row>
    <row r="941" spans="1:31" x14ac:dyDescent="0.2">
      <c r="A941" s="60">
        <v>4</v>
      </c>
      <c r="B941" s="48" t="s">
        <v>187</v>
      </c>
      <c r="C941" s="51" t="s">
        <v>1083</v>
      </c>
      <c r="D941" s="66">
        <f t="shared" ca="1" si="275"/>
        <v>17641803.080000002</v>
      </c>
      <c r="F941" s="60">
        <f t="shared" ca="1" si="276"/>
        <v>15103336.244892649</v>
      </c>
      <c r="H941" s="60">
        <f t="shared" ca="1" si="277"/>
        <v>918416.52830763638</v>
      </c>
      <c r="I941" s="60">
        <f t="shared" ca="1" si="278"/>
        <v>1620050.3067997138</v>
      </c>
      <c r="L941" s="60">
        <f t="shared" ca="1" si="279"/>
        <v>133.54021437406249</v>
      </c>
      <c r="M941" s="60"/>
      <c r="N941" s="60">
        <f t="shared" ca="1" si="280"/>
        <v>1619916.7665853398</v>
      </c>
      <c r="O941" s="60">
        <f ca="1">INDEX(INDIRECT($C941),1,O$12+1)*$T941+$Z941</f>
        <v>505455.13214255736</v>
      </c>
      <c r="P941" s="60">
        <f ca="1">INDEX(INDIRECT($C941),1,P$12+1)*$T941+$AA941</f>
        <v>1114461.6344427825</v>
      </c>
      <c r="Q941" s="60">
        <f t="shared" ca="1" si="281"/>
        <v>0</v>
      </c>
      <c r="T941" s="85">
        <f>W941-Y941</f>
        <v>17641618.859999999</v>
      </c>
      <c r="U941" s="92">
        <v>502</v>
      </c>
      <c r="V941" s="92">
        <v>504</v>
      </c>
      <c r="W941" s="92">
        <f>SUMIF('O&amp;M'!$B$3:$B$87,TOTALCO!U941,'O&amp;M'!$F$3:$F$87)+SUMIF('O&amp;M'!$B$3:$B$87,TOTALCO!V941,'O&amp;M'!$F$3:$F$87)</f>
        <v>17641803.079999998</v>
      </c>
      <c r="X941" s="333">
        <f ca="1">D941-W941</f>
        <v>0</v>
      </c>
      <c r="Y941" s="92">
        <f>SUMIF('FERC SpareParts'!$A$3:$A$10,TOTALCO!U941,'FERC SpareParts'!$F$3:$F$10)</f>
        <v>184.22</v>
      </c>
      <c r="Z941" s="34">
        <f ca="1">$Y941*AB$941/$AD$941</f>
        <v>57.481314079846875</v>
      </c>
      <c r="AA941" s="34">
        <f ca="1">$Y941*AC$941/$AD$941</f>
        <v>126.73868592015312</v>
      </c>
      <c r="AB941" s="488">
        <f ca="1">O400</f>
        <v>2.8648031387550198E-2</v>
      </c>
      <c r="AC941" s="488">
        <f ca="1">P400</f>
        <v>6.3165115662002363E-2</v>
      </c>
      <c r="AD941" s="488">
        <f ca="1">AB941+AC941</f>
        <v>9.1813147049552568E-2</v>
      </c>
      <c r="AE941" s="34" t="str">
        <f>C400</f>
        <v>STMPLT</v>
      </c>
    </row>
    <row r="942" spans="1:31" x14ac:dyDescent="0.2">
      <c r="A942" s="60">
        <v>5</v>
      </c>
      <c r="B942" s="48" t="s">
        <v>188</v>
      </c>
      <c r="C942" s="51" t="s">
        <v>1083</v>
      </c>
      <c r="D942" s="66">
        <f t="shared" ca="1" si="275"/>
        <v>7242233.3499999996</v>
      </c>
      <c r="F942" s="60">
        <f t="shared" ca="1" si="276"/>
        <v>6200218.1498793196</v>
      </c>
      <c r="H942" s="60">
        <f t="shared" ca="1" si="277"/>
        <v>377028.14369161491</v>
      </c>
      <c r="I942" s="60">
        <f t="shared" ca="1" si="278"/>
        <v>664987.05642906518</v>
      </c>
      <c r="L942" s="60">
        <f t="shared" ca="1" si="279"/>
        <v>54.820898341638056</v>
      </c>
      <c r="M942" s="60"/>
      <c r="N942" s="60">
        <f t="shared" ca="1" si="280"/>
        <v>664932.23553072358</v>
      </c>
      <c r="O942" s="60">
        <f t="shared" ref="O942:O944" ca="1" si="282">INDEX(INDIRECT($C942),1,O$12+1)*$T942+$Z942</f>
        <v>207475.72832676279</v>
      </c>
      <c r="P942" s="60">
        <f t="shared" ref="P942:P944" ca="1" si="283">INDEX(INDIRECT($C942),1,P$12+1)*$T942+$AA942</f>
        <v>457456.50720396085</v>
      </c>
      <c r="Q942" s="60">
        <f t="shared" ca="1" si="281"/>
        <v>0</v>
      </c>
      <c r="T942" s="85">
        <f t="shared" ref="T942:T950" si="284">W942-Y942</f>
        <v>7242233.3499999996</v>
      </c>
      <c r="U942" s="92">
        <v>505</v>
      </c>
      <c r="V942" s="92"/>
      <c r="W942" s="92">
        <f>SUMIF('O&amp;M'!$B$3:$B$87,TOTALCO!U942,'O&amp;M'!$F$3:$F$87)+SUMIF('O&amp;M'!$B$3:$B$87,TOTALCO!V942,'O&amp;M'!$F$3:$F$87)</f>
        <v>7242233.3499999996</v>
      </c>
      <c r="X942" s="333">
        <f t="shared" ref="X942:X950" ca="1" si="285">D942-W942</f>
        <v>0</v>
      </c>
      <c r="Y942" s="92">
        <f>SUMIF('FERC SpareParts'!$A$3:$A$10,TOTALCO!U942,'FERC SpareParts'!$F$3:$F$10)</f>
        <v>0</v>
      </c>
      <c r="Z942" s="34">
        <f t="shared" ref="Z942:Z944" ca="1" si="286">$Y942*AB$941/$AD$941</f>
        <v>0</v>
      </c>
      <c r="AA942" s="34">
        <f t="shared" ref="AA942:AA944" ca="1" si="287">$Y942*AC$941/$AD$941</f>
        <v>0</v>
      </c>
    </row>
    <row r="943" spans="1:31" x14ac:dyDescent="0.2">
      <c r="A943" s="60">
        <v>6</v>
      </c>
      <c r="B943" s="48" t="s">
        <v>189</v>
      </c>
      <c r="C943" s="51" t="s">
        <v>1083</v>
      </c>
      <c r="D943" s="66">
        <f t="shared" ca="1" si="275"/>
        <v>24650925.360000003</v>
      </c>
      <c r="F943" s="60">
        <f t="shared" ca="1" si="276"/>
        <v>21102859.757187854</v>
      </c>
      <c r="H943" s="60">
        <f t="shared" ca="1" si="277"/>
        <v>1283240.6616196046</v>
      </c>
      <c r="I943" s="60">
        <f t="shared" ca="1" si="278"/>
        <v>2264824.941192545</v>
      </c>
      <c r="L943" s="60">
        <f t="shared" ca="1" si="279"/>
        <v>186.5866170352663</v>
      </c>
      <c r="M943" s="60"/>
      <c r="N943" s="60">
        <f t="shared" ca="1" si="280"/>
        <v>2264638.3545755097</v>
      </c>
      <c r="O943" s="60">
        <f t="shared" ca="1" si="282"/>
        <v>706624.62564663182</v>
      </c>
      <c r="P943" s="60">
        <f t="shared" ca="1" si="283"/>
        <v>1558013.7289288777</v>
      </c>
      <c r="Q943" s="60">
        <f t="shared" ca="1" si="281"/>
        <v>0</v>
      </c>
      <c r="T943" s="85">
        <f t="shared" si="284"/>
        <v>24649428.620000001</v>
      </c>
      <c r="U943" s="92">
        <v>506</v>
      </c>
      <c r="V943" s="92"/>
      <c r="W943" s="92">
        <f>SUMIF('O&amp;M'!$B$3:$B$87,TOTALCO!U943,'O&amp;M'!$F$3:$F$87)+SUMIF('O&amp;M'!$B$3:$B$87,TOTALCO!V943,'O&amp;M'!$F$3:$F$87)</f>
        <v>24650925.359999999</v>
      </c>
      <c r="X943" s="333">
        <f t="shared" ca="1" si="285"/>
        <v>0</v>
      </c>
      <c r="Y943" s="92">
        <f>SUMIF('FERC SpareParts'!$A$3:$A$10,TOTALCO!U943,'FERC SpareParts'!$F$3:$F$10)</f>
        <v>1496.7400000000002</v>
      </c>
      <c r="Z943" s="34">
        <f t="shared" ca="1" si="286"/>
        <v>467.02085569357303</v>
      </c>
      <c r="AA943" s="34">
        <f t="shared" ca="1" si="287"/>
        <v>1029.7191443064271</v>
      </c>
    </row>
    <row r="944" spans="1:31" x14ac:dyDescent="0.2">
      <c r="A944" s="60">
        <v>7</v>
      </c>
      <c r="B944" s="48" t="s">
        <v>190</v>
      </c>
      <c r="C944" s="51" t="s">
        <v>1083</v>
      </c>
      <c r="D944" s="66">
        <f t="shared" ca="1" si="275"/>
        <v>138987.44</v>
      </c>
      <c r="F944" s="60">
        <f t="shared" ca="1" si="276"/>
        <v>118989.87597427568</v>
      </c>
      <c r="H944" s="60">
        <f t="shared" ca="1" si="277"/>
        <v>7235.6376779339353</v>
      </c>
      <c r="I944" s="60">
        <f t="shared" ca="1" si="278"/>
        <v>12761.926347790399</v>
      </c>
      <c r="L944" s="60">
        <f t="shared" ca="1" si="279"/>
        <v>1.0520810295355258</v>
      </c>
      <c r="M944" s="60"/>
      <c r="N944" s="60">
        <f t="shared" ca="1" si="280"/>
        <v>12760.874266760864</v>
      </c>
      <c r="O944" s="60">
        <f t="shared" ca="1" si="282"/>
        <v>3981.7165435952497</v>
      </c>
      <c r="P944" s="60">
        <f t="shared" ca="1" si="283"/>
        <v>8779.1577231656138</v>
      </c>
      <c r="Q944" s="60">
        <f t="shared" ca="1" si="281"/>
        <v>0</v>
      </c>
      <c r="T944" s="85">
        <f t="shared" si="284"/>
        <v>138987.44</v>
      </c>
      <c r="U944" s="92">
        <v>509</v>
      </c>
      <c r="V944" s="92">
        <v>507</v>
      </c>
      <c r="W944" s="92">
        <f>SUMIF('O&amp;M'!$B$3:$B$87,TOTALCO!U944,'O&amp;M'!$F$3:$F$87)+SUMIF('O&amp;M'!$B$3:$B$87,TOTALCO!V944,'O&amp;M'!$F$3:$F$87)</f>
        <v>138987.44</v>
      </c>
      <c r="X944" s="333">
        <f t="shared" ca="1" si="285"/>
        <v>0</v>
      </c>
      <c r="Y944" s="92">
        <f>SUMIF('FERC SpareParts'!$A$3:$A$10,TOTALCO!U944,'FERC SpareParts'!$F$3:$F$10)</f>
        <v>0</v>
      </c>
      <c r="Z944" s="34">
        <f t="shared" ca="1" si="286"/>
        <v>0</v>
      </c>
      <c r="AA944" s="34">
        <f t="shared" ca="1" si="287"/>
        <v>0</v>
      </c>
    </row>
    <row r="945" spans="1:31" x14ac:dyDescent="0.2">
      <c r="A945" s="60">
        <v>8</v>
      </c>
      <c r="B945" s="48" t="s">
        <v>191</v>
      </c>
      <c r="C945" s="58"/>
      <c r="D945" s="66">
        <f t="shared" ca="1" si="275"/>
        <v>540655840.93000007</v>
      </c>
      <c r="F945" s="60">
        <f ca="1">SUM(F938:F944)</f>
        <v>468417907.6118204</v>
      </c>
      <c r="H945" s="60">
        <f ca="1">SUM(H938:H944)</f>
        <v>25144554.179024845</v>
      </c>
      <c r="I945" s="60">
        <f t="shared" ca="1" si="278"/>
        <v>47093379.139154747</v>
      </c>
      <c r="L945" s="60">
        <f ca="1">SUM(L938:L944)</f>
        <v>2733.9716223354426</v>
      </c>
      <c r="M945" s="60"/>
      <c r="N945" s="60">
        <f t="shared" ca="1" si="280"/>
        <v>47090645.167532414</v>
      </c>
      <c r="O945" s="60">
        <f ca="1">SUM(O938:O944)</f>
        <v>15299022.251986098</v>
      </c>
      <c r="P945" s="60">
        <f ca="1">SUM(P938:P944)</f>
        <v>31791622.91554632</v>
      </c>
      <c r="Q945" s="60">
        <f ca="1">SUM(Q938:Q944)</f>
        <v>0</v>
      </c>
      <c r="T945" s="85"/>
      <c r="U945" s="92"/>
      <c r="V945" s="92"/>
      <c r="W945" s="92"/>
      <c r="X945" s="333"/>
      <c r="Y945" s="92"/>
    </row>
    <row r="946" spans="1:31" x14ac:dyDescent="0.2">
      <c r="A946" s="60">
        <v>9</v>
      </c>
      <c r="B946" s="48" t="s">
        <v>192</v>
      </c>
      <c r="C946" s="51" t="s">
        <v>1083</v>
      </c>
      <c r="D946" s="66">
        <f t="shared" ca="1" si="275"/>
        <v>7698348.790000001</v>
      </c>
      <c r="F946" s="60">
        <f ca="1">INDEX(INDIRECT($C946),1,F$12+1)*$T946</f>
        <v>6590707.5324850595</v>
      </c>
      <c r="H946" s="60">
        <f ca="1">INDEX(INDIRECT($C946),1,H$12+1)*$T946</f>
        <v>400773.35450455896</v>
      </c>
      <c r="I946" s="60">
        <f t="shared" ca="1" si="278"/>
        <v>706867.90301038232</v>
      </c>
      <c r="L946" s="60">
        <f ca="1">INDEX(INDIRECT($C946),1,L$12+1)*$T946</f>
        <v>58.273515367336564</v>
      </c>
      <c r="M946" s="60"/>
      <c r="N946" s="60">
        <f t="shared" ca="1" si="280"/>
        <v>706809.62949501502</v>
      </c>
      <c r="O946" s="60">
        <f t="shared" ref="O946:O950" ca="1" si="288">INDEX(INDIRECT($C946),1,O$12+1)*$T946+$Z946</f>
        <v>220542.53776822909</v>
      </c>
      <c r="P946" s="60">
        <f t="shared" ref="P946:P950" ca="1" si="289">INDEX(INDIRECT($C946),1,P$12+1)*$T946+$AA946</f>
        <v>486267.09172678593</v>
      </c>
      <c r="Q946" s="60">
        <f t="shared" ref="Q946:Q950" ca="1" si="290">INDEX(INDIRECT($C946),1,Q$12+1)*$T946</f>
        <v>0</v>
      </c>
      <c r="T946" s="85">
        <f t="shared" si="284"/>
        <v>7698348.79</v>
      </c>
      <c r="U946" s="92">
        <v>510</v>
      </c>
      <c r="V946" s="92"/>
      <c r="W946" s="92">
        <f>SUMIF('O&amp;M'!$B$3:$B$87,TOTALCO!U946,'O&amp;M'!$F$3:$F$87)+SUMIF('O&amp;M'!$B$3:$B$87,TOTALCO!V946,'O&amp;M'!$F$3:$F$87)</f>
        <v>7698348.79</v>
      </c>
      <c r="X946" s="333">
        <f t="shared" ca="1" si="285"/>
        <v>0</v>
      </c>
      <c r="Y946" s="92">
        <f>SUMIF('FERC SpareParts'!$A$3:$A$10,TOTALCO!U946,'FERC SpareParts'!$F$3:$F$10)</f>
        <v>0</v>
      </c>
      <c r="Z946" s="34">
        <f t="shared" ref="Z946:Z947" ca="1" si="291">$Y946*AB$941/$AD$941</f>
        <v>0</v>
      </c>
      <c r="AA946" s="34">
        <f t="shared" ref="AA946:AA947" ca="1" si="292">$Y946*AC$941/$AD$941</f>
        <v>0</v>
      </c>
    </row>
    <row r="947" spans="1:31" x14ac:dyDescent="0.2">
      <c r="A947" s="60">
        <v>10</v>
      </c>
      <c r="B947" s="48" t="s">
        <v>193</v>
      </c>
      <c r="C947" s="51" t="s">
        <v>1083</v>
      </c>
      <c r="D947" s="66">
        <f t="shared" ca="1" si="275"/>
        <v>5922842.7300000023</v>
      </c>
      <c r="F947" s="60">
        <f ca="1">INDEX(INDIRECT($C947),1,F$12+1)*$T947</f>
        <v>5063204.9561473373</v>
      </c>
      <c r="H947" s="60">
        <f ca="1">INDEX(INDIRECT($C947),1,H$12+1)*$T947</f>
        <v>307887.67743334494</v>
      </c>
      <c r="I947" s="60">
        <f t="shared" ca="1" si="278"/>
        <v>551750.09641931998</v>
      </c>
      <c r="L947" s="60">
        <f ca="1">INDEX(INDIRECT($C947),1,L$12+1)*$T947</f>
        <v>44.767690018976786</v>
      </c>
      <c r="M947" s="60"/>
      <c r="N947" s="60">
        <f t="shared" ca="1" si="280"/>
        <v>551705.32872930099</v>
      </c>
      <c r="O947" s="60">
        <f t="shared" ca="1" si="288"/>
        <v>172146.0605809039</v>
      </c>
      <c r="P947" s="60">
        <f t="shared" ca="1" si="289"/>
        <v>379559.2681483971</v>
      </c>
      <c r="Q947" s="60">
        <f t="shared" ca="1" si="290"/>
        <v>0</v>
      </c>
      <c r="T947" s="85">
        <f t="shared" si="284"/>
        <v>5914132.5200000014</v>
      </c>
      <c r="U947" s="92">
        <v>511</v>
      </c>
      <c r="V947" s="92"/>
      <c r="W947" s="92">
        <f>SUMIF('O&amp;M'!$B$3:$B$87,TOTALCO!U947,'O&amp;M'!$F$3:$F$87)+SUMIF('O&amp;M'!$B$3:$B$87,TOTALCO!V947,'O&amp;M'!$F$3:$F$87)</f>
        <v>5922842.7300000014</v>
      </c>
      <c r="X947" s="333">
        <f t="shared" ca="1" si="285"/>
        <v>0</v>
      </c>
      <c r="Y947" s="92">
        <f>SUMIF('FERC SpareParts'!$A$3:$A$10,TOTALCO!U947,'FERC SpareParts'!$F$3:$F$10)</f>
        <v>8710.2099999999991</v>
      </c>
      <c r="Z947" s="34">
        <f t="shared" ca="1" si="291"/>
        <v>2717.806517812523</v>
      </c>
      <c r="AA947" s="34">
        <f t="shared" ca="1" si="292"/>
        <v>5992.4034821874757</v>
      </c>
    </row>
    <row r="948" spans="1:31" x14ac:dyDescent="0.2">
      <c r="A948" s="60">
        <v>11</v>
      </c>
      <c r="B948" s="48" t="s">
        <v>194</v>
      </c>
      <c r="C948" s="51" t="s">
        <v>683</v>
      </c>
      <c r="D948" s="66">
        <f t="shared" ca="1" si="275"/>
        <v>40474320.019999996</v>
      </c>
      <c r="F948" s="60">
        <f ca="1">INDEX(INDIRECT($C948),1,F$12+1)*$T948</f>
        <v>34867058.443101168</v>
      </c>
      <c r="H948" s="60">
        <f ca="1">INDEX(INDIRECT($C948),1,H$12+1)*$T948</f>
        <v>1843574.066425557</v>
      </c>
      <c r="I948" s="60">
        <f t="shared" ca="1" si="278"/>
        <v>3763687.5104732723</v>
      </c>
      <c r="L948" s="60">
        <f ca="1">INDEX(INDIRECT($C948),1,L$12+1)*$T948</f>
        <v>191.6683444248504</v>
      </c>
      <c r="M948" s="60"/>
      <c r="N948" s="60">
        <f t="shared" ca="1" si="280"/>
        <v>3763495.8421288473</v>
      </c>
      <c r="O948" s="60">
        <f t="shared" ca="1" si="288"/>
        <v>1228580.2777211578</v>
      </c>
      <c r="P948" s="60">
        <f t="shared" ca="1" si="289"/>
        <v>2534915.5644076895</v>
      </c>
      <c r="Q948" s="60">
        <f t="shared" ca="1" si="290"/>
        <v>0</v>
      </c>
      <c r="T948" s="85">
        <f t="shared" si="284"/>
        <v>40189476.229999997</v>
      </c>
      <c r="U948" s="92">
        <v>512</v>
      </c>
      <c r="V948" s="92"/>
      <c r="W948" s="92">
        <f>SUMIF('O&amp;M'!$B$3:$B$87,TOTALCO!U948,'O&amp;M'!$F$3:$F$87)+SUMIF('O&amp;M'!$B$3:$B$87,TOTALCO!V948,'O&amp;M'!$F$3:$F$87)</f>
        <v>40474320.019999996</v>
      </c>
      <c r="X948" s="333">
        <f t="shared" ca="1" si="285"/>
        <v>0</v>
      </c>
      <c r="Y948" s="92">
        <f>SUMIF('FERC SpareParts'!$A$3:$A$10,TOTALCO!U948,'FERC SpareParts'!$F$3:$F$10)</f>
        <v>284843.78999999998</v>
      </c>
      <c r="Z948" s="34">
        <f>$Y948*AB$948/$AD$948</f>
        <v>92986.275873602019</v>
      </c>
      <c r="AA948" s="34">
        <f>$Y948*AC$948/$AD$948</f>
        <v>191857.51412639799</v>
      </c>
      <c r="AB948" s="488">
        <f>O333</f>
        <v>2.8256004018282668E-2</v>
      </c>
      <c r="AC948" s="488">
        <f>P333</f>
        <v>5.8300288286222628E-2</v>
      </c>
      <c r="AD948" s="488">
        <f>AB948+AC948</f>
        <v>8.6556292304505289E-2</v>
      </c>
      <c r="AE948" s="34" t="str">
        <f>C333</f>
        <v>ENERGY</v>
      </c>
    </row>
    <row r="949" spans="1:31" x14ac:dyDescent="0.2">
      <c r="A949" s="60">
        <v>12</v>
      </c>
      <c r="B949" s="48" t="s">
        <v>195</v>
      </c>
      <c r="C949" s="51" t="s">
        <v>683</v>
      </c>
      <c r="D949" s="66">
        <f t="shared" ca="1" si="275"/>
        <v>12821462.059999999</v>
      </c>
      <c r="F949" s="60">
        <f ca="1">INDEX(INDIRECT($C949),1,F$12+1)*$T949</f>
        <v>11091400.681673247</v>
      </c>
      <c r="H949" s="60">
        <f ca="1">INDEX(INDIRECT($C949),1,H$12+1)*$T949</f>
        <v>586450.92445741931</v>
      </c>
      <c r="I949" s="60">
        <f t="shared" ca="1" si="278"/>
        <v>1143610.4538693323</v>
      </c>
      <c r="L949" s="60">
        <f ca="1">INDEX(INDIRECT($C949),1,L$12+1)*$T949</f>
        <v>60.970741465848988</v>
      </c>
      <c r="M949" s="60"/>
      <c r="N949" s="60">
        <f t="shared" ca="1" si="280"/>
        <v>1143549.4831278664</v>
      </c>
      <c r="O949" s="60">
        <f t="shared" ca="1" si="288"/>
        <v>373307.79692702019</v>
      </c>
      <c r="P949" s="60">
        <f t="shared" ca="1" si="289"/>
        <v>770241.68620084634</v>
      </c>
      <c r="Q949" s="60">
        <f t="shared" ca="1" si="290"/>
        <v>0</v>
      </c>
      <c r="T949" s="85">
        <f t="shared" si="284"/>
        <v>12784490.689999999</v>
      </c>
      <c r="U949" s="92">
        <v>513</v>
      </c>
      <c r="V949" s="92"/>
      <c r="W949" s="92">
        <f>SUMIF('O&amp;M'!$B$3:$B$87,TOTALCO!U949,'O&amp;M'!$F$3:$F$87)+SUMIF('O&amp;M'!$B$3:$B$87,TOTALCO!V949,'O&amp;M'!$F$3:$F$87)</f>
        <v>12821462.059999999</v>
      </c>
      <c r="X949" s="333">
        <f t="shared" ca="1" si="285"/>
        <v>0</v>
      </c>
      <c r="Y949" s="92">
        <f>SUMIF('FERC SpareParts'!$A$3:$A$10,TOTALCO!U949,'FERC SpareParts'!$F$3:$F$10)</f>
        <v>36971.369999999995</v>
      </c>
      <c r="Z949" s="34">
        <f>$Y949*AB$948/$AD$948</f>
        <v>12069.176618682868</v>
      </c>
      <c r="AA949" s="34">
        <f>$Y949*AC$948/$AD$948</f>
        <v>24902.193381317127</v>
      </c>
    </row>
    <row r="950" spans="1:31" x14ac:dyDescent="0.2">
      <c r="A950" s="60">
        <v>13</v>
      </c>
      <c r="B950" s="48" t="s">
        <v>196</v>
      </c>
      <c r="C950" s="51" t="s">
        <v>1083</v>
      </c>
      <c r="D950" s="66">
        <f t="shared" ca="1" si="275"/>
        <v>2252600.2700000005</v>
      </c>
      <c r="F950" s="60">
        <f ca="1">INDEX(INDIRECT($C950),1,F$12+1)*$T950</f>
        <v>1928065.1053386126</v>
      </c>
      <c r="H950" s="60">
        <f ca="1">INDEX(INDIRECT($C950),1,H$12+1)*$T950</f>
        <v>117243.42434572951</v>
      </c>
      <c r="I950" s="60">
        <f t="shared" ca="1" si="278"/>
        <v>207291.7403156583</v>
      </c>
      <c r="L950" s="60">
        <f ca="1">INDEX(INDIRECT($C950),1,L$12+1)*$T950</f>
        <v>17.047506810366833</v>
      </c>
      <c r="M950" s="60"/>
      <c r="N950" s="60">
        <f t="shared" ca="1" si="280"/>
        <v>207274.69280884793</v>
      </c>
      <c r="O950" s="60">
        <f t="shared" ca="1" si="288"/>
        <v>64674.963186131623</v>
      </c>
      <c r="P950" s="60">
        <f t="shared" ca="1" si="289"/>
        <v>142599.72962271632</v>
      </c>
      <c r="Q950" s="60">
        <f t="shared" ca="1" si="290"/>
        <v>0</v>
      </c>
      <c r="T950" s="85">
        <f t="shared" si="284"/>
        <v>2252097.7600000002</v>
      </c>
      <c r="U950" s="92">
        <v>514</v>
      </c>
      <c r="V950" s="92"/>
      <c r="W950" s="92">
        <f>SUMIF('O&amp;M'!$B$3:$B$87,TOTALCO!U950,'O&amp;M'!$F$3:$F$87)+SUMIF('O&amp;M'!$B$3:$B$87,TOTALCO!V950,'O&amp;M'!$F$3:$F$87)</f>
        <v>2252600.27</v>
      </c>
      <c r="X950" s="333">
        <f t="shared" ca="1" si="285"/>
        <v>0</v>
      </c>
      <c r="Y950" s="92">
        <f>SUMIF('FERC SpareParts'!$A$3:$A$10,TOTALCO!U950,'FERC SpareParts'!$F$3:$F$10)</f>
        <v>502.50999999999993</v>
      </c>
      <c r="Z950" s="34">
        <f t="shared" ref="Z950" ca="1" si="293">$Y950*AB$941/$AD$941</f>
        <v>156.79586982012728</v>
      </c>
      <c r="AA950" s="34">
        <f t="shared" ref="AA950" ca="1" si="294">$Y950*AC$941/$AD$941</f>
        <v>345.7141301798726</v>
      </c>
    </row>
    <row r="951" spans="1:31" x14ac:dyDescent="0.2">
      <c r="A951" s="60">
        <v>14</v>
      </c>
      <c r="B951" s="48" t="s">
        <v>197</v>
      </c>
      <c r="C951" s="58"/>
      <c r="D951" s="66">
        <f t="shared" ca="1" si="275"/>
        <v>69169573.86999999</v>
      </c>
      <c r="F951" s="60">
        <f ca="1">SUM(F946:F950)</f>
        <v>59540436.718745418</v>
      </c>
      <c r="H951" s="60">
        <f ca="1">SUM(H946:H950)</f>
        <v>3255929.4471666096</v>
      </c>
      <c r="I951" s="60">
        <f t="shared" ca="1" si="278"/>
        <v>6373207.7040879652</v>
      </c>
      <c r="L951" s="60">
        <f ca="1">SUM(L946:L950)</f>
        <v>372.7277980873796</v>
      </c>
      <c r="M951" s="60"/>
      <c r="N951" s="60">
        <f t="shared" ca="1" si="280"/>
        <v>6372834.9762898777</v>
      </c>
      <c r="O951" s="60">
        <f ca="1">SUM(O946:O950)</f>
        <v>2059251.6361834425</v>
      </c>
      <c r="P951" s="60">
        <f ca="1">SUM(P946:P950)</f>
        <v>4313583.3401064351</v>
      </c>
      <c r="Q951" s="60">
        <f ca="1">SUM(Q946:Q950)</f>
        <v>0</v>
      </c>
      <c r="T951" s="58"/>
      <c r="U951" s="92"/>
      <c r="V951" s="92"/>
      <c r="W951" s="92"/>
      <c r="X951" s="93"/>
    </row>
    <row r="952" spans="1:31" x14ac:dyDescent="0.2">
      <c r="C952" s="58"/>
      <c r="T952" s="86"/>
      <c r="U952" s="92"/>
      <c r="V952" s="92"/>
      <c r="W952" s="92"/>
      <c r="X952" s="93"/>
    </row>
    <row r="953" spans="1:31" x14ac:dyDescent="0.2">
      <c r="A953" s="60">
        <v>15</v>
      </c>
      <c r="B953" s="48" t="s">
        <v>198</v>
      </c>
      <c r="C953" s="58"/>
      <c r="D953" s="66">
        <f ca="1">SUM(F953:I953)+K953</f>
        <v>609825414.80000007</v>
      </c>
      <c r="F953" s="60">
        <f ca="1">F951+F945</f>
        <v>527958344.33056581</v>
      </c>
      <c r="H953" s="60">
        <f ca="1">H951+H945</f>
        <v>28400483.626191456</v>
      </c>
      <c r="I953" s="60">
        <f ca="1">(L953+M953+N953)</f>
        <v>53466586.84324272</v>
      </c>
      <c r="L953" s="60">
        <f ca="1">L951+L945</f>
        <v>3106.6994204228222</v>
      </c>
      <c r="M953" s="60"/>
      <c r="N953" s="60">
        <f ca="1">SUM(O953:Q953)</f>
        <v>53463480.143822297</v>
      </c>
      <c r="O953" s="60">
        <f ca="1">O951+O945</f>
        <v>17358273.888169542</v>
      </c>
      <c r="P953" s="60">
        <f ca="1">P951+P945</f>
        <v>36105206.255652755</v>
      </c>
      <c r="Q953" s="60">
        <f ca="1">Q951+Q945</f>
        <v>0</v>
      </c>
      <c r="T953" s="58"/>
      <c r="U953" s="92"/>
      <c r="V953" s="92"/>
      <c r="W953" s="92"/>
      <c r="X953" s="93"/>
    </row>
    <row r="954" spans="1:31" x14ac:dyDescent="0.2">
      <c r="C954" s="58"/>
      <c r="T954" s="86"/>
      <c r="U954" s="92"/>
      <c r="V954" s="92"/>
      <c r="W954" s="92"/>
      <c r="X954" s="93"/>
    </row>
    <row r="955" spans="1:31" x14ac:dyDescent="0.2">
      <c r="B955" s="48" t="s">
        <v>199</v>
      </c>
      <c r="C955" s="58"/>
      <c r="T955" s="86"/>
      <c r="U955" s="92"/>
      <c r="V955" s="92"/>
      <c r="W955" s="92"/>
      <c r="X955" s="93"/>
    </row>
    <row r="956" spans="1:31" x14ac:dyDescent="0.2">
      <c r="A956" s="60">
        <v>16</v>
      </c>
      <c r="B956" s="48" t="s">
        <v>200</v>
      </c>
      <c r="C956" s="51" t="s">
        <v>1085</v>
      </c>
      <c r="D956" s="66">
        <f t="shared" ref="D956:D968" ca="1" si="295">SUM(F956:I956)+K956</f>
        <v>7943.9700000000012</v>
      </c>
      <c r="F956" s="60">
        <f t="shared" ref="F956:F961" ca="1" si="296">INDEX(INDIRECT($C956),1,F$12+1)*$T956</f>
        <v>6861.0856980262906</v>
      </c>
      <c r="H956" s="60">
        <f t="shared" ref="H956:H961" ca="1" si="297">INDEX(INDIRECT($C956),1,H$12+1)*$T956</f>
        <v>403.0167986841733</v>
      </c>
      <c r="I956" s="60">
        <f t="shared" ref="I956:I968" ca="1" si="298">(L956+M956+N956)</f>
        <v>679.86750328953735</v>
      </c>
      <c r="L956" s="60">
        <f t="shared" ref="L956:L961" ca="1" si="299">INDEX(INDIRECT($C956),1,L$12+1)*$T956</f>
        <v>6.0664136724300113E-2</v>
      </c>
      <c r="M956" s="60"/>
      <c r="N956" s="60">
        <f t="shared" ref="N956:N968" ca="1" si="300">SUM(O956:Q956)</f>
        <v>679.80683915281304</v>
      </c>
      <c r="O956" s="60">
        <f t="shared" ref="O956:Q961" ca="1" si="301">INDEX(INDIRECT($C956),1,O$12+1)*$T956</f>
        <v>212.11698205933553</v>
      </c>
      <c r="P956" s="60">
        <f t="shared" ca="1" si="301"/>
        <v>467.68985709347749</v>
      </c>
      <c r="Q956" s="60">
        <f t="shared" ca="1" si="301"/>
        <v>0</v>
      </c>
      <c r="T956" s="325">
        <v>7943.9700000000012</v>
      </c>
      <c r="U956" s="92">
        <v>535</v>
      </c>
      <c r="V956" s="92"/>
      <c r="W956" s="92">
        <f>SUMIF('O&amp;M'!$B$3:$B$87,TOTALCO!U956,'O&amp;M'!$F$3:$F$87)+SUMIF('O&amp;M'!$B$3:$B$87,TOTALCO!V956,'O&amp;M'!$F$3:$F$87)</f>
        <v>7943.9700000000012</v>
      </c>
      <c r="X956" s="333">
        <f t="shared" ref="X956:X961" ca="1" si="302">D956-T956</f>
        <v>0</v>
      </c>
      <c r="Y956" s="50"/>
    </row>
    <row r="957" spans="1:31" x14ac:dyDescent="0.2">
      <c r="A957" s="60">
        <v>17</v>
      </c>
      <c r="B957" s="48" t="s">
        <v>201</v>
      </c>
      <c r="C957" s="51" t="s">
        <v>1085</v>
      </c>
      <c r="D957" s="66">
        <f t="shared" ca="1" si="295"/>
        <v>0</v>
      </c>
      <c r="F957" s="60">
        <f t="shared" ca="1" si="296"/>
        <v>0</v>
      </c>
      <c r="H957" s="60">
        <f t="shared" ca="1" si="297"/>
        <v>0</v>
      </c>
      <c r="I957" s="60">
        <f t="shared" ca="1" si="298"/>
        <v>0</v>
      </c>
      <c r="L957" s="60">
        <f t="shared" ca="1" si="299"/>
        <v>0</v>
      </c>
      <c r="M957" s="60"/>
      <c r="N957" s="60">
        <f t="shared" ca="1" si="300"/>
        <v>0</v>
      </c>
      <c r="O957" s="60">
        <f t="shared" ca="1" si="301"/>
        <v>0</v>
      </c>
      <c r="P957" s="60">
        <f t="shared" ca="1" si="301"/>
        <v>0</v>
      </c>
      <c r="Q957" s="60">
        <f t="shared" ca="1" si="301"/>
        <v>0</v>
      </c>
      <c r="T957" s="325">
        <v>0</v>
      </c>
      <c r="U957" s="92">
        <v>536</v>
      </c>
      <c r="V957" s="92"/>
      <c r="W957" s="92">
        <f>SUMIF('O&amp;M'!$B$3:$B$87,TOTALCO!U957,'O&amp;M'!$F$3:$F$87)+SUMIF('O&amp;M'!$B$3:$B$87,TOTALCO!V957,'O&amp;M'!$F$3:$F$87)</f>
        <v>0</v>
      </c>
      <c r="X957" s="333">
        <f t="shared" ca="1" si="302"/>
        <v>0</v>
      </c>
      <c r="Y957" s="50"/>
    </row>
    <row r="958" spans="1:31" x14ac:dyDescent="0.2">
      <c r="A958" s="60">
        <v>18</v>
      </c>
      <c r="B958" s="48" t="s">
        <v>202</v>
      </c>
      <c r="C958" s="51" t="s">
        <v>1085</v>
      </c>
      <c r="D958" s="66">
        <f t="shared" ca="1" si="295"/>
        <v>0</v>
      </c>
      <c r="F958" s="60">
        <f t="shared" ca="1" si="296"/>
        <v>0</v>
      </c>
      <c r="H958" s="60">
        <f t="shared" ca="1" si="297"/>
        <v>0</v>
      </c>
      <c r="I958" s="60">
        <f t="shared" ca="1" si="298"/>
        <v>0</v>
      </c>
      <c r="L958" s="60">
        <f t="shared" ca="1" si="299"/>
        <v>0</v>
      </c>
      <c r="M958" s="60"/>
      <c r="N958" s="60">
        <f t="shared" ca="1" si="300"/>
        <v>0</v>
      </c>
      <c r="O958" s="60">
        <f t="shared" ca="1" si="301"/>
        <v>0</v>
      </c>
      <c r="P958" s="60">
        <f t="shared" ca="1" si="301"/>
        <v>0</v>
      </c>
      <c r="Q958" s="60">
        <f t="shared" ca="1" si="301"/>
        <v>0</v>
      </c>
      <c r="T958" s="325">
        <v>0</v>
      </c>
      <c r="U958" s="92">
        <v>537</v>
      </c>
      <c r="V958" s="92"/>
      <c r="W958" s="92">
        <f>SUMIF('O&amp;M'!$B$3:$B$87,TOTALCO!U958,'O&amp;M'!$F$3:$F$87)+SUMIF('O&amp;M'!$B$3:$B$87,TOTALCO!V958,'O&amp;M'!$F$3:$F$87)</f>
        <v>0</v>
      </c>
      <c r="X958" s="333">
        <f t="shared" ca="1" si="302"/>
        <v>0</v>
      </c>
      <c r="Y958" s="50"/>
    </row>
    <row r="959" spans="1:31" x14ac:dyDescent="0.2">
      <c r="A959" s="60">
        <v>19</v>
      </c>
      <c r="B959" s="48" t="s">
        <v>203</v>
      </c>
      <c r="C959" s="51" t="s">
        <v>1085</v>
      </c>
      <c r="D959" s="66">
        <f t="shared" ca="1" si="295"/>
        <v>0</v>
      </c>
      <c r="F959" s="60">
        <f t="shared" ca="1" si="296"/>
        <v>0</v>
      </c>
      <c r="H959" s="60">
        <f t="shared" ca="1" si="297"/>
        <v>0</v>
      </c>
      <c r="I959" s="60">
        <f t="shared" ca="1" si="298"/>
        <v>0</v>
      </c>
      <c r="L959" s="60">
        <f t="shared" ca="1" si="299"/>
        <v>0</v>
      </c>
      <c r="M959" s="60"/>
      <c r="N959" s="60">
        <f t="shared" ca="1" si="300"/>
        <v>0</v>
      </c>
      <c r="O959" s="60">
        <f t="shared" ca="1" si="301"/>
        <v>0</v>
      </c>
      <c r="P959" s="60">
        <f t="shared" ca="1" si="301"/>
        <v>0</v>
      </c>
      <c r="Q959" s="60">
        <f t="shared" ca="1" si="301"/>
        <v>0</v>
      </c>
      <c r="T959" s="325">
        <v>0</v>
      </c>
      <c r="U959" s="92">
        <v>538</v>
      </c>
      <c r="V959" s="92"/>
      <c r="W959" s="92">
        <f>SUMIF('O&amp;M'!$B$3:$B$87,TOTALCO!U959,'O&amp;M'!$F$3:$F$87)+SUMIF('O&amp;M'!$B$3:$B$87,TOTALCO!V959,'O&amp;M'!$F$3:$F$87)</f>
        <v>0</v>
      </c>
      <c r="X959" s="333">
        <f t="shared" ca="1" si="302"/>
        <v>0</v>
      </c>
      <c r="Y959" s="50"/>
    </row>
    <row r="960" spans="1:31" x14ac:dyDescent="0.2">
      <c r="A960" s="60">
        <v>20</v>
      </c>
      <c r="B960" s="48" t="s">
        <v>204</v>
      </c>
      <c r="C960" s="51" t="s">
        <v>1085</v>
      </c>
      <c r="D960" s="66">
        <f t="shared" ca="1" si="295"/>
        <v>44637.38</v>
      </c>
      <c r="F960" s="60">
        <f t="shared" ca="1" si="296"/>
        <v>38552.624130675809</v>
      </c>
      <c r="H960" s="60">
        <f t="shared" ca="1" si="297"/>
        <v>2264.562175996251</v>
      </c>
      <c r="I960" s="60">
        <f t="shared" ca="1" si="298"/>
        <v>3820.1936933279358</v>
      </c>
      <c r="L960" s="60">
        <f t="shared" ca="1" si="299"/>
        <v>0.34087340754491002</v>
      </c>
      <c r="M960" s="60"/>
      <c r="N960" s="60">
        <f t="shared" ca="1" si="300"/>
        <v>3819.8528199203906</v>
      </c>
      <c r="O960" s="60">
        <f t="shared" ca="1" si="301"/>
        <v>1191.8909981578154</v>
      </c>
      <c r="P960" s="60">
        <f t="shared" ca="1" si="301"/>
        <v>2627.9618217625753</v>
      </c>
      <c r="Q960" s="60">
        <f t="shared" ca="1" si="301"/>
        <v>0</v>
      </c>
      <c r="T960" s="325">
        <v>44637.38</v>
      </c>
      <c r="U960" s="92">
        <v>539</v>
      </c>
      <c r="V960" s="92"/>
      <c r="W960" s="92">
        <f>SUMIF('O&amp;M'!$B$3:$B$87,TOTALCO!U960,'O&amp;M'!$F$3:$F$87)+SUMIF('O&amp;M'!$B$3:$B$87,TOTALCO!V960,'O&amp;M'!$F$3:$F$87)</f>
        <v>44637.38</v>
      </c>
      <c r="X960" s="333">
        <f t="shared" ca="1" si="302"/>
        <v>0</v>
      </c>
      <c r="Y960" s="50"/>
    </row>
    <row r="961" spans="1:25" x14ac:dyDescent="0.2">
      <c r="A961" s="60">
        <v>21</v>
      </c>
      <c r="B961" s="48" t="s">
        <v>205</v>
      </c>
      <c r="C961" s="51" t="s">
        <v>1085</v>
      </c>
      <c r="D961" s="66">
        <f t="shared" ca="1" si="295"/>
        <v>0</v>
      </c>
      <c r="F961" s="60">
        <f t="shared" ca="1" si="296"/>
        <v>0</v>
      </c>
      <c r="H961" s="60">
        <f t="shared" ca="1" si="297"/>
        <v>0</v>
      </c>
      <c r="I961" s="60">
        <f t="shared" ca="1" si="298"/>
        <v>0</v>
      </c>
      <c r="L961" s="60">
        <f t="shared" ca="1" si="299"/>
        <v>0</v>
      </c>
      <c r="M961" s="60"/>
      <c r="N961" s="60">
        <f t="shared" ca="1" si="300"/>
        <v>0</v>
      </c>
      <c r="O961" s="60">
        <f t="shared" ca="1" si="301"/>
        <v>0</v>
      </c>
      <c r="P961" s="60">
        <f t="shared" ca="1" si="301"/>
        <v>0</v>
      </c>
      <c r="Q961" s="60">
        <f t="shared" ca="1" si="301"/>
        <v>0</v>
      </c>
      <c r="T961" s="325">
        <v>0</v>
      </c>
      <c r="U961" s="92">
        <v>540</v>
      </c>
      <c r="V961" s="92"/>
      <c r="W961" s="92">
        <f>SUMIF('O&amp;M'!$B$3:$B$87,TOTALCO!U961,'O&amp;M'!$F$3:$F$87)+SUMIF('O&amp;M'!$B$3:$B$87,TOTALCO!V961,'O&amp;M'!$F$3:$F$87)</f>
        <v>0</v>
      </c>
      <c r="X961" s="333">
        <f t="shared" ca="1" si="302"/>
        <v>0</v>
      </c>
      <c r="Y961" s="50"/>
    </row>
    <row r="962" spans="1:25" x14ac:dyDescent="0.2">
      <c r="A962" s="60">
        <v>22</v>
      </c>
      <c r="B962" s="48" t="s">
        <v>206</v>
      </c>
      <c r="C962" s="58"/>
      <c r="D962" s="66">
        <f t="shared" ca="1" si="295"/>
        <v>52581.35</v>
      </c>
      <c r="F962" s="60">
        <f ca="1">SUM(F956:F961)</f>
        <v>45413.7098287021</v>
      </c>
      <c r="H962" s="60">
        <f ca="1">SUM(H956:H961)</f>
        <v>2667.5789746804244</v>
      </c>
      <c r="I962" s="60">
        <f t="shared" ca="1" si="298"/>
        <v>4500.0611966174738</v>
      </c>
      <c r="L962" s="60">
        <f ca="1">SUM(L956:L961)</f>
        <v>0.40153754426921012</v>
      </c>
      <c r="M962" s="60"/>
      <c r="N962" s="60">
        <f t="shared" ca="1" si="300"/>
        <v>4499.6596590732042</v>
      </c>
      <c r="O962" s="60">
        <f ca="1">SUM(O956:O961)</f>
        <v>1404.0079802171508</v>
      </c>
      <c r="P962" s="60">
        <f ca="1">SUM(P956:P961)</f>
        <v>3095.651678856053</v>
      </c>
      <c r="Q962" s="60">
        <f ca="1">SUM(Q956:Q961)</f>
        <v>0</v>
      </c>
      <c r="T962" s="58"/>
      <c r="U962" s="92"/>
      <c r="V962" s="92"/>
      <c r="W962" s="92"/>
      <c r="X962" s="93"/>
    </row>
    <row r="963" spans="1:25" x14ac:dyDescent="0.2">
      <c r="A963" s="60">
        <v>23</v>
      </c>
      <c r="B963" s="48" t="s">
        <v>207</v>
      </c>
      <c r="C963" s="51" t="s">
        <v>1085</v>
      </c>
      <c r="D963" s="66">
        <f t="shared" ca="1" si="295"/>
        <v>118803.79000000002</v>
      </c>
      <c r="F963" s="60">
        <f ca="1">INDEX(INDIRECT($C963),1,F$12+1)*$T963</f>
        <v>102609.02098576893</v>
      </c>
      <c r="H963" s="60">
        <f ca="1">INDEX(INDIRECT($C963),1,H$12+1)*$T963</f>
        <v>6027.2034155902902</v>
      </c>
      <c r="I963" s="60">
        <f t="shared" ca="1" si="298"/>
        <v>10167.565598640793</v>
      </c>
      <c r="L963" s="60">
        <f ca="1">INDEX(INDIRECT($C963),1,L$12+1)*$T963</f>
        <v>0.90724528918475744</v>
      </c>
      <c r="M963" s="60"/>
      <c r="N963" s="60">
        <f t="shared" ca="1" si="300"/>
        <v>10166.658353351608</v>
      </c>
      <c r="O963" s="60">
        <f t="shared" ref="O963:Q967" ca="1" si="303">INDEX(INDIRECT($C963),1,O$12+1)*$T963</f>
        <v>3172.255357461202</v>
      </c>
      <c r="P963" s="60">
        <f t="shared" ca="1" si="303"/>
        <v>6994.4029958904057</v>
      </c>
      <c r="Q963" s="60">
        <f t="shared" ca="1" si="303"/>
        <v>0</v>
      </c>
      <c r="T963" s="325">
        <v>118803.79000000001</v>
      </c>
      <c r="U963" s="92">
        <v>541</v>
      </c>
      <c r="V963" s="92"/>
      <c r="W963" s="92">
        <f>SUMIF('O&amp;M'!$B$3:$B$87,TOTALCO!U963,'O&amp;M'!$F$3:$F$87)+SUMIF('O&amp;M'!$B$3:$B$87,TOTALCO!V963,'O&amp;M'!$F$3:$F$87)</f>
        <v>118803.79000000001</v>
      </c>
      <c r="X963" s="333">
        <f t="shared" ref="X963:X967" ca="1" si="304">D963-T963</f>
        <v>0</v>
      </c>
      <c r="Y963" s="50"/>
    </row>
    <row r="964" spans="1:25" x14ac:dyDescent="0.2">
      <c r="A964" s="60">
        <v>23</v>
      </c>
      <c r="B964" s="48" t="s">
        <v>208</v>
      </c>
      <c r="C964" s="51" t="s">
        <v>1085</v>
      </c>
      <c r="D964" s="66">
        <f t="shared" ca="1" si="295"/>
        <v>169133.15999999997</v>
      </c>
      <c r="F964" s="60">
        <f ca="1">INDEX(INDIRECT($C964),1,F$12+1)*$T964</f>
        <v>146077.73004404496</v>
      </c>
      <c r="H964" s="60">
        <f ca="1">INDEX(INDIRECT($C964),1,H$12+1)*$T964</f>
        <v>8580.5340018325915</v>
      </c>
      <c r="I964" s="60">
        <f t="shared" ca="1" si="298"/>
        <v>14474.89595412241</v>
      </c>
      <c r="L964" s="60">
        <f ca="1">INDEX(INDIRECT($C964),1,L$12+1)*$T964</f>
        <v>1.2915855854003633</v>
      </c>
      <c r="M964" s="60"/>
      <c r="N964" s="60">
        <f t="shared" ca="1" si="300"/>
        <v>14473.60436853701</v>
      </c>
      <c r="O964" s="60">
        <f t="shared" ca="1" si="303"/>
        <v>4516.1317912024733</v>
      </c>
      <c r="P964" s="60">
        <f t="shared" ca="1" si="303"/>
        <v>9957.4725773345363</v>
      </c>
      <c r="Q964" s="60">
        <f t="shared" ca="1" si="303"/>
        <v>0</v>
      </c>
      <c r="T964" s="325">
        <v>169133.15999999997</v>
      </c>
      <c r="U964" s="92">
        <v>542</v>
      </c>
      <c r="V964" s="92"/>
      <c r="W964" s="92">
        <f>SUMIF('O&amp;M'!$B$3:$B$87,TOTALCO!U964,'O&amp;M'!$F$3:$F$87)+SUMIF('O&amp;M'!$B$3:$B$87,TOTALCO!V964,'O&amp;M'!$F$3:$F$87)</f>
        <v>169133.15999999997</v>
      </c>
      <c r="X964" s="333">
        <f t="shared" ca="1" si="304"/>
        <v>0</v>
      </c>
      <c r="Y964" s="50"/>
    </row>
    <row r="965" spans="1:25" x14ac:dyDescent="0.2">
      <c r="A965" s="60">
        <v>25</v>
      </c>
      <c r="B965" s="48" t="s">
        <v>209</v>
      </c>
      <c r="C965" s="51" t="s">
        <v>1085</v>
      </c>
      <c r="D965" s="66">
        <f t="shared" ca="1" si="295"/>
        <v>42400</v>
      </c>
      <c r="F965" s="60">
        <f ca="1">INDEX(INDIRECT($C965),1,F$12+1)*$T965</f>
        <v>36620.23315751629</v>
      </c>
      <c r="H965" s="60">
        <f ca="1">INDEX(INDIRECT($C965),1,H$12+1)*$T965</f>
        <v>2151.0544808463455</v>
      </c>
      <c r="I965" s="60">
        <f t="shared" ca="1" si="298"/>
        <v>3628.7123616373651</v>
      </c>
      <c r="L965" s="60">
        <f ca="1">INDEX(INDIRECT($C965),1,L$12+1)*$T965</f>
        <v>0.32378765240935253</v>
      </c>
      <c r="M965" s="60"/>
      <c r="N965" s="60">
        <f t="shared" ca="1" si="300"/>
        <v>3628.3885739849557</v>
      </c>
      <c r="O965" s="60">
        <f t="shared" ca="1" si="303"/>
        <v>1132.1492955431384</v>
      </c>
      <c r="P965" s="60">
        <f t="shared" ca="1" si="303"/>
        <v>2496.2392784418171</v>
      </c>
      <c r="Q965" s="60">
        <f t="shared" ca="1" si="303"/>
        <v>0</v>
      </c>
      <c r="T965" s="325">
        <v>42400</v>
      </c>
      <c r="U965" s="92">
        <v>543</v>
      </c>
      <c r="V965" s="92"/>
      <c r="W965" s="92">
        <f>SUMIF('O&amp;M'!$B$3:$B$87,TOTALCO!U965,'O&amp;M'!$F$3:$F$87)+SUMIF('O&amp;M'!$B$3:$B$87,TOTALCO!V965,'O&amp;M'!$F$3:$F$87)</f>
        <v>42400</v>
      </c>
      <c r="X965" s="333">
        <f t="shared" ca="1" si="304"/>
        <v>0</v>
      </c>
      <c r="Y965" s="50"/>
    </row>
    <row r="966" spans="1:25" x14ac:dyDescent="0.2">
      <c r="A966" s="60">
        <v>26</v>
      </c>
      <c r="B966" s="48" t="s">
        <v>210</v>
      </c>
      <c r="C966" s="51" t="s">
        <v>683</v>
      </c>
      <c r="D966" s="66">
        <f t="shared" ca="1" si="295"/>
        <v>92183.13</v>
      </c>
      <c r="F966" s="60">
        <f ca="1">INDEX(INDIRECT($C966),1,F$12+1)*$T966</f>
        <v>79975.030348336368</v>
      </c>
      <c r="H966" s="60">
        <f ca="1">INDEX(INDIRECT($C966),1,H$12+1)*$T966</f>
        <v>4228.6300736379562</v>
      </c>
      <c r="I966" s="60">
        <f t="shared" ca="1" si="298"/>
        <v>7979.4695780256834</v>
      </c>
      <c r="L966" s="60">
        <f ca="1">INDEX(INDIRECT($C966),1,L$12+1)*$T966</f>
        <v>0.43963220147198123</v>
      </c>
      <c r="M966" s="60"/>
      <c r="N966" s="60">
        <f t="shared" ca="1" si="300"/>
        <v>7979.0299458242116</v>
      </c>
      <c r="O966" s="60">
        <f t="shared" ca="1" si="303"/>
        <v>2604.7268916978737</v>
      </c>
      <c r="P966" s="60">
        <f t="shared" ca="1" si="303"/>
        <v>5374.3030541263379</v>
      </c>
      <c r="Q966" s="60">
        <f t="shared" ca="1" si="303"/>
        <v>0</v>
      </c>
      <c r="T966" s="325">
        <v>92183.13</v>
      </c>
      <c r="U966" s="92">
        <v>544</v>
      </c>
      <c r="V966" s="92"/>
      <c r="W966" s="92">
        <f>SUMIF('O&amp;M'!$B$3:$B$87,TOTALCO!U966,'O&amp;M'!$F$3:$F$87)+SUMIF('O&amp;M'!$B$3:$B$87,TOTALCO!V966,'O&amp;M'!$F$3:$F$87)</f>
        <v>92183.13</v>
      </c>
      <c r="X966" s="333">
        <f t="shared" ca="1" si="304"/>
        <v>0</v>
      </c>
      <c r="Y966" s="50"/>
    </row>
    <row r="967" spans="1:25" x14ac:dyDescent="0.2">
      <c r="A967" s="60">
        <v>27</v>
      </c>
      <c r="B967" s="48" t="s">
        <v>211</v>
      </c>
      <c r="C967" s="51" t="s">
        <v>1085</v>
      </c>
      <c r="D967" s="66">
        <f t="shared" ca="1" si="295"/>
        <v>7916.0400000000009</v>
      </c>
      <c r="F967" s="60">
        <f ca="1">INDEX(INDIRECT($C967),1,F$12+1)*$T967</f>
        <v>6836.9629831185212</v>
      </c>
      <c r="H967" s="60">
        <f ca="1">INDEX(INDIRECT($C967),1,H$12+1)*$T967</f>
        <v>401.59984227733275</v>
      </c>
      <c r="I967" s="60">
        <f t="shared" ca="1" si="298"/>
        <v>677.47717460414742</v>
      </c>
      <c r="L967" s="60">
        <f ca="1">INDEX(INDIRECT($C967),1,L$12+1)*$T967</f>
        <v>6.0450849244776686E-2</v>
      </c>
      <c r="M967" s="60"/>
      <c r="N967" s="60">
        <f t="shared" ca="1" si="300"/>
        <v>677.41672375490259</v>
      </c>
      <c r="O967" s="60">
        <f t="shared" ca="1" si="303"/>
        <v>211.3712054125308</v>
      </c>
      <c r="P967" s="60">
        <f t="shared" ca="1" si="303"/>
        <v>466.04551834237179</v>
      </c>
      <c r="Q967" s="60">
        <f t="shared" ca="1" si="303"/>
        <v>0</v>
      </c>
      <c r="T967" s="325">
        <v>7916.0400000000009</v>
      </c>
      <c r="U967" s="92">
        <v>545</v>
      </c>
      <c r="V967" s="92"/>
      <c r="W967" s="92">
        <f>SUMIF('O&amp;M'!$B$3:$B$87,TOTALCO!U967,'O&amp;M'!$F$3:$F$87)+SUMIF('O&amp;M'!$B$3:$B$87,TOTALCO!V967,'O&amp;M'!$F$3:$F$87)</f>
        <v>7916.0400000000009</v>
      </c>
      <c r="X967" s="333">
        <f t="shared" ca="1" si="304"/>
        <v>0</v>
      </c>
      <c r="Y967" s="50"/>
    </row>
    <row r="968" spans="1:25" x14ac:dyDescent="0.2">
      <c r="A968" s="60">
        <v>28</v>
      </c>
      <c r="B968" s="48" t="s">
        <v>212</v>
      </c>
      <c r="C968" s="58"/>
      <c r="D968" s="66">
        <f t="shared" ca="1" si="295"/>
        <v>430436.12</v>
      </c>
      <c r="F968" s="60">
        <f ca="1">SUM(F963:F967)</f>
        <v>372118.9775187851</v>
      </c>
      <c r="H968" s="60">
        <f ca="1">SUM(H963:H967)</f>
        <v>21389.021814184518</v>
      </c>
      <c r="I968" s="60">
        <f t="shared" ca="1" si="298"/>
        <v>36928.120667030402</v>
      </c>
      <c r="L968" s="60">
        <f ca="1">SUM(L963:L967)</f>
        <v>3.0227015777112314</v>
      </c>
      <c r="M968" s="60"/>
      <c r="N968" s="60">
        <f t="shared" ca="1" si="300"/>
        <v>36925.097965452689</v>
      </c>
      <c r="O968" s="60">
        <f ca="1">SUM(O963:O967)</f>
        <v>11636.634541317217</v>
      </c>
      <c r="P968" s="60">
        <f ca="1">SUM(P963:P967)</f>
        <v>25288.463424135469</v>
      </c>
      <c r="Q968" s="60">
        <f ca="1">SUM(Q963:Q967)</f>
        <v>0</v>
      </c>
      <c r="T968" s="58"/>
      <c r="U968" s="92"/>
      <c r="V968" s="92"/>
      <c r="W968" s="92"/>
      <c r="X968" s="93"/>
    </row>
    <row r="969" spans="1:25" x14ac:dyDescent="0.2">
      <c r="C969" s="58"/>
      <c r="T969" s="86"/>
      <c r="U969" s="92"/>
      <c r="V969" s="92"/>
      <c r="W969" s="92"/>
      <c r="X969" s="93"/>
    </row>
    <row r="970" spans="1:25" x14ac:dyDescent="0.2">
      <c r="A970" s="60">
        <v>29</v>
      </c>
      <c r="B970" s="48" t="s">
        <v>213</v>
      </c>
      <c r="C970" s="58"/>
      <c r="D970" s="66">
        <f ca="1">SUM(F970:I970)+K970</f>
        <v>483017.47000000003</v>
      </c>
      <c r="F970" s="60">
        <f ca="1">F968+F962</f>
        <v>417532.6873474872</v>
      </c>
      <c r="H970" s="60">
        <f ca="1">H968+H962</f>
        <v>24056.600788864944</v>
      </c>
      <c r="I970" s="60">
        <f ca="1">(L970+M970+N970)</f>
        <v>41428.181863647871</v>
      </c>
      <c r="L970" s="60">
        <f ca="1">L968+L962</f>
        <v>3.4242391219804413</v>
      </c>
      <c r="M970" s="60"/>
      <c r="N970" s="60">
        <f ca="1">SUM(O970:Q970)</f>
        <v>41424.75762452589</v>
      </c>
      <c r="O970" s="60">
        <f ca="1">O968+O962</f>
        <v>13040.642521534368</v>
      </c>
      <c r="P970" s="60">
        <f ca="1">P968+P962</f>
        <v>28384.11510299152</v>
      </c>
      <c r="Q970" s="60">
        <f ca="1">Q968+Q962</f>
        <v>0</v>
      </c>
      <c r="T970" s="58"/>
      <c r="U970" s="92"/>
      <c r="V970" s="92"/>
      <c r="W970" s="92"/>
      <c r="X970" s="93"/>
    </row>
    <row r="971" spans="1:25" x14ac:dyDescent="0.2">
      <c r="C971" s="58"/>
      <c r="T971" s="86"/>
      <c r="U971" s="92"/>
      <c r="V971" s="92"/>
      <c r="W971" s="92"/>
      <c r="X971" s="93"/>
    </row>
    <row r="972" spans="1:25" x14ac:dyDescent="0.2">
      <c r="B972" s="48" t="s">
        <v>216</v>
      </c>
      <c r="C972" s="58"/>
      <c r="T972" s="86"/>
      <c r="U972" s="92"/>
      <c r="V972" s="92"/>
      <c r="W972" s="92"/>
      <c r="X972" s="93"/>
    </row>
    <row r="973" spans="1:25" x14ac:dyDescent="0.2">
      <c r="A973" s="60">
        <v>30</v>
      </c>
      <c r="B973" s="48" t="s">
        <v>217</v>
      </c>
      <c r="C973" s="51" t="s">
        <v>1087</v>
      </c>
      <c r="D973" s="66">
        <f t="shared" ref="D973:D982" ca="1" si="305">SUM(F973:I973)+K973</f>
        <v>211587.65999999997</v>
      </c>
      <c r="F973" s="60">
        <f ca="1">INDEX(INDIRECT($C973),1,F$12+1)*$T973</f>
        <v>182408.88949356359</v>
      </c>
      <c r="H973" s="60">
        <f ca="1">INDEX(INDIRECT($C973),1,H$12+1)*$T973</f>
        <v>10712.633145830614</v>
      </c>
      <c r="I973" s="60">
        <f t="shared" ref="I973:I982" ca="1" si="306">(L973+M973+N973)</f>
        <v>18466.137360605775</v>
      </c>
      <c r="L973" s="60">
        <f ca="1">INDEX(INDIRECT($C973),1,L$12+1)*$T973</f>
        <v>1.6128173147798641</v>
      </c>
      <c r="M973" s="60"/>
      <c r="N973" s="60">
        <f t="shared" ref="N973:N982" ca="1" si="307">SUM(O973:Q973)</f>
        <v>18464.524543290994</v>
      </c>
      <c r="O973" s="60">
        <f t="shared" ref="O973:Q976" ca="1" si="308">INDEX(INDIRECT($C973),1,O$12+1)*$T973</f>
        <v>5761.4001444357345</v>
      </c>
      <c r="P973" s="60">
        <f t="shared" ca="1" si="308"/>
        <v>12703.124398855261</v>
      </c>
      <c r="Q973" s="60">
        <f t="shared" ca="1" si="308"/>
        <v>0</v>
      </c>
      <c r="T973" s="325">
        <v>211587.66</v>
      </c>
      <c r="U973" s="92">
        <v>546</v>
      </c>
      <c r="V973" s="92"/>
      <c r="W973" s="92">
        <f>SUMIF('O&amp;M'!$B$3:$B$87,TOTALCO!U973,'O&amp;M'!$F$3:$F$87)+SUMIF('O&amp;M'!$B$3:$B$87,TOTALCO!V973,'O&amp;M'!$F$3:$F$87)</f>
        <v>211587.66</v>
      </c>
      <c r="X973" s="333">
        <f t="shared" ref="X973:X976" ca="1" si="309">D973-T973</f>
        <v>0</v>
      </c>
      <c r="Y973" s="50"/>
    </row>
    <row r="974" spans="1:25" x14ac:dyDescent="0.2">
      <c r="A974" s="60">
        <v>31</v>
      </c>
      <c r="B974" s="48" t="s">
        <v>218</v>
      </c>
      <c r="C974" s="51" t="s">
        <v>683</v>
      </c>
      <c r="D974" s="66">
        <f t="shared" ca="1" si="305"/>
        <v>31699199.32</v>
      </c>
      <c r="F974" s="60">
        <f ca="1">INDEX(INDIRECT($C974),1,F$12+1)*$T974</f>
        <v>27501175.406334795</v>
      </c>
      <c r="H974" s="60">
        <f ca="1">INDEX(INDIRECT($C974),1,H$12+1)*$T974</f>
        <v>1454107.5742903918</v>
      </c>
      <c r="I974" s="60">
        <f t="shared" ca="1" si="306"/>
        <v>2743916.3393748123</v>
      </c>
      <c r="L974" s="60">
        <f ca="1">INDEX(INDIRECT($C974),1,L$12+1)*$T974</f>
        <v>151.17721411662558</v>
      </c>
      <c r="M974" s="60"/>
      <c r="N974" s="60">
        <f t="shared" ca="1" si="307"/>
        <v>2743765.1621606955</v>
      </c>
      <c r="O974" s="60">
        <f t="shared" ca="1" si="308"/>
        <v>895692.70336226327</v>
      </c>
      <c r="P974" s="60">
        <f t="shared" ca="1" si="308"/>
        <v>1848072.4587984323</v>
      </c>
      <c r="Q974" s="60">
        <f t="shared" ca="1" si="308"/>
        <v>0</v>
      </c>
      <c r="T974" s="325">
        <v>31699199.32</v>
      </c>
      <c r="U974" s="92">
        <v>547</v>
      </c>
      <c r="V974" s="92"/>
      <c r="W974" s="92">
        <f>SUMIF('O&amp;M'!$B$3:$B$87,TOTALCO!U974,'O&amp;M'!$F$3:$F$87)+SUMIF('O&amp;M'!$B$3:$B$87,TOTALCO!V974,'O&amp;M'!$F$3:$F$87)</f>
        <v>31699199.32</v>
      </c>
      <c r="X974" s="333">
        <f t="shared" ca="1" si="309"/>
        <v>0</v>
      </c>
      <c r="Y974" s="50"/>
    </row>
    <row r="975" spans="1:25" x14ac:dyDescent="0.2">
      <c r="A975" s="60">
        <v>32</v>
      </c>
      <c r="B975" s="48" t="s">
        <v>219</v>
      </c>
      <c r="C975" s="51" t="s">
        <v>1087</v>
      </c>
      <c r="D975" s="66">
        <f t="shared" ca="1" si="305"/>
        <v>309789.77</v>
      </c>
      <c r="F975" s="60">
        <f ca="1">INDEX(INDIRECT($C975),1,F$12+1)*$T975</f>
        <v>267068.54228723212</v>
      </c>
      <c r="H975" s="60">
        <f ca="1">INDEX(INDIRECT($C975),1,H$12+1)*$T975</f>
        <v>15684.582732004515</v>
      </c>
      <c r="I975" s="60">
        <f t="shared" ca="1" si="306"/>
        <v>27036.644980763387</v>
      </c>
      <c r="L975" s="60">
        <f ca="1">INDEX(INDIRECT($C975),1,L$12+1)*$T975</f>
        <v>2.3613584317614351</v>
      </c>
      <c r="M975" s="60"/>
      <c r="N975" s="60">
        <f t="shared" ca="1" si="307"/>
        <v>27034.283622331626</v>
      </c>
      <c r="O975" s="60">
        <f t="shared" ca="1" si="308"/>
        <v>8435.3824113500432</v>
      </c>
      <c r="P975" s="60">
        <f t="shared" ca="1" si="308"/>
        <v>18598.901210981585</v>
      </c>
      <c r="Q975" s="60">
        <f t="shared" ca="1" si="308"/>
        <v>0</v>
      </c>
      <c r="T975" s="325">
        <v>309789.77</v>
      </c>
      <c r="U975" s="92">
        <v>548</v>
      </c>
      <c r="V975" s="92"/>
      <c r="W975" s="92">
        <f>SUMIF('O&amp;M'!$B$3:$B$87,TOTALCO!U975,'O&amp;M'!$F$3:$F$87)+SUMIF('O&amp;M'!$B$3:$B$87,TOTALCO!V975,'O&amp;M'!$F$3:$F$87)</f>
        <v>309789.77</v>
      </c>
      <c r="X975" s="333">
        <f t="shared" ca="1" si="309"/>
        <v>0</v>
      </c>
      <c r="Y975" s="50"/>
    </row>
    <row r="976" spans="1:25" x14ac:dyDescent="0.2">
      <c r="A976" s="60">
        <v>33</v>
      </c>
      <c r="B976" s="48" t="s">
        <v>737</v>
      </c>
      <c r="C976" s="51" t="s">
        <v>1087</v>
      </c>
      <c r="D976" s="66">
        <f t="shared" ca="1" si="305"/>
        <v>162568.04999999999</v>
      </c>
      <c r="F976" s="60">
        <f ca="1">INDEX(INDIRECT($C976),1,F$12+1)*$T976</f>
        <v>140149.27651089919</v>
      </c>
      <c r="H976" s="60">
        <f ca="1">INDEX(INDIRECT($C976),1,H$12+1)*$T976</f>
        <v>8230.781893816722</v>
      </c>
      <c r="I976" s="60">
        <f t="shared" ca="1" si="306"/>
        <v>14187.991595284091</v>
      </c>
      <c r="L976" s="60">
        <f ca="1">INDEX(INDIRECT($C976),1,L$12+1)*$T976</f>
        <v>1.2391675670972433</v>
      </c>
      <c r="M976" s="60"/>
      <c r="N976" s="60">
        <f t="shared" ca="1" si="307"/>
        <v>14186.752427716994</v>
      </c>
      <c r="O976" s="60">
        <f t="shared" ca="1" si="308"/>
        <v>4426.6267075813203</v>
      </c>
      <c r="P976" s="60">
        <f t="shared" ca="1" si="308"/>
        <v>9760.1257201356748</v>
      </c>
      <c r="Q976" s="60">
        <f t="shared" ca="1" si="308"/>
        <v>0</v>
      </c>
      <c r="T976" s="325">
        <v>162568.05000000002</v>
      </c>
      <c r="U976" s="92">
        <v>549</v>
      </c>
      <c r="V976" s="92">
        <v>550</v>
      </c>
      <c r="W976" s="92">
        <f>SUMIF('O&amp;M'!$B$3:$B$87,TOTALCO!U976,'O&amp;M'!$F$3:$F$87)+SUMIF('O&amp;M'!$B$3:$B$87,TOTALCO!V976,'O&amp;M'!$F$3:$F$87)</f>
        <v>162568.05000000002</v>
      </c>
      <c r="X976" s="333">
        <f t="shared" ca="1" si="309"/>
        <v>0</v>
      </c>
      <c r="Y976" s="50"/>
    </row>
    <row r="977" spans="1:25" x14ac:dyDescent="0.2">
      <c r="A977" s="60">
        <v>34</v>
      </c>
      <c r="B977" s="48" t="s">
        <v>220</v>
      </c>
      <c r="C977" s="58"/>
      <c r="D977" s="66">
        <f t="shared" ca="1" si="305"/>
        <v>32383144.799999997</v>
      </c>
      <c r="F977" s="60">
        <f ca="1">SUM(F973:F976)</f>
        <v>28090802.114626486</v>
      </c>
      <c r="H977" s="60">
        <f ca="1">SUM(H973:H976)</f>
        <v>1488735.5720620437</v>
      </c>
      <c r="I977" s="60">
        <f t="shared" ca="1" si="306"/>
        <v>2803607.1133114654</v>
      </c>
      <c r="L977" s="60">
        <f ca="1">SUM(L973:L976)</f>
        <v>156.39055743026412</v>
      </c>
      <c r="M977" s="60"/>
      <c r="N977" s="60">
        <f t="shared" ca="1" si="307"/>
        <v>2803450.7227540351</v>
      </c>
      <c r="O977" s="60">
        <f ca="1">SUM(O973:O976)</f>
        <v>914316.11262563034</v>
      </c>
      <c r="P977" s="60">
        <f ca="1">SUM(P973:P976)</f>
        <v>1889134.6101284048</v>
      </c>
      <c r="Q977" s="60">
        <f ca="1">SUM(Q973:Q976)</f>
        <v>0</v>
      </c>
      <c r="T977" s="58"/>
      <c r="U977" s="92"/>
      <c r="V977" s="92"/>
      <c r="W977" s="92"/>
      <c r="X977" s="333"/>
    </row>
    <row r="978" spans="1:25" x14ac:dyDescent="0.2">
      <c r="A978" s="60">
        <v>35</v>
      </c>
      <c r="B978" s="70" t="s">
        <v>738</v>
      </c>
      <c r="C978" s="51" t="s">
        <v>1087</v>
      </c>
      <c r="D978" s="66">
        <f t="shared" ca="1" si="305"/>
        <v>49628.45</v>
      </c>
      <c r="F978" s="60">
        <f ca="1">INDEX(INDIRECT($C978),1,F$12+1)*$T978</f>
        <v>42784.491552044419</v>
      </c>
      <c r="H978" s="60">
        <f ca="1">INDEX(INDIRECT($C978),1,H$12+1)*$T978</f>
        <v>2512.6766771096072</v>
      </c>
      <c r="I978" s="60">
        <f t="shared" ca="1" si="306"/>
        <v>4331.2817708459734</v>
      </c>
      <c r="L978" s="60">
        <f ca="1">INDEX(INDIRECT($C978),1,L$12+1)*$T978</f>
        <v>0.37829060289095662</v>
      </c>
      <c r="M978" s="60"/>
      <c r="N978" s="60">
        <f t="shared" ca="1" si="307"/>
        <v>4330.9034802430824</v>
      </c>
      <c r="O978" s="60">
        <f t="shared" ref="O978:Q981" ca="1" si="310">INDEX(INDIRECT($C978),1,O$12+1)*$T978</f>
        <v>1351.3517706945747</v>
      </c>
      <c r="P978" s="60">
        <f t="shared" ca="1" si="310"/>
        <v>2979.5517095485079</v>
      </c>
      <c r="Q978" s="60">
        <f t="shared" ca="1" si="310"/>
        <v>0</v>
      </c>
      <c r="T978" s="325">
        <v>49628.450000000004</v>
      </c>
      <c r="U978" s="92">
        <v>551</v>
      </c>
      <c r="V978" s="92"/>
      <c r="W978" s="92">
        <f>SUMIF('O&amp;M'!$B$3:$B$87,TOTALCO!U978,'O&amp;M'!$F$3:$F$87)+SUMIF('O&amp;M'!$B$3:$B$87,TOTALCO!V978,'O&amp;M'!$F$3:$F$87)</f>
        <v>49628.450000000004</v>
      </c>
      <c r="X978" s="333">
        <f t="shared" ref="X978:X981" ca="1" si="311">D978-T978</f>
        <v>0</v>
      </c>
      <c r="Y978" s="50"/>
    </row>
    <row r="979" spans="1:25" x14ac:dyDescent="0.2">
      <c r="A979" s="60">
        <v>36</v>
      </c>
      <c r="B979" s="48" t="s">
        <v>221</v>
      </c>
      <c r="C979" s="51" t="s">
        <v>1087</v>
      </c>
      <c r="D979" s="66">
        <f t="shared" ca="1" si="305"/>
        <v>265096.57</v>
      </c>
      <c r="F979" s="60">
        <f ca="1">INDEX(INDIRECT($C979),1,F$12+1)*$T979</f>
        <v>228538.71034942562</v>
      </c>
      <c r="H979" s="60">
        <f ca="1">INDEX(INDIRECT($C979),1,H$12+1)*$T979</f>
        <v>13421.776594287236</v>
      </c>
      <c r="I979" s="60">
        <f t="shared" ca="1" si="306"/>
        <v>23136.083056287142</v>
      </c>
      <c r="L979" s="60">
        <f ca="1">INDEX(INDIRECT($C979),1,L$12+1)*$T979</f>
        <v>2.020686547527168</v>
      </c>
      <c r="M979" s="60"/>
      <c r="N979" s="60">
        <f t="shared" ca="1" si="307"/>
        <v>23134.062369739615</v>
      </c>
      <c r="O979" s="60">
        <f t="shared" ca="1" si="310"/>
        <v>7218.4144230689908</v>
      </c>
      <c r="P979" s="60">
        <f t="shared" ca="1" si="310"/>
        <v>15915.647946670622</v>
      </c>
      <c r="Q979" s="60">
        <f t="shared" ca="1" si="310"/>
        <v>0</v>
      </c>
      <c r="T979" s="325">
        <v>265096.57</v>
      </c>
      <c r="U979" s="92">
        <v>552</v>
      </c>
      <c r="V979" s="92"/>
      <c r="W979" s="92">
        <f>SUMIF('O&amp;M'!$B$3:$B$87,TOTALCO!U979,'O&amp;M'!$F$3:$F$87)+SUMIF('O&amp;M'!$B$3:$B$87,TOTALCO!V979,'O&amp;M'!$F$3:$F$87)</f>
        <v>265096.57</v>
      </c>
      <c r="X979" s="333">
        <f t="shared" ca="1" si="311"/>
        <v>0</v>
      </c>
      <c r="Y979" s="50"/>
    </row>
    <row r="980" spans="1:25" x14ac:dyDescent="0.2">
      <c r="A980" s="60">
        <v>37</v>
      </c>
      <c r="B980" s="48" t="s">
        <v>222</v>
      </c>
      <c r="C980" s="51" t="s">
        <v>1087</v>
      </c>
      <c r="D980" s="66">
        <f t="shared" ca="1" si="305"/>
        <v>1581844.66</v>
      </c>
      <c r="F980" s="60">
        <f ca="1">INDEX(INDIRECT($C980),1,F$12+1)*$T980</f>
        <v>1363702.0598551149</v>
      </c>
      <c r="H980" s="60">
        <f ca="1">INDEX(INDIRECT($C980),1,H$12+1)*$T980</f>
        <v>80088.420734324289</v>
      </c>
      <c r="I980" s="60">
        <f t="shared" ca="1" si="306"/>
        <v>138054.17941056081</v>
      </c>
      <c r="L980" s="60">
        <f ca="1">INDEX(INDIRECT($C980),1,L$12+1)*$T980</f>
        <v>12.057538974343151</v>
      </c>
      <c r="M980" s="60"/>
      <c r="N980" s="60">
        <f t="shared" ca="1" si="307"/>
        <v>138042.12187158648</v>
      </c>
      <c r="O980" s="60">
        <f t="shared" ca="1" si="310"/>
        <v>43072.644466122911</v>
      </c>
      <c r="P980" s="60">
        <f t="shared" ca="1" si="310"/>
        <v>94969.477405463564</v>
      </c>
      <c r="Q980" s="60">
        <f t="shared" ca="1" si="310"/>
        <v>0</v>
      </c>
      <c r="T980" s="325">
        <v>1581844.6600000001</v>
      </c>
      <c r="U980" s="92">
        <v>553</v>
      </c>
      <c r="V980" s="92"/>
      <c r="W980" s="92">
        <f>SUMIF('O&amp;M'!$B$3:$B$87,TOTALCO!U980,'O&amp;M'!$F$3:$F$87)+SUMIF('O&amp;M'!$B$3:$B$87,TOTALCO!V980,'O&amp;M'!$F$3:$F$87)</f>
        <v>1581844.6600000001</v>
      </c>
      <c r="X980" s="333">
        <f t="shared" ca="1" si="311"/>
        <v>0</v>
      </c>
      <c r="Y980" s="50"/>
    </row>
    <row r="981" spans="1:25" x14ac:dyDescent="0.2">
      <c r="A981" s="60">
        <v>38</v>
      </c>
      <c r="B981" s="48" t="s">
        <v>223</v>
      </c>
      <c r="C981" s="51" t="s">
        <v>1087</v>
      </c>
      <c r="D981" s="66">
        <f t="shared" ca="1" si="305"/>
        <v>228247.14999999997</v>
      </c>
      <c r="F981" s="60">
        <f ca="1">INDEX(INDIRECT($C981),1,F$12+1)*$T981</f>
        <v>196770.97029935883</v>
      </c>
      <c r="H981" s="60">
        <f ca="1">INDEX(INDIRECT($C981),1,H$12+1)*$T981</f>
        <v>11556.099181452131</v>
      </c>
      <c r="I981" s="60">
        <f t="shared" ca="1" si="306"/>
        <v>19920.080519189021</v>
      </c>
      <c r="L981" s="60">
        <f ca="1">INDEX(INDIRECT($C981),1,L$12+1)*$T981</f>
        <v>1.7398035195869024</v>
      </c>
      <c r="M981" s="60"/>
      <c r="N981" s="60">
        <f t="shared" ca="1" si="307"/>
        <v>19918.340715669434</v>
      </c>
      <c r="O981" s="60">
        <f t="shared" ca="1" si="310"/>
        <v>6215.0276768363738</v>
      </c>
      <c r="P981" s="60">
        <f t="shared" ca="1" si="310"/>
        <v>13703.313038833061</v>
      </c>
      <c r="Q981" s="60">
        <f t="shared" ca="1" si="310"/>
        <v>0</v>
      </c>
      <c r="T981" s="325">
        <v>228247.15</v>
      </c>
      <c r="U981" s="92">
        <v>554</v>
      </c>
      <c r="V981" s="92"/>
      <c r="W981" s="92">
        <f>SUMIF('O&amp;M'!$B$3:$B$87,TOTALCO!U981,'O&amp;M'!$F$3:$F$87)+SUMIF('O&amp;M'!$B$3:$B$87,TOTALCO!V981,'O&amp;M'!$F$3:$F$87)</f>
        <v>228247.15</v>
      </c>
      <c r="X981" s="333">
        <f t="shared" ca="1" si="311"/>
        <v>0</v>
      </c>
      <c r="Y981" s="50"/>
    </row>
    <row r="982" spans="1:25" x14ac:dyDescent="0.2">
      <c r="A982" s="60">
        <v>39</v>
      </c>
      <c r="B982" s="48" t="s">
        <v>224</v>
      </c>
      <c r="C982" s="58"/>
      <c r="D982" s="66">
        <f t="shared" ca="1" si="305"/>
        <v>2124816.83</v>
      </c>
      <c r="F982" s="60">
        <f ca="1">SUM(F978:F981)</f>
        <v>1831796.2320559439</v>
      </c>
      <c r="H982" s="60">
        <f ca="1">SUM(H978:H981)</f>
        <v>107578.97318717325</v>
      </c>
      <c r="I982" s="60">
        <f t="shared" ca="1" si="306"/>
        <v>185441.62475688296</v>
      </c>
      <c r="L982" s="60">
        <f ca="1">SUM(L978:L981)</f>
        <v>16.196319644348179</v>
      </c>
      <c r="M982" s="60"/>
      <c r="N982" s="60">
        <f t="shared" ca="1" si="307"/>
        <v>185425.42843723862</v>
      </c>
      <c r="O982" s="60">
        <f ca="1">SUM(O978:O981)</f>
        <v>57857.438336722851</v>
      </c>
      <c r="P982" s="60">
        <f ca="1">SUM(P978:P981)</f>
        <v>127567.99010051576</v>
      </c>
      <c r="Q982" s="60">
        <f ca="1">SUM(Q978:Q981)</f>
        <v>0</v>
      </c>
      <c r="T982" s="58"/>
      <c r="U982" s="92"/>
      <c r="V982" s="92"/>
      <c r="W982" s="92"/>
      <c r="X982" s="93"/>
    </row>
    <row r="983" spans="1:25" x14ac:dyDescent="0.2">
      <c r="C983" s="58"/>
      <c r="T983" s="86"/>
      <c r="U983" s="92"/>
      <c r="V983" s="92"/>
      <c r="W983" s="92"/>
      <c r="X983" s="93"/>
    </row>
    <row r="984" spans="1:25" x14ac:dyDescent="0.2">
      <c r="A984" s="60">
        <v>40</v>
      </c>
      <c r="B984" s="48" t="s">
        <v>225</v>
      </c>
      <c r="C984" s="58"/>
      <c r="D984" s="66">
        <f ca="1">SUM(F984:I984)+K984</f>
        <v>34507961.629999995</v>
      </c>
      <c r="F984" s="60">
        <f ca="1">F982+F977</f>
        <v>29922598.346682429</v>
      </c>
      <c r="H984" s="60">
        <f ca="1">H982+H977</f>
        <v>1596314.545249217</v>
      </c>
      <c r="I984" s="60">
        <f ca="1">(L984+M984+N984)</f>
        <v>2989048.7380683483</v>
      </c>
      <c r="L984" s="60">
        <f ca="1">L982+L977</f>
        <v>172.58687707461229</v>
      </c>
      <c r="M984" s="60"/>
      <c r="N984" s="60">
        <f ca="1">SUM(O984:Q984)</f>
        <v>2988876.1511912737</v>
      </c>
      <c r="O984" s="60">
        <f ca="1">O982+O977</f>
        <v>972173.55096235324</v>
      </c>
      <c r="P984" s="60">
        <f ca="1">P982+P977</f>
        <v>2016702.6002289206</v>
      </c>
      <c r="Q984" s="60">
        <f ca="1">Q982+Q977</f>
        <v>0</v>
      </c>
      <c r="T984" s="58"/>
      <c r="U984" s="92"/>
      <c r="V984" s="92"/>
      <c r="W984" s="92"/>
      <c r="X984" s="93"/>
    </row>
    <row r="985" spans="1:25" x14ac:dyDescent="0.2">
      <c r="C985" s="58"/>
      <c r="T985" s="86"/>
      <c r="U985" s="92"/>
      <c r="V985" s="92"/>
      <c r="W985" s="92"/>
      <c r="X985" s="93"/>
    </row>
    <row r="986" spans="1:25" x14ac:dyDescent="0.2">
      <c r="B986" s="48" t="s">
        <v>226</v>
      </c>
      <c r="C986" s="58"/>
      <c r="T986" s="86"/>
      <c r="U986" s="92">
        <v>555</v>
      </c>
      <c r="V986" s="92"/>
      <c r="W986" s="92">
        <f>SUMIF('O&amp;M'!$B$3:$B$87,TOTALCO!U986,'O&amp;M'!$F$3:$F$87)+SUMIF('O&amp;M'!$B$3:$B$87,TOTALCO!V986,'O&amp;M'!$F$3:$F$87)</f>
        <v>103829269.81</v>
      </c>
      <c r="X986" s="333">
        <f t="shared" ref="X986" si="312">D986-T986</f>
        <v>0</v>
      </c>
    </row>
    <row r="987" spans="1:25" x14ac:dyDescent="0.2">
      <c r="A987" s="60">
        <v>41</v>
      </c>
      <c r="B987" s="48" t="s">
        <v>227</v>
      </c>
      <c r="C987" s="51" t="s">
        <v>614</v>
      </c>
      <c r="D987" s="66">
        <f ca="1">SUM(F987:I987)+K987</f>
        <v>8732448.0500000007</v>
      </c>
      <c r="F987" s="60">
        <f ca="1">INDEX(INDIRECT($C987),1,F$12+1)*$T987</f>
        <v>7557847.9747521561</v>
      </c>
      <c r="H987" s="60">
        <f ca="1">INDEX(INDIRECT($C987),1,H$12+1)*$T987</f>
        <v>443849.97631748108</v>
      </c>
      <c r="I987" s="60">
        <f ca="1">(L987+M987+N987)</f>
        <v>730750.09893036308</v>
      </c>
      <c r="L987" s="60">
        <f ca="1">INDEX(INDIRECT($C987),1,L$12+1)*$T987</f>
        <v>66.824748015278701</v>
      </c>
      <c r="M987" s="60"/>
      <c r="N987" s="60">
        <f ca="1">SUM(O987:Q987)</f>
        <v>730683.27418234781</v>
      </c>
      <c r="O987" s="60">
        <f ca="1">INDEX(INDIRECT($C987),1,O$12+1)*$T987</f>
        <v>227991.7206392705</v>
      </c>
      <c r="P987" s="68">
        <f ca="1">(INDEX(INDIRECT($C987),1,P$12+1)*$T987)</f>
        <v>502691.55354307737</v>
      </c>
      <c r="Q987" s="60">
        <f ca="1">INDEX(INDIRECT($C987),1,Q$12+1)*$T987</f>
        <v>0</v>
      </c>
      <c r="T987" s="325">
        <v>8732448.0500000007</v>
      </c>
      <c r="U987" s="85" t="s">
        <v>1540</v>
      </c>
      <c r="V987" s="92"/>
      <c r="W987" s="92"/>
      <c r="X987" s="93"/>
      <c r="Y987" s="50"/>
    </row>
    <row r="988" spans="1:25" x14ac:dyDescent="0.2">
      <c r="A988" s="60">
        <v>42</v>
      </c>
      <c r="B988" s="48" t="s">
        <v>228</v>
      </c>
      <c r="C988" s="51" t="s">
        <v>683</v>
      </c>
      <c r="D988" s="66">
        <f ca="1">SUM(F988:I988)+K988</f>
        <v>95096821.75999999</v>
      </c>
      <c r="F988" s="60">
        <f ca="1">INDEX(INDIRECT($C988),1,F$12+1)*$T988</f>
        <v>82502852.813593268</v>
      </c>
      <c r="H988" s="60">
        <f ca="1">INDEX(INDIRECT($C988),1,H$12+1)*$T988</f>
        <v>4362287.1169781759</v>
      </c>
      <c r="I988" s="60">
        <f ca="1">(L988+M988+N988)</f>
        <v>8231681.829428561</v>
      </c>
      <c r="L988" s="60">
        <f ca="1">INDEX(INDIRECT($C988),1,L$12+1)*$T988</f>
        <v>453.52794056067972</v>
      </c>
      <c r="M988" s="60"/>
      <c r="N988" s="60">
        <f ca="1">SUM(O988:Q988)</f>
        <v>8231228.301488</v>
      </c>
      <c r="O988" s="60">
        <f ca="1">INDEX(INDIRECT($C988),1,O$12+1)*$T988</f>
        <v>2687056.1777764708</v>
      </c>
      <c r="P988" s="68">
        <f ca="1">(INDEX(INDIRECT($C988),1,P$12+1)*$T988)</f>
        <v>5544172.1237115292</v>
      </c>
      <c r="Q988" s="60">
        <f ca="1">INDEX(INDIRECT($C988),1,Q$12+1)*$T988</f>
        <v>0</v>
      </c>
      <c r="T988" s="85">
        <f>W986-T987</f>
        <v>95096821.760000005</v>
      </c>
      <c r="U988" s="92"/>
      <c r="V988" s="92"/>
      <c r="W988" s="92"/>
      <c r="X988" s="93"/>
      <c r="Y988" s="50"/>
    </row>
    <row r="989" spans="1:25" x14ac:dyDescent="0.2">
      <c r="A989" s="60">
        <v>43</v>
      </c>
      <c r="B989" s="48" t="s">
        <v>229</v>
      </c>
      <c r="C989" s="58"/>
      <c r="D989" s="66">
        <f ca="1">SUM(F989:I989)+K989</f>
        <v>103829269.81000002</v>
      </c>
      <c r="F989" s="60">
        <f ca="1">F988+F987</f>
        <v>90060700.788345426</v>
      </c>
      <c r="H989" s="60">
        <f ca="1">H988+H987</f>
        <v>4806137.0932956571</v>
      </c>
      <c r="I989" s="60">
        <f ca="1">(L989+M989+N989)</f>
        <v>8962431.9283589236</v>
      </c>
      <c r="L989" s="60">
        <f ca="1">L988+L987</f>
        <v>520.35268857595838</v>
      </c>
      <c r="M989" s="60"/>
      <c r="N989" s="60">
        <f ca="1">SUM(O989:Q989)</f>
        <v>8961911.5756703485</v>
      </c>
      <c r="O989" s="60">
        <f ca="1">O988+O987</f>
        <v>2915047.8984157415</v>
      </c>
      <c r="P989" s="60">
        <f ca="1">P988+P987</f>
        <v>6046863.677254607</v>
      </c>
      <c r="Q989" s="60">
        <f ca="1">Q988+Q987+Q1007</f>
        <v>0</v>
      </c>
      <c r="T989" s="94"/>
      <c r="U989" s="92"/>
      <c r="V989" s="92"/>
      <c r="W989" s="92"/>
      <c r="X989" s="93"/>
    </row>
    <row r="990" spans="1:25" x14ac:dyDescent="0.2">
      <c r="C990" s="58"/>
      <c r="T990" s="86"/>
      <c r="U990" s="92"/>
      <c r="V990" s="92"/>
      <c r="W990" s="92"/>
      <c r="X990" s="93"/>
    </row>
    <row r="991" spans="1:25" x14ac:dyDescent="0.2">
      <c r="A991" s="60">
        <v>44</v>
      </c>
      <c r="B991" s="48" t="s">
        <v>230</v>
      </c>
      <c r="C991" s="51" t="s">
        <v>614</v>
      </c>
      <c r="D991" s="66">
        <f ca="1">SUM(F991:I991)+K991</f>
        <v>1841937.28</v>
      </c>
      <c r="F991" s="60">
        <f ca="1">INDEX(INDIRECT($C991),1,F$12+1)*$T991</f>
        <v>1594178.6153847768</v>
      </c>
      <c r="H991" s="60">
        <f ca="1">INDEX(INDIRECT($C991),1,H$12+1)*$T991</f>
        <v>93621.377811263985</v>
      </c>
      <c r="I991" s="60">
        <f ca="1">(L991+M991+N991)</f>
        <v>154137.28680395917</v>
      </c>
      <c r="L991" s="60">
        <f ca="1">INDEX(INDIRECT($C991),1,L$12+1)*$T991</f>
        <v>14.095359501846431</v>
      </c>
      <c r="M991" s="60"/>
      <c r="N991" s="60">
        <f ca="1">SUM(O991:Q991)</f>
        <v>154123.19144445733</v>
      </c>
      <c r="O991" s="60">
        <f t="shared" ref="O991:Q992" ca="1" si="313">INDEX(INDIRECT($C991),1,O$12+1)*$T991</f>
        <v>48090.346186121053</v>
      </c>
      <c r="P991" s="60">
        <f t="shared" ca="1" si="313"/>
        <v>106032.84525833627</v>
      </c>
      <c r="Q991" s="60">
        <f t="shared" ca="1" si="313"/>
        <v>0</v>
      </c>
      <c r="T991" s="325">
        <v>1841937.28</v>
      </c>
      <c r="U991" s="92">
        <v>556</v>
      </c>
      <c r="V991" s="92"/>
      <c r="W991" s="92">
        <f>SUMIF('O&amp;M'!$B$3:$B$87,TOTALCO!U991,'O&amp;M'!$F$3:$F$87)+SUMIF('O&amp;M'!$B$3:$B$87,TOTALCO!V991,'O&amp;M'!$F$3:$F$87)</f>
        <v>1841937.28</v>
      </c>
      <c r="X991" s="333">
        <f t="shared" ref="X991:X992" ca="1" si="314">D991-T991</f>
        <v>0</v>
      </c>
      <c r="Y991" s="50"/>
    </row>
    <row r="992" spans="1:25" x14ac:dyDescent="0.2">
      <c r="A992" s="60">
        <v>45</v>
      </c>
      <c r="B992" s="48" t="s">
        <v>231</v>
      </c>
      <c r="C992" s="51" t="s">
        <v>1046</v>
      </c>
      <c r="D992" s="66">
        <f ca="1">SUM(F992:I992)+K992</f>
        <v>403737.86</v>
      </c>
      <c r="F992" s="60">
        <f ca="1">INDEX(INDIRECT($C992),1,F$12+1)*$T992</f>
        <v>345976.04965793673</v>
      </c>
      <c r="H992" s="60">
        <f ca="1">INDEX(INDIRECT($C992),1,H$12+1)*$T992</f>
        <v>20941.280687373015</v>
      </c>
      <c r="I992" s="60">
        <f ca="1">(L992+M992+N992)</f>
        <v>36820.529654690268</v>
      </c>
      <c r="L992" s="60">
        <f ca="1">INDEX(INDIRECT($C992),1,L$12+1)*$T992</f>
        <v>3.0590404060715897</v>
      </c>
      <c r="M992" s="60"/>
      <c r="N992" s="60">
        <f ca="1">SUM(O992:Q992)</f>
        <v>36817.470614284197</v>
      </c>
      <c r="O992" s="60">
        <f t="shared" ca="1" si="313"/>
        <v>11487.98497451527</v>
      </c>
      <c r="P992" s="60">
        <f t="shared" ca="1" si="313"/>
        <v>25329.485639768929</v>
      </c>
      <c r="Q992" s="60">
        <f t="shared" ca="1" si="313"/>
        <v>0</v>
      </c>
      <c r="T992" s="325">
        <v>403737.86000000004</v>
      </c>
      <c r="U992" s="92">
        <v>557</v>
      </c>
      <c r="V992" s="92"/>
      <c r="W992" s="92">
        <f>SUMIF('O&amp;M'!$B$3:$B$87,TOTALCO!U992,'O&amp;M'!$F$3:$F$87)+SUMIF('O&amp;M'!$B$3:$B$87,TOTALCO!V992,'O&amp;M'!$F$3:$F$87)</f>
        <v>403737.86000000004</v>
      </c>
      <c r="X992" s="333">
        <f t="shared" ca="1" si="314"/>
        <v>0</v>
      </c>
      <c r="Y992" s="50"/>
    </row>
    <row r="993" spans="1:27" x14ac:dyDescent="0.2">
      <c r="C993" s="58"/>
      <c r="T993" s="86"/>
      <c r="U993" s="92"/>
      <c r="V993" s="92"/>
      <c r="W993" s="92"/>
      <c r="X993" s="93"/>
    </row>
    <row r="994" spans="1:27" x14ac:dyDescent="0.2">
      <c r="A994" s="60">
        <v>46</v>
      </c>
      <c r="B994" s="48" t="s">
        <v>232</v>
      </c>
      <c r="C994" s="58"/>
      <c r="D994" s="66">
        <f ca="1">SUM(F994:I994)+K994</f>
        <v>750891338.8499999</v>
      </c>
      <c r="F994" s="60">
        <f ca="1">F953+F970+F984+F989+F991+F992</f>
        <v>650299330.81798387</v>
      </c>
      <c r="H994" s="60">
        <f ca="1">H953+H970+H984+H989+H991+H992</f>
        <v>34941554.524023823</v>
      </c>
      <c r="I994" s="60">
        <f ca="1">(L994+M994+N994)</f>
        <v>65650453.50799229</v>
      </c>
      <c r="L994" s="60">
        <f ca="1">L953+L970+L984+L989+L991+L992</f>
        <v>3820.2176251032915</v>
      </c>
      <c r="M994" s="60"/>
      <c r="N994" s="60">
        <f ca="1">SUM(O994:Q994)</f>
        <v>65646633.290367186</v>
      </c>
      <c r="O994" s="60">
        <f ca="1">O953+O970+O984+O989+O991+O992</f>
        <v>21318114.311229806</v>
      </c>
      <c r="P994" s="60">
        <f ca="1">P953+P970+P984+P989+P991+P992</f>
        <v>44328518.979137376</v>
      </c>
      <c r="Q994" s="60">
        <f ca="1">Q953+Q970+Q984+Q989+Q991+Q992</f>
        <v>0</v>
      </c>
      <c r="T994" s="58"/>
      <c r="U994" s="92"/>
      <c r="V994" s="92"/>
      <c r="W994" s="92"/>
      <c r="X994" s="93"/>
    </row>
    <row r="995" spans="1:27" x14ac:dyDescent="0.2">
      <c r="C995" s="58"/>
      <c r="T995" s="86"/>
      <c r="U995" s="92"/>
      <c r="V995" s="92"/>
      <c r="W995" s="92"/>
      <c r="X995" s="93"/>
    </row>
    <row r="996" spans="1:27" x14ac:dyDescent="0.2">
      <c r="B996" s="64" t="s">
        <v>215</v>
      </c>
      <c r="T996" s="86"/>
      <c r="U996" s="92"/>
      <c r="V996" s="92"/>
      <c r="W996" s="92"/>
      <c r="X996" s="93"/>
    </row>
    <row r="997" spans="1:27" x14ac:dyDescent="0.2">
      <c r="T997" s="86"/>
      <c r="U997" s="92"/>
      <c r="V997" s="92"/>
      <c r="W997" s="92"/>
      <c r="X997" s="93"/>
    </row>
    <row r="998" spans="1:27" x14ac:dyDescent="0.2">
      <c r="B998" s="48" t="s">
        <v>233</v>
      </c>
      <c r="T998" s="86"/>
      <c r="U998" s="92"/>
      <c r="V998" s="92"/>
      <c r="W998" s="92"/>
      <c r="X998" s="93"/>
    </row>
    <row r="999" spans="1:27" x14ac:dyDescent="0.2">
      <c r="A999" s="60">
        <v>1</v>
      </c>
      <c r="B999" s="48" t="s">
        <v>234</v>
      </c>
      <c r="C999" s="51" t="s">
        <v>1143</v>
      </c>
      <c r="D999" s="66">
        <f t="shared" ref="D999:D1015" ca="1" si="315">SUM(F999:I999)+K999</f>
        <v>1499599.1800000002</v>
      </c>
      <c r="F999" s="60">
        <f t="shared" ref="F999:F1006" ca="1" si="316">INDEX(INDIRECT($C999),1,F$12+1)*$T999</f>
        <v>1203372.5681595828</v>
      </c>
      <c r="H999" s="60">
        <f t="shared" ref="H999:H1006" ca="1" si="317">INDEX(INDIRECT($C999),1,H$12+1)*$T999</f>
        <v>172257.45693845404</v>
      </c>
      <c r="I999" s="60">
        <f t="shared" ref="I999:I1015" ca="1" si="318">(L999+M999+N999)</f>
        <v>123969.15490196344</v>
      </c>
      <c r="L999" s="60">
        <f t="shared" ref="L999:L1006" ca="1" si="319">INDEX(INDIRECT($C999),1,L$12+1)*$T999</f>
        <v>10.639942600644854</v>
      </c>
      <c r="M999" s="60"/>
      <c r="N999" s="60">
        <f t="shared" ref="N999:N1014" ca="1" si="320">SUM(O999:Q999)</f>
        <v>123958.5149593628</v>
      </c>
      <c r="O999" s="60">
        <f t="shared" ref="O999:Q1006" ca="1" si="321">INDEX(INDIRECT($C999),1,O$12+1)*$T999</f>
        <v>38678.20177641153</v>
      </c>
      <c r="P999" s="60">
        <f t="shared" ca="1" si="321"/>
        <v>85280.313182951271</v>
      </c>
      <c r="Q999" s="60">
        <f t="shared" ca="1" si="321"/>
        <v>0</v>
      </c>
      <c r="T999" s="325">
        <v>1499599.1800000002</v>
      </c>
      <c r="U999" s="92">
        <v>560</v>
      </c>
      <c r="V999" s="92"/>
      <c r="W999" s="92">
        <f>SUMIF('O&amp;M'!$B$3:$B$87,TOTALCO!U999,'O&amp;M'!$F$3:$F$87)+SUMIF('O&amp;M'!$B$3:$B$87,TOTALCO!V999,'O&amp;M'!$F$3:$F$87)</f>
        <v>1499599.1800000002</v>
      </c>
      <c r="X999" s="333">
        <f t="shared" ref="X999:X1007" ca="1" si="322">D999-T999</f>
        <v>0</v>
      </c>
      <c r="Y999" s="50"/>
    </row>
    <row r="1000" spans="1:27" x14ac:dyDescent="0.2">
      <c r="A1000" s="60">
        <v>2</v>
      </c>
      <c r="B1000" s="48" t="s">
        <v>235</v>
      </c>
      <c r="C1000" s="51" t="s">
        <v>1048</v>
      </c>
      <c r="D1000" s="66">
        <f t="shared" ca="1" si="315"/>
        <v>2847533.5999999996</v>
      </c>
      <c r="F1000" s="60">
        <f t="shared" ca="1" si="316"/>
        <v>2285039.8072054833</v>
      </c>
      <c r="H1000" s="60">
        <f t="shared" ca="1" si="317"/>
        <v>327093.3346888072</v>
      </c>
      <c r="I1000" s="60">
        <f t="shared" ca="1" si="318"/>
        <v>235400.45810570905</v>
      </c>
      <c r="L1000" s="60">
        <f t="shared" ca="1" si="319"/>
        <v>20.203794761615967</v>
      </c>
      <c r="M1000" s="60"/>
      <c r="N1000" s="60">
        <f t="shared" ca="1" si="320"/>
        <v>235380.25431094744</v>
      </c>
      <c r="O1000" s="60">
        <f t="shared" ca="1" si="321"/>
        <v>73444.611476722392</v>
      </c>
      <c r="P1000" s="60">
        <f t="shared" ca="1" si="321"/>
        <v>161935.64283422503</v>
      </c>
      <c r="Q1000" s="60">
        <f t="shared" ca="1" si="321"/>
        <v>0</v>
      </c>
      <c r="T1000" s="325">
        <v>2847533.5999999996</v>
      </c>
      <c r="U1000" s="92">
        <v>561</v>
      </c>
      <c r="V1000" s="92"/>
      <c r="W1000" s="92">
        <f>SUMIF('O&amp;M'!$B$3:$B$87,TOTALCO!U1000,'O&amp;M'!$F$3:$F$87)+SUMIF('O&amp;M'!$B$3:$B$87,TOTALCO!V1000,'O&amp;M'!$F$3:$F$87)</f>
        <v>2847533.5999999996</v>
      </c>
      <c r="X1000" s="333">
        <f t="shared" ca="1" si="322"/>
        <v>0</v>
      </c>
      <c r="Y1000" s="50"/>
    </row>
    <row r="1001" spans="1:27" x14ac:dyDescent="0.2">
      <c r="A1001" s="60">
        <v>3</v>
      </c>
      <c r="B1001" s="48" t="s">
        <v>236</v>
      </c>
      <c r="C1001" s="51" t="s">
        <v>1048</v>
      </c>
      <c r="D1001" s="66">
        <f t="shared" ca="1" si="315"/>
        <v>771550.95000000007</v>
      </c>
      <c r="F1001" s="60">
        <f t="shared" ca="1" si="316"/>
        <v>619140.94149309001</v>
      </c>
      <c r="H1001" s="60">
        <f t="shared" ca="1" si="317"/>
        <v>88627.285422660934</v>
      </c>
      <c r="I1001" s="60">
        <f t="shared" ca="1" si="318"/>
        <v>63782.723084249141</v>
      </c>
      <c r="L1001" s="60">
        <f t="shared" ca="1" si="319"/>
        <v>5.4743013539611347</v>
      </c>
      <c r="M1001" s="60"/>
      <c r="N1001" s="60">
        <f t="shared" ca="1" si="320"/>
        <v>63777.248782895178</v>
      </c>
      <c r="O1001" s="60">
        <f t="shared" ca="1" si="321"/>
        <v>19900.119793931874</v>
      </c>
      <c r="P1001" s="60">
        <f t="shared" ca="1" si="321"/>
        <v>43877.128988963304</v>
      </c>
      <c r="Q1001" s="60">
        <f t="shared" ca="1" si="321"/>
        <v>0</v>
      </c>
      <c r="T1001" s="325">
        <v>771550.95000000007</v>
      </c>
      <c r="U1001" s="92">
        <v>562</v>
      </c>
      <c r="V1001" s="92"/>
      <c r="W1001" s="92">
        <f>SUMIF('O&amp;M'!$B$3:$B$87,TOTALCO!U1001,'O&amp;M'!$F$3:$F$87)+SUMIF('O&amp;M'!$B$3:$B$87,TOTALCO!V1001,'O&amp;M'!$F$3:$F$87)</f>
        <v>771550.95000000007</v>
      </c>
      <c r="X1001" s="333">
        <f t="shared" ca="1" si="322"/>
        <v>0</v>
      </c>
      <c r="Y1001" s="50"/>
    </row>
    <row r="1002" spans="1:27" x14ac:dyDescent="0.2">
      <c r="A1002" s="60">
        <v>4</v>
      </c>
      <c r="B1002" s="48" t="s">
        <v>237</v>
      </c>
      <c r="C1002" s="51" t="s">
        <v>1048</v>
      </c>
      <c r="D1002" s="66">
        <f t="shared" ca="1" si="315"/>
        <v>487465.94000000006</v>
      </c>
      <c r="F1002" s="60">
        <f t="shared" ca="1" si="316"/>
        <v>391173.28678995743</v>
      </c>
      <c r="H1002" s="60">
        <f t="shared" ca="1" si="317"/>
        <v>55994.724649364638</v>
      </c>
      <c r="I1002" s="60">
        <f t="shared" ca="1" si="318"/>
        <v>40297.928560677945</v>
      </c>
      <c r="L1002" s="60">
        <f t="shared" ca="1" si="319"/>
        <v>3.4586639487022044</v>
      </c>
      <c r="M1002" s="60"/>
      <c r="N1002" s="60">
        <f t="shared" ca="1" si="320"/>
        <v>40294.469896729242</v>
      </c>
      <c r="O1002" s="60">
        <f t="shared" ca="1" si="321"/>
        <v>12572.896970007756</v>
      </c>
      <c r="P1002" s="60">
        <f t="shared" ca="1" si="321"/>
        <v>27721.572926721488</v>
      </c>
      <c r="Q1002" s="60">
        <f t="shared" ca="1" si="321"/>
        <v>0</v>
      </c>
      <c r="T1002" s="325">
        <v>487465.94</v>
      </c>
      <c r="U1002" s="92">
        <v>563</v>
      </c>
      <c r="V1002" s="92"/>
      <c r="W1002" s="92">
        <f>SUMIF('O&amp;M'!$B$3:$B$87,TOTALCO!U1002,'O&amp;M'!$F$3:$F$87)+SUMIF('O&amp;M'!$B$3:$B$87,TOTALCO!V1002,'O&amp;M'!$F$3:$F$87)</f>
        <v>487465.94</v>
      </c>
      <c r="X1002" s="333">
        <f t="shared" ca="1" si="322"/>
        <v>0</v>
      </c>
      <c r="Y1002" s="50"/>
    </row>
    <row r="1003" spans="1:27" x14ac:dyDescent="0.2">
      <c r="A1003" s="60">
        <v>5</v>
      </c>
      <c r="B1003" s="48" t="s">
        <v>238</v>
      </c>
      <c r="C1003" s="51" t="s">
        <v>1048</v>
      </c>
      <c r="D1003" s="66">
        <f t="shared" ca="1" si="315"/>
        <v>0</v>
      </c>
      <c r="F1003" s="60">
        <f t="shared" ca="1" si="316"/>
        <v>0</v>
      </c>
      <c r="H1003" s="60">
        <f t="shared" ca="1" si="317"/>
        <v>0</v>
      </c>
      <c r="I1003" s="60">
        <f t="shared" ca="1" si="318"/>
        <v>0</v>
      </c>
      <c r="L1003" s="60">
        <f t="shared" ca="1" si="319"/>
        <v>0</v>
      </c>
      <c r="M1003" s="60"/>
      <c r="N1003" s="60">
        <f t="shared" ca="1" si="320"/>
        <v>0</v>
      </c>
      <c r="O1003" s="60">
        <f t="shared" ca="1" si="321"/>
        <v>0</v>
      </c>
      <c r="P1003" s="60">
        <f t="shared" ca="1" si="321"/>
        <v>0</v>
      </c>
      <c r="Q1003" s="60">
        <f t="shared" ca="1" si="321"/>
        <v>0</v>
      </c>
      <c r="T1003" s="325">
        <v>0</v>
      </c>
      <c r="U1003" s="92">
        <v>564</v>
      </c>
      <c r="V1003" s="92"/>
      <c r="W1003" s="92">
        <f>SUMIF('O&amp;M'!$B$3:$B$87,TOTALCO!U1003,'O&amp;M'!$F$3:$F$87)+SUMIF('O&amp;M'!$B$3:$B$87,TOTALCO!V1003,'O&amp;M'!$F$3:$F$87)</f>
        <v>0</v>
      </c>
      <c r="X1003" s="333">
        <f t="shared" ca="1" si="322"/>
        <v>0</v>
      </c>
      <c r="Y1003" s="50"/>
    </row>
    <row r="1004" spans="1:27" x14ac:dyDescent="0.2">
      <c r="A1004" s="60">
        <v>6</v>
      </c>
      <c r="B1004" s="48" t="s">
        <v>240</v>
      </c>
      <c r="C1004" s="51" t="s">
        <v>1048</v>
      </c>
      <c r="D1004" s="66">
        <f t="shared" ca="1" si="315"/>
        <v>2390403.8800000004</v>
      </c>
      <c r="F1004" s="60">
        <f t="shared" ca="1" si="316"/>
        <v>1918210.2086867176</v>
      </c>
      <c r="H1004" s="60">
        <f t="shared" ca="1" si="317"/>
        <v>274583.30126895197</v>
      </c>
      <c r="I1004" s="60">
        <f t="shared" ca="1" si="318"/>
        <v>197610.37004433043</v>
      </c>
      <c r="L1004" s="60">
        <f t="shared" ca="1" si="319"/>
        <v>16.960372087932686</v>
      </c>
      <c r="M1004" s="60"/>
      <c r="N1004" s="60">
        <f t="shared" ca="1" si="320"/>
        <v>197593.4096722425</v>
      </c>
      <c r="O1004" s="60">
        <f t="shared" ca="1" si="321"/>
        <v>61654.157211366975</v>
      </c>
      <c r="P1004" s="60">
        <f t="shared" ca="1" si="321"/>
        <v>135939.25246087552</v>
      </c>
      <c r="Q1004" s="60">
        <f t="shared" ca="1" si="321"/>
        <v>0</v>
      </c>
      <c r="T1004" s="325">
        <v>2390403.88</v>
      </c>
      <c r="U1004" s="92">
        <v>565</v>
      </c>
      <c r="V1004" s="92"/>
      <c r="W1004" s="92">
        <f>SUMIF('O&amp;M'!$B$3:$B$87,TOTALCO!U1004,'O&amp;M'!$F$3:$F$87)+SUMIF('O&amp;M'!$B$3:$B$87,TOTALCO!V1004,'O&amp;M'!$F$3:$F$87)</f>
        <v>2390403.88</v>
      </c>
      <c r="X1004" s="333">
        <f t="shared" ca="1" si="322"/>
        <v>0</v>
      </c>
      <c r="Y1004" s="302" t="s">
        <v>1316</v>
      </c>
      <c r="Z1004" s="285"/>
    </row>
    <row r="1005" spans="1:27" x14ac:dyDescent="0.2">
      <c r="A1005" s="60">
        <v>7</v>
      </c>
      <c r="B1005" s="48" t="s">
        <v>241</v>
      </c>
      <c r="C1005" s="51" t="s">
        <v>1048</v>
      </c>
      <c r="D1005" s="66">
        <f t="shared" ca="1" si="315"/>
        <v>12105329.560000001</v>
      </c>
      <c r="F1005" s="60">
        <f ca="1">INDEX(INDIRECT($C1005),1,F$12+1)*$T1005+$Y1005</f>
        <v>9779438.4120993223</v>
      </c>
      <c r="H1005" s="60">
        <f t="shared" ca="1" si="317"/>
        <v>1352518.9103161027</v>
      </c>
      <c r="I1005" s="60">
        <f t="shared" ca="1" si="318"/>
        <v>973372.23758457624</v>
      </c>
      <c r="L1005" s="60">
        <f t="shared" ca="1" si="319"/>
        <v>83.541948359261625</v>
      </c>
      <c r="M1005" s="60"/>
      <c r="N1005" s="60">
        <f t="shared" ca="1" si="320"/>
        <v>973288.69563621702</v>
      </c>
      <c r="O1005" s="60">
        <f t="shared" ca="1" si="321"/>
        <v>303690.76758348651</v>
      </c>
      <c r="P1005" s="60">
        <f t="shared" ca="1" si="321"/>
        <v>669597.92805273051</v>
      </c>
      <c r="Q1005" s="60">
        <f t="shared" ca="1" si="321"/>
        <v>0</v>
      </c>
      <c r="T1005" s="85">
        <f>W1005-Y1005</f>
        <v>11774446.720000001</v>
      </c>
      <c r="U1005" s="92">
        <v>566</v>
      </c>
      <c r="V1005" s="92"/>
      <c r="W1005" s="92">
        <f>SUMIF('O&amp;M'!$B$3:$B$87,TOTALCO!U1005,'O&amp;M'!$F$3:$F$87)+SUMIF('O&amp;M'!$B$3:$B$87,TOTALCO!V1005,'O&amp;M'!$F$3:$F$87)</f>
        <v>12105329.560000001</v>
      </c>
      <c r="X1005" s="333">
        <f t="shared" ca="1" si="322"/>
        <v>330882.83999999985</v>
      </c>
      <c r="Y1005" s="330">
        <f>27573.57*12</f>
        <v>330882.83999999997</v>
      </c>
    </row>
    <row r="1006" spans="1:27" x14ac:dyDescent="0.2">
      <c r="A1006" s="60">
        <v>8</v>
      </c>
      <c r="B1006" s="48" t="s">
        <v>242</v>
      </c>
      <c r="C1006" s="51" t="s">
        <v>1048</v>
      </c>
      <c r="D1006" s="66">
        <f t="shared" ca="1" si="315"/>
        <v>142846.5</v>
      </c>
      <c r="F1006" s="60">
        <f t="shared" ca="1" si="316"/>
        <v>114629.00343651016</v>
      </c>
      <c r="H1006" s="60">
        <f t="shared" ca="1" si="317"/>
        <v>16408.634487622799</v>
      </c>
      <c r="I1006" s="60">
        <f t="shared" ca="1" si="318"/>
        <v>11808.862075867048</v>
      </c>
      <c r="L1006" s="60">
        <f t="shared" ca="1" si="319"/>
        <v>1.0135232007148838</v>
      </c>
      <c r="M1006" s="60"/>
      <c r="N1006" s="60">
        <f t="shared" ca="1" si="320"/>
        <v>11807.848552666333</v>
      </c>
      <c r="O1006" s="60">
        <f t="shared" ca="1" si="321"/>
        <v>3684.3483403706377</v>
      </c>
      <c r="P1006" s="60">
        <f t="shared" ca="1" si="321"/>
        <v>8123.5002122956957</v>
      </c>
      <c r="Q1006" s="60">
        <f t="shared" ca="1" si="321"/>
        <v>0</v>
      </c>
      <c r="T1006" s="325">
        <v>142846.5</v>
      </c>
      <c r="U1006" s="92">
        <v>567</v>
      </c>
      <c r="V1006" s="92"/>
      <c r="W1006" s="92">
        <f>SUMIF('O&amp;M'!$B$3:$B$87,TOTALCO!U1006,'O&amp;M'!$F$3:$F$87)+SUMIF('O&amp;M'!$B$3:$B$87,TOTALCO!V1006,'O&amp;M'!$F$3:$F$87)</f>
        <v>142846.5</v>
      </c>
      <c r="X1006" s="333">
        <f t="shared" ca="1" si="322"/>
        <v>0</v>
      </c>
      <c r="Y1006" s="302" t="s">
        <v>1315</v>
      </c>
      <c r="Z1006" s="285"/>
    </row>
    <row r="1007" spans="1:27" x14ac:dyDescent="0.2">
      <c r="A1007" s="57">
        <v>9</v>
      </c>
      <c r="B1007" s="70" t="s">
        <v>444</v>
      </c>
      <c r="C1007" s="55" t="s">
        <v>1048</v>
      </c>
      <c r="D1007" s="95">
        <f ca="1">SUM(F1007:I1007)+K1007</f>
        <v>1397355.6400000001</v>
      </c>
      <c r="E1007" s="34"/>
      <c r="F1007" s="57">
        <f ca="1">INDEX(INDIRECT($C1007),1,F$12+1)*$T1007+$Y1007</f>
        <v>1224444.8729017179</v>
      </c>
      <c r="G1007" s="34"/>
      <c r="H1007" s="57">
        <f ca="1">INDEX(INDIRECT($C1007),1,H$12+1)*$T1007+Z1008+Z1009</f>
        <v>172877.31365183214</v>
      </c>
      <c r="I1007" s="57">
        <f ca="1">(L1007+M1007+N1007)</f>
        <v>33.453446450120182</v>
      </c>
      <c r="J1007" s="34"/>
      <c r="K1007" s="34"/>
      <c r="L1007" s="57">
        <f ca="1">INDEX(INDIRECT($C1007),1,L$12+1)*$T1007+Z1010</f>
        <v>-4.436747706350916</v>
      </c>
      <c r="M1007" s="57"/>
      <c r="N1007" s="57">
        <f ca="1">SUM(O1007:Q1007)</f>
        <v>37.890194156471097</v>
      </c>
      <c r="O1007" s="57">
        <f ca="1">INDEX(INDIRECT($C1007),1,O$12+1)*$T1007</f>
        <v>11.822701937110487</v>
      </c>
      <c r="P1007" s="57">
        <f ca="1">(INDEX(INDIRECT($C1007),1,P$12+1)*$T1007)</f>
        <v>26.067492219360613</v>
      </c>
      <c r="Q1007" s="57">
        <f ca="1">INDEX(INDIRECT($C1007),1,Q$12+1)*$T1007</f>
        <v>0</v>
      </c>
      <c r="R1007" s="34"/>
      <c r="S1007" s="34"/>
      <c r="T1007" s="85">
        <f>W1007-Y1007-Z1008-Z1009-Z1010</f>
        <v>458.38000000009782</v>
      </c>
      <c r="U1007" s="96">
        <v>575.70000000000005</v>
      </c>
      <c r="V1007" s="92"/>
      <c r="W1007" s="92">
        <f>SUMIF('O&amp;M'!$B$3:$B$87,TOTALCO!U1007,'O&amp;M'!$F$3:$F$87)+SUMIF('O&amp;M'!$B$3:$B$87,TOTALCO!V1007,'O&amp;M'!$F$3:$F$87)</f>
        <v>1397355.6400000001</v>
      </c>
      <c r="X1007" s="333">
        <f t="shared" ca="1" si="322"/>
        <v>1396897.26</v>
      </c>
      <c r="Y1007" s="330">
        <f>102006.42*12</f>
        <v>1224077.04</v>
      </c>
    </row>
    <row r="1008" spans="1:27" x14ac:dyDescent="0.2">
      <c r="A1008" s="60">
        <v>10</v>
      </c>
      <c r="B1008" s="48" t="s">
        <v>243</v>
      </c>
      <c r="D1008" s="66">
        <f t="shared" ca="1" si="315"/>
        <v>21642085.25</v>
      </c>
      <c r="F1008" s="60">
        <f ca="1">SUM(F999:F1007)</f>
        <v>17535449.100772381</v>
      </c>
      <c r="H1008" s="60">
        <f ca="1">SUM(H999:H1007)</f>
        <v>2460360.9614237966</v>
      </c>
      <c r="I1008" s="60">
        <f t="shared" ca="1" si="318"/>
        <v>1646275.1878038235</v>
      </c>
      <c r="L1008" s="60">
        <f ca="1">SUM(L999:L1007)</f>
        <v>136.85579860648241</v>
      </c>
      <c r="M1008" s="60"/>
      <c r="N1008" s="60">
        <f t="shared" ca="1" si="320"/>
        <v>1646138.332005217</v>
      </c>
      <c r="O1008" s="60">
        <f ca="1">SUM(O999:O1007)</f>
        <v>513636.92585423478</v>
      </c>
      <c r="P1008" s="60">
        <f ca="1">SUM(P999:P1007)</f>
        <v>1132501.4061509822</v>
      </c>
      <c r="Q1008" s="60">
        <f ca="1">SUM(Q999:Q1007)</f>
        <v>0</v>
      </c>
      <c r="T1008" s="58"/>
      <c r="U1008" s="92"/>
      <c r="V1008" s="92"/>
      <c r="W1008" s="92"/>
      <c r="X1008" s="333"/>
      <c r="Y1008" s="100" t="s">
        <v>1367</v>
      </c>
      <c r="Z1008" s="330">
        <v>174704.87</v>
      </c>
      <c r="AA1008" s="100" t="s">
        <v>1528</v>
      </c>
    </row>
    <row r="1009" spans="1:27" x14ac:dyDescent="0.2">
      <c r="A1009" s="60">
        <v>11</v>
      </c>
      <c r="B1009" s="48" t="s">
        <v>244</v>
      </c>
      <c r="C1009" s="51" t="s">
        <v>1048</v>
      </c>
      <c r="D1009" s="66">
        <f t="shared" ca="1" si="315"/>
        <v>0</v>
      </c>
      <c r="F1009" s="60">
        <f t="shared" ref="F1009:F1014" ca="1" si="323">INDEX(INDIRECT($C1009),1,F$12+1)*$T1009</f>
        <v>0</v>
      </c>
      <c r="H1009" s="60">
        <f t="shared" ref="H1009:H1014" ca="1" si="324">INDEX(INDIRECT($C1009),1,H$12+1)*$T1009</f>
        <v>0</v>
      </c>
      <c r="I1009" s="60">
        <f t="shared" ca="1" si="318"/>
        <v>0</v>
      </c>
      <c r="L1009" s="60">
        <f t="shared" ref="L1009:L1014" ca="1" si="325">INDEX(INDIRECT($C1009),1,L$12+1)*$T1009</f>
        <v>0</v>
      </c>
      <c r="M1009" s="60"/>
      <c r="N1009" s="60">
        <f t="shared" ca="1" si="320"/>
        <v>0</v>
      </c>
      <c r="O1009" s="60">
        <f t="shared" ref="O1009:Q1014" ca="1" si="326">INDEX(INDIRECT($C1009),1,O$12+1)*$T1009</f>
        <v>0</v>
      </c>
      <c r="P1009" s="60">
        <f t="shared" ca="1" si="326"/>
        <v>0</v>
      </c>
      <c r="Q1009" s="60">
        <f t="shared" ca="1" si="326"/>
        <v>0</v>
      </c>
      <c r="T1009" s="325">
        <v>0</v>
      </c>
      <c r="U1009" s="92">
        <v>568</v>
      </c>
      <c r="V1009" s="92"/>
      <c r="W1009" s="92">
        <f>SUMIF('O&amp;M'!$B$3:$B$87,TOTALCO!U1009,'O&amp;M'!$F$3:$F$87)+SUMIF('O&amp;M'!$B$3:$B$87,TOTALCO!V1009,'O&amp;M'!$F$3:$F$87)</f>
        <v>0</v>
      </c>
      <c r="X1009" s="333">
        <f t="shared" ref="X1009:X1014" ca="1" si="327">D1009-T1009</f>
        <v>0</v>
      </c>
      <c r="Y1009" s="100" t="s">
        <v>1508</v>
      </c>
      <c r="Z1009" s="435">
        <f>(-156.69*12)+0.07</f>
        <v>-1880.21</v>
      </c>
      <c r="AA1009" s="100" t="s">
        <v>1527</v>
      </c>
    </row>
    <row r="1010" spans="1:27" x14ac:dyDescent="0.2">
      <c r="A1010" s="60">
        <v>12</v>
      </c>
      <c r="B1010" s="48" t="s">
        <v>245</v>
      </c>
      <c r="C1010" s="51" t="s">
        <v>1048</v>
      </c>
      <c r="D1010" s="66">
        <f t="shared" ca="1" si="315"/>
        <v>0</v>
      </c>
      <c r="F1010" s="60">
        <f t="shared" ca="1" si="323"/>
        <v>0</v>
      </c>
      <c r="H1010" s="60">
        <f t="shared" ca="1" si="324"/>
        <v>0</v>
      </c>
      <c r="I1010" s="60">
        <f t="shared" ca="1" si="318"/>
        <v>0</v>
      </c>
      <c r="L1010" s="60">
        <f t="shared" ca="1" si="325"/>
        <v>0</v>
      </c>
      <c r="M1010" s="60"/>
      <c r="N1010" s="60">
        <f t="shared" ca="1" si="320"/>
        <v>0</v>
      </c>
      <c r="O1010" s="60">
        <f t="shared" ca="1" si="326"/>
        <v>0</v>
      </c>
      <c r="P1010" s="60">
        <f t="shared" ca="1" si="326"/>
        <v>0</v>
      </c>
      <c r="Q1010" s="60">
        <f t="shared" ca="1" si="326"/>
        <v>0</v>
      </c>
      <c r="T1010" s="325">
        <v>0</v>
      </c>
      <c r="U1010" s="92">
        <v>569</v>
      </c>
      <c r="V1010" s="92"/>
      <c r="W1010" s="92">
        <f>SUMIF('O&amp;M'!$B$3:$B$87,TOTALCO!U1010,'O&amp;M'!$F$3:$F$87)+SUMIF('O&amp;M'!$B$3:$B$87,TOTALCO!V1010,'O&amp;M'!$F$3:$F$87)</f>
        <v>0</v>
      </c>
      <c r="X1010" s="333">
        <f t="shared" ca="1" si="327"/>
        <v>0</v>
      </c>
      <c r="Y1010" s="100" t="s">
        <v>1509</v>
      </c>
      <c r="Z1010" s="435">
        <f>-0.37*12</f>
        <v>-4.4399999999999995</v>
      </c>
      <c r="AA1010" s="100" t="s">
        <v>1527</v>
      </c>
    </row>
    <row r="1011" spans="1:27" x14ac:dyDescent="0.2">
      <c r="A1011" s="60">
        <v>13</v>
      </c>
      <c r="B1011" s="48" t="s">
        <v>246</v>
      </c>
      <c r="C1011" s="51" t="s">
        <v>1048</v>
      </c>
      <c r="D1011" s="66">
        <f t="shared" ca="1" si="315"/>
        <v>1954950.8</v>
      </c>
      <c r="F1011" s="60">
        <f t="shared" ca="1" si="323"/>
        <v>1568775.3075602711</v>
      </c>
      <c r="H1011" s="60">
        <f t="shared" ca="1" si="324"/>
        <v>224563.24179091389</v>
      </c>
      <c r="I1011" s="60">
        <f t="shared" ca="1" si="318"/>
        <v>161612.25064881498</v>
      </c>
      <c r="L1011" s="60">
        <f t="shared" ca="1" si="325"/>
        <v>13.870749315216841</v>
      </c>
      <c r="M1011" s="60"/>
      <c r="N1011" s="60">
        <f t="shared" ca="1" si="320"/>
        <v>161598.37989949976</v>
      </c>
      <c r="O1011" s="60">
        <f t="shared" ca="1" si="326"/>
        <v>50422.794646604925</v>
      </c>
      <c r="P1011" s="60">
        <f t="shared" ca="1" si="326"/>
        <v>111175.58525289483</v>
      </c>
      <c r="Q1011" s="60">
        <f t="shared" ca="1" si="326"/>
        <v>0</v>
      </c>
      <c r="T1011" s="325">
        <v>1954950.8</v>
      </c>
      <c r="U1011" s="92">
        <v>570</v>
      </c>
      <c r="V1011" s="92"/>
      <c r="W1011" s="92">
        <f>SUMIF('O&amp;M'!$B$3:$B$87,TOTALCO!U1011,'O&amp;M'!$F$3:$F$87)+SUMIF('O&amp;M'!$B$3:$B$87,TOTALCO!V1011,'O&amp;M'!$F$3:$F$87)</f>
        <v>1954950.8</v>
      </c>
      <c r="X1011" s="333">
        <f t="shared" ca="1" si="327"/>
        <v>0</v>
      </c>
      <c r="Y1011" s="361" t="s">
        <v>1350</v>
      </c>
      <c r="Z1011" s="285"/>
      <c r="AA1011" s="285"/>
    </row>
    <row r="1012" spans="1:27" x14ac:dyDescent="0.2">
      <c r="A1012" s="60">
        <v>14</v>
      </c>
      <c r="B1012" s="70" t="s">
        <v>247</v>
      </c>
      <c r="C1012" s="51" t="s">
        <v>1048</v>
      </c>
      <c r="D1012" s="66">
        <f t="shared" ca="1" si="315"/>
        <v>4660622.09</v>
      </c>
      <c r="F1012" s="60">
        <f ca="1">INDEX(INDIRECT($C1012),1,F$12+1)*$T1012+$Y$1012</f>
        <v>3755066.053588747</v>
      </c>
      <c r="H1012" s="60">
        <f t="shared" ca="1" si="324"/>
        <v>526585.97746613831</v>
      </c>
      <c r="I1012" s="60">
        <f t="shared" ca="1" si="318"/>
        <v>378970.05894511513</v>
      </c>
      <c r="L1012" s="60">
        <f t="shared" ca="1" si="325"/>
        <v>32.525991467214219</v>
      </c>
      <c r="M1012" s="60"/>
      <c r="N1012" s="60">
        <f t="shared" ca="1" si="320"/>
        <v>378937.5329536479</v>
      </c>
      <c r="O1012" s="60">
        <f t="shared" ca="1" si="326"/>
        <v>118238.12478748757</v>
      </c>
      <c r="P1012" s="60">
        <f t="shared" ca="1" si="326"/>
        <v>260699.40816616031</v>
      </c>
      <c r="Q1012" s="60">
        <f t="shared" ca="1" si="326"/>
        <v>0</v>
      </c>
      <c r="T1012" s="85">
        <f>W1012-Y1012</f>
        <v>4584230.57</v>
      </c>
      <c r="U1012" s="92">
        <v>571</v>
      </c>
      <c r="V1012" s="92"/>
      <c r="W1012" s="92">
        <f>SUMIF('O&amp;M'!$B$3:$B$87,TOTALCO!U1012,'O&amp;M'!$F$3:$F$87)+SUMIF('O&amp;M'!$B$3:$B$87,TOTALCO!V1012,'O&amp;M'!$F$3:$F$87)</f>
        <v>4660622.09</v>
      </c>
      <c r="X1012" s="333">
        <f t="shared" ca="1" si="327"/>
        <v>76391.519999999553</v>
      </c>
      <c r="Y1012" s="330">
        <f>6365.96*12</f>
        <v>76391.520000000004</v>
      </c>
    </row>
    <row r="1013" spans="1:27" x14ac:dyDescent="0.2">
      <c r="A1013" s="60">
        <v>15</v>
      </c>
      <c r="B1013" s="48" t="s">
        <v>248</v>
      </c>
      <c r="C1013" s="51" t="s">
        <v>1048</v>
      </c>
      <c r="D1013" s="66">
        <f t="shared" ca="1" si="315"/>
        <v>0</v>
      </c>
      <c r="F1013" s="60">
        <f t="shared" ca="1" si="323"/>
        <v>0</v>
      </c>
      <c r="H1013" s="60">
        <f t="shared" ca="1" si="324"/>
        <v>0</v>
      </c>
      <c r="I1013" s="60">
        <f t="shared" ca="1" si="318"/>
        <v>0</v>
      </c>
      <c r="L1013" s="60">
        <f t="shared" ca="1" si="325"/>
        <v>0</v>
      </c>
      <c r="M1013" s="60"/>
      <c r="N1013" s="60">
        <f t="shared" ca="1" si="320"/>
        <v>0</v>
      </c>
      <c r="O1013" s="60">
        <f t="shared" ca="1" si="326"/>
        <v>0</v>
      </c>
      <c r="P1013" s="60">
        <f t="shared" ca="1" si="326"/>
        <v>0</v>
      </c>
      <c r="Q1013" s="60">
        <f t="shared" ca="1" si="326"/>
        <v>0</v>
      </c>
      <c r="T1013" s="325">
        <v>0</v>
      </c>
      <c r="U1013" s="92">
        <v>572</v>
      </c>
      <c r="V1013" s="92"/>
      <c r="W1013" s="92">
        <f>SUMIF('O&amp;M'!$B$3:$B$87,TOTALCO!U1013,'O&amp;M'!$F$3:$F$87)+SUMIF('O&amp;M'!$B$3:$B$87,TOTALCO!V1013,'O&amp;M'!$F$3:$F$87)</f>
        <v>0</v>
      </c>
      <c r="X1013" s="333">
        <f t="shared" ca="1" si="327"/>
        <v>0</v>
      </c>
      <c r="Y1013" s="50"/>
    </row>
    <row r="1014" spans="1:27" x14ac:dyDescent="0.2">
      <c r="A1014" s="60">
        <v>16</v>
      </c>
      <c r="B1014" s="48" t="s">
        <v>249</v>
      </c>
      <c r="C1014" s="51" t="s">
        <v>1048</v>
      </c>
      <c r="D1014" s="66">
        <f t="shared" ca="1" si="315"/>
        <v>680912.85000000009</v>
      </c>
      <c r="F1014" s="60">
        <f t="shared" ca="1" si="323"/>
        <v>546407.23729747615</v>
      </c>
      <c r="H1014" s="60">
        <f t="shared" ca="1" si="324"/>
        <v>78215.777590459184</v>
      </c>
      <c r="I1014" s="60">
        <f t="shared" ca="1" si="318"/>
        <v>56289.835112064684</v>
      </c>
      <c r="L1014" s="60">
        <f t="shared" ca="1" si="325"/>
        <v>4.8312067228801086</v>
      </c>
      <c r="M1014" s="60"/>
      <c r="N1014" s="60">
        <f t="shared" ca="1" si="320"/>
        <v>56285.0039053418</v>
      </c>
      <c r="O1014" s="60">
        <f t="shared" ca="1" si="326"/>
        <v>17562.349296864402</v>
      </c>
      <c r="P1014" s="60">
        <f t="shared" ca="1" si="326"/>
        <v>38722.654608477402</v>
      </c>
      <c r="Q1014" s="60">
        <f t="shared" ca="1" si="326"/>
        <v>0</v>
      </c>
      <c r="T1014" s="325">
        <v>680912.85</v>
      </c>
      <c r="U1014" s="92">
        <v>573</v>
      </c>
      <c r="V1014" s="92"/>
      <c r="W1014" s="92">
        <f>SUMIF('O&amp;M'!$B$3:$B$87,TOTALCO!U1014,'O&amp;M'!$F$3:$F$87)+SUMIF('O&amp;M'!$B$3:$B$87,TOTALCO!V1014,'O&amp;M'!$F$3:$F$87)</f>
        <v>680912.85</v>
      </c>
      <c r="X1014" s="333">
        <f t="shared" ca="1" si="327"/>
        <v>0</v>
      </c>
      <c r="Y1014" s="50"/>
      <c r="Z1014" s="324"/>
    </row>
    <row r="1015" spans="1:27" x14ac:dyDescent="0.2">
      <c r="A1015" s="60">
        <v>17</v>
      </c>
      <c r="B1015" s="48" t="s">
        <v>250</v>
      </c>
      <c r="D1015" s="66">
        <f t="shared" ca="1" si="315"/>
        <v>7296485.7400000012</v>
      </c>
      <c r="F1015" s="60">
        <f ca="1">SUM(F1009:F1014)</f>
        <v>5870248.5984464949</v>
      </c>
      <c r="H1015" s="60">
        <f ca="1">SUM(H1009:H1014)</f>
        <v>829364.99684751139</v>
      </c>
      <c r="I1015" s="60">
        <f t="shared" ca="1" si="318"/>
        <v>596872.14470599475</v>
      </c>
      <c r="L1015" s="60">
        <f ca="1">SUM(L1009:L1014)</f>
        <v>51.227947505311171</v>
      </c>
      <c r="M1015" s="60"/>
      <c r="N1015" s="60">
        <f ca="1">SUM(N1009:N1014)</f>
        <v>596820.91675848945</v>
      </c>
      <c r="O1015" s="60">
        <f ca="1">SUM(O1009:O1014)</f>
        <v>186223.26873095692</v>
      </c>
      <c r="P1015" s="60">
        <f ca="1">SUM(P1009:P1014)</f>
        <v>410597.6480275325</v>
      </c>
      <c r="Q1015" s="60">
        <f ca="1">SUM(Q1009:Q1014)</f>
        <v>0</v>
      </c>
      <c r="T1015" s="58"/>
      <c r="U1015" s="92"/>
      <c r="V1015" s="92"/>
      <c r="W1015" s="92"/>
      <c r="X1015" s="93"/>
    </row>
    <row r="1016" spans="1:27" x14ac:dyDescent="0.2">
      <c r="T1016" s="86"/>
      <c r="U1016" s="92"/>
      <c r="V1016" s="92"/>
      <c r="W1016" s="92"/>
      <c r="X1016" s="93"/>
    </row>
    <row r="1017" spans="1:27" x14ac:dyDescent="0.2">
      <c r="A1017" s="60">
        <v>18</v>
      </c>
      <c r="B1017" s="48" t="s">
        <v>251</v>
      </c>
      <c r="D1017" s="66">
        <f ca="1">SUM(F1017:I1017)+K1017</f>
        <v>28938570.990000006</v>
      </c>
      <c r="F1017" s="60">
        <f ca="1">F1015+F1008</f>
        <v>23405697.699218877</v>
      </c>
      <c r="H1017" s="60">
        <f ca="1">H1015+H1008</f>
        <v>3289725.9582713079</v>
      </c>
      <c r="I1017" s="60">
        <f ca="1">(L1017+M1017+N1017)</f>
        <v>2243147.3325098185</v>
      </c>
      <c r="L1017" s="60">
        <f ca="1">L1015+L1008</f>
        <v>188.08374611179357</v>
      </c>
      <c r="M1017" s="60"/>
      <c r="N1017" s="60">
        <f ca="1">SUM(O1017:Q1017)</f>
        <v>2242959.2487637065</v>
      </c>
      <c r="O1017" s="60">
        <f ca="1">O1015+O1008</f>
        <v>699860.19458519167</v>
      </c>
      <c r="P1017" s="60">
        <f ca="1">P1015+P1008</f>
        <v>1543099.0541785148</v>
      </c>
      <c r="Q1017" s="60">
        <f ca="1">Q1015+Q1008</f>
        <v>0</v>
      </c>
      <c r="T1017" s="58"/>
      <c r="U1017" s="92"/>
      <c r="V1017" s="92"/>
      <c r="W1017" s="92"/>
      <c r="X1017" s="93"/>
    </row>
    <row r="1018" spans="1:27" x14ac:dyDescent="0.2">
      <c r="C1018" s="58"/>
      <c r="T1018" s="86"/>
      <c r="U1018" s="92"/>
      <c r="V1018" s="92"/>
      <c r="W1018" s="92"/>
      <c r="X1018" s="93"/>
    </row>
    <row r="1019" spans="1:27" x14ac:dyDescent="0.2">
      <c r="B1019" s="48" t="s">
        <v>252</v>
      </c>
      <c r="C1019" s="58"/>
      <c r="T1019" s="86"/>
      <c r="U1019" s="92"/>
      <c r="V1019" s="92"/>
      <c r="W1019" s="92"/>
      <c r="X1019" s="93"/>
    </row>
    <row r="1020" spans="1:27" x14ac:dyDescent="0.2">
      <c r="A1020" s="60">
        <v>19</v>
      </c>
      <c r="B1020" s="48" t="s">
        <v>253</v>
      </c>
      <c r="C1020" s="51" t="s">
        <v>1037</v>
      </c>
      <c r="D1020" s="66">
        <f t="shared" ref="D1020:D1040" ca="1" si="328">SUM(F1020:I1020)+K1020</f>
        <v>2005458.21</v>
      </c>
      <c r="F1020" s="60">
        <f t="shared" ref="F1020:F1029" ca="1" si="329">INDEX(INDIRECT($C1020),1,F$12+1)*$T1020</f>
        <v>1886828.7080854911</v>
      </c>
      <c r="H1020" s="60">
        <f t="shared" ref="H1020:H1029" ca="1" si="330">INDEX(INDIRECT($C1020),1,H$12+1)*$T1020</f>
        <v>112357.50382072436</v>
      </c>
      <c r="I1020" s="60">
        <f t="shared" ref="I1020:I1040" ca="1" si="331">(L1020+M1020+N1020)</f>
        <v>6271.9980937845512</v>
      </c>
      <c r="L1020" s="60">
        <f t="shared" ref="L1020:L1029" ca="1" si="332">INDEX(INDIRECT($C1020),1,L$12+1)*$T1020</f>
        <v>226.65571699492472</v>
      </c>
      <c r="M1020" s="60"/>
      <c r="N1020" s="60">
        <f t="shared" ref="N1020:N1040" ca="1" si="333">SUM(O1020:Q1020)</f>
        <v>6045.3423767896265</v>
      </c>
      <c r="O1020" s="60">
        <f t="shared" ref="O1020:Q1029" ca="1" si="334">INDEX(INDIRECT($C1020),1,O$12+1)*$T1020</f>
        <v>5195.0117234096078</v>
      </c>
      <c r="P1020" s="60">
        <f t="shared" ca="1" si="334"/>
        <v>850.33065338001904</v>
      </c>
      <c r="Q1020" s="60">
        <f t="shared" ca="1" si="334"/>
        <v>0</v>
      </c>
      <c r="T1020" s="325">
        <v>2005458.21</v>
      </c>
      <c r="U1020" s="92">
        <v>580</v>
      </c>
      <c r="V1020" s="92"/>
      <c r="W1020" s="92">
        <f>SUMIF('O&amp;M'!$B$3:$B$87,TOTALCO!U1020,'O&amp;M'!$F$3:$F$87)+SUMIF('O&amp;M'!$B$3:$B$87,TOTALCO!V1020,'O&amp;M'!$F$3:$F$87)</f>
        <v>2005458.21</v>
      </c>
      <c r="X1020" s="333">
        <f t="shared" ref="X1020:X1029" ca="1" si="335">D1020-T1020</f>
        <v>0</v>
      </c>
      <c r="Y1020" s="50"/>
    </row>
    <row r="1021" spans="1:27" x14ac:dyDescent="0.2">
      <c r="A1021" s="60">
        <v>20</v>
      </c>
      <c r="B1021" s="70" t="s">
        <v>1025</v>
      </c>
      <c r="C1021" s="56" t="s">
        <v>1322</v>
      </c>
      <c r="D1021" s="66">
        <f t="shared" ca="1" si="328"/>
        <v>762447.17999999982</v>
      </c>
      <c r="F1021" s="60">
        <f t="shared" ca="1" si="329"/>
        <v>705212.62453061063</v>
      </c>
      <c r="H1021" s="60">
        <f t="shared" ca="1" si="330"/>
        <v>40151.585366465908</v>
      </c>
      <c r="I1021" s="60">
        <f ca="1">(L1021+M1021+N1021)</f>
        <v>17082.970102923373</v>
      </c>
      <c r="L1021" s="60">
        <f t="shared" ca="1" si="332"/>
        <v>306.64383742809474</v>
      </c>
      <c r="M1021" s="60"/>
      <c r="N1021" s="60">
        <f ca="1">SUM(O1021:Q1021)</f>
        <v>16776.326265495278</v>
      </c>
      <c r="O1021" s="60">
        <f t="shared" ca="1" si="334"/>
        <v>16776.326265495278</v>
      </c>
      <c r="P1021" s="60">
        <f t="shared" ca="1" si="334"/>
        <v>0</v>
      </c>
      <c r="Q1021" s="60">
        <f t="shared" ca="1" si="334"/>
        <v>0</v>
      </c>
      <c r="T1021" s="325">
        <v>762447.17999999993</v>
      </c>
      <c r="U1021" s="92">
        <v>581</v>
      </c>
      <c r="V1021" s="92"/>
      <c r="W1021" s="92">
        <f>SUMIF('O&amp;M'!$B$3:$B$87,TOTALCO!U1021,'O&amp;M'!$F$3:$F$87)+SUMIF('O&amp;M'!$B$3:$B$87,TOTALCO!V1021,'O&amp;M'!$F$3:$F$87)</f>
        <v>762447.17999999993</v>
      </c>
      <c r="X1021" s="333">
        <f t="shared" ca="1" si="335"/>
        <v>0</v>
      </c>
      <c r="Y1021" s="50"/>
    </row>
    <row r="1022" spans="1:27" x14ac:dyDescent="0.2">
      <c r="A1022" s="60">
        <v>21</v>
      </c>
      <c r="B1022" s="48" t="s">
        <v>254</v>
      </c>
      <c r="C1022" s="56" t="s">
        <v>1322</v>
      </c>
      <c r="D1022" s="66">
        <f t="shared" ca="1" si="328"/>
        <v>1518314.26</v>
      </c>
      <c r="F1022" s="60">
        <f t="shared" ca="1" si="329"/>
        <v>1404339.0968497675</v>
      </c>
      <c r="H1022" s="60">
        <f t="shared" ca="1" si="330"/>
        <v>79956.653028098983</v>
      </c>
      <c r="I1022" s="60">
        <f t="shared" ca="1" si="331"/>
        <v>34018.510122133623</v>
      </c>
      <c r="L1022" s="60">
        <f t="shared" ca="1" si="332"/>
        <v>610.64126580965001</v>
      </c>
      <c r="M1022" s="60"/>
      <c r="N1022" s="60">
        <f t="shared" ca="1" si="333"/>
        <v>33407.86885632397</v>
      </c>
      <c r="O1022" s="60">
        <f t="shared" ca="1" si="334"/>
        <v>33407.86885632397</v>
      </c>
      <c r="P1022" s="60">
        <f t="shared" ca="1" si="334"/>
        <v>0</v>
      </c>
      <c r="Q1022" s="60">
        <f t="shared" ca="1" si="334"/>
        <v>0</v>
      </c>
      <c r="T1022" s="325">
        <v>1518314.2600000002</v>
      </c>
      <c r="U1022" s="92">
        <v>582</v>
      </c>
      <c r="V1022" s="92"/>
      <c r="W1022" s="92">
        <f>SUMIF('O&amp;M'!$B$3:$B$87,TOTALCO!U1022,'O&amp;M'!$F$3:$F$87)+SUMIF('O&amp;M'!$B$3:$B$87,TOTALCO!V1022,'O&amp;M'!$F$3:$F$87)</f>
        <v>1518314.2600000002</v>
      </c>
      <c r="X1022" s="333">
        <f t="shared" ca="1" si="335"/>
        <v>0</v>
      </c>
      <c r="Y1022" s="50"/>
    </row>
    <row r="1023" spans="1:27" x14ac:dyDescent="0.2">
      <c r="A1023" s="60">
        <v>22</v>
      </c>
      <c r="B1023" s="48" t="s">
        <v>255</v>
      </c>
      <c r="C1023" s="56" t="s">
        <v>1321</v>
      </c>
      <c r="D1023" s="66">
        <f t="shared" ca="1" si="328"/>
        <v>3566080.97</v>
      </c>
      <c r="F1023" s="60">
        <f t="shared" ca="1" si="329"/>
        <v>3298413.3216719995</v>
      </c>
      <c r="H1023" s="60">
        <f t="shared" ca="1" si="330"/>
        <v>267085.02986442792</v>
      </c>
      <c r="I1023" s="60">
        <f t="shared" ca="1" si="331"/>
        <v>582.61846357243246</v>
      </c>
      <c r="L1023" s="60">
        <f t="shared" ca="1" si="332"/>
        <v>582.61846357243246</v>
      </c>
      <c r="M1023" s="60"/>
      <c r="N1023" s="60">
        <f t="shared" ca="1" si="333"/>
        <v>0</v>
      </c>
      <c r="O1023" s="60">
        <f t="shared" ca="1" si="334"/>
        <v>0</v>
      </c>
      <c r="P1023" s="60">
        <f t="shared" ca="1" si="334"/>
        <v>0</v>
      </c>
      <c r="Q1023" s="60">
        <f t="shared" ca="1" si="334"/>
        <v>0</v>
      </c>
      <c r="T1023" s="325">
        <v>3566080.9699999997</v>
      </c>
      <c r="U1023" s="92">
        <v>583</v>
      </c>
      <c r="V1023" s="92"/>
      <c r="W1023" s="92">
        <f>SUMIF('O&amp;M'!$B$3:$B$87,TOTALCO!U1023,'O&amp;M'!$F$3:$F$87)+SUMIF('O&amp;M'!$B$3:$B$87,TOTALCO!V1023,'O&amp;M'!$F$3:$F$87)</f>
        <v>3566080.9699999997</v>
      </c>
      <c r="X1023" s="333">
        <f t="shared" ca="1" si="335"/>
        <v>0</v>
      </c>
      <c r="Y1023" s="50"/>
    </row>
    <row r="1024" spans="1:27" x14ac:dyDescent="0.2">
      <c r="A1024" s="60">
        <v>23</v>
      </c>
      <c r="B1024" s="48" t="s">
        <v>256</v>
      </c>
      <c r="C1024" s="56" t="s">
        <v>1323</v>
      </c>
      <c r="D1024" s="66">
        <f t="shared" ca="1" si="328"/>
        <v>260294.65000000002</v>
      </c>
      <c r="F1024" s="60">
        <f t="shared" ca="1" si="329"/>
        <v>255302.14618050162</v>
      </c>
      <c r="H1024" s="60">
        <f t="shared" ca="1" si="330"/>
        <v>4992.5038194984145</v>
      </c>
      <c r="I1024" s="60">
        <f t="shared" ca="1" si="331"/>
        <v>0</v>
      </c>
      <c r="L1024" s="60">
        <f t="shared" ca="1" si="332"/>
        <v>0</v>
      </c>
      <c r="M1024" s="60"/>
      <c r="N1024" s="60">
        <f t="shared" ca="1" si="333"/>
        <v>0</v>
      </c>
      <c r="O1024" s="60">
        <f t="shared" ca="1" si="334"/>
        <v>0</v>
      </c>
      <c r="P1024" s="60">
        <f t="shared" ca="1" si="334"/>
        <v>0</v>
      </c>
      <c r="Q1024" s="60">
        <f t="shared" ca="1" si="334"/>
        <v>0</v>
      </c>
      <c r="T1024" s="325">
        <v>260294.65</v>
      </c>
      <c r="U1024" s="92">
        <v>584</v>
      </c>
      <c r="V1024" s="92"/>
      <c r="W1024" s="92">
        <f>SUMIF('O&amp;M'!$B$3:$B$87,TOTALCO!U1024,'O&amp;M'!$F$3:$F$87)+SUMIF('O&amp;M'!$B$3:$B$87,TOTALCO!V1024,'O&amp;M'!$F$3:$F$87)</f>
        <v>260294.65</v>
      </c>
      <c r="X1024" s="333">
        <f t="shared" ca="1" si="335"/>
        <v>0</v>
      </c>
      <c r="Y1024" s="50"/>
    </row>
    <row r="1025" spans="1:27" x14ac:dyDescent="0.2">
      <c r="A1025" s="60">
        <v>24</v>
      </c>
      <c r="B1025" s="48" t="s">
        <v>257</v>
      </c>
      <c r="C1025" s="56" t="s">
        <v>1324</v>
      </c>
      <c r="D1025" s="66">
        <f t="shared" ca="1" si="328"/>
        <v>22469.54</v>
      </c>
      <c r="F1025" s="60">
        <f t="shared" ca="1" si="329"/>
        <v>21917.735759139156</v>
      </c>
      <c r="H1025" s="60">
        <f t="shared" ca="1" si="330"/>
        <v>551.80424086084486</v>
      </c>
      <c r="I1025" s="60">
        <f t="shared" ca="1" si="331"/>
        <v>0</v>
      </c>
      <c r="L1025" s="60">
        <f t="shared" ca="1" si="332"/>
        <v>0</v>
      </c>
      <c r="M1025" s="60"/>
      <c r="N1025" s="60">
        <f t="shared" ca="1" si="333"/>
        <v>0</v>
      </c>
      <c r="O1025" s="60">
        <f t="shared" ca="1" si="334"/>
        <v>0</v>
      </c>
      <c r="P1025" s="60">
        <f t="shared" ca="1" si="334"/>
        <v>0</v>
      </c>
      <c r="Q1025" s="60">
        <f t="shared" ca="1" si="334"/>
        <v>0</v>
      </c>
      <c r="T1025" s="325">
        <v>22469.54</v>
      </c>
      <c r="U1025" s="92">
        <v>585</v>
      </c>
      <c r="V1025" s="92"/>
      <c r="W1025" s="92">
        <f>SUMIF('O&amp;M'!$B$3:$B$87,TOTALCO!U1025,'O&amp;M'!$F$3:$F$87)+SUMIF('O&amp;M'!$B$3:$B$87,TOTALCO!V1025,'O&amp;M'!$F$3:$F$87)</f>
        <v>22469.54</v>
      </c>
      <c r="X1025" s="333">
        <f t="shared" ca="1" si="335"/>
        <v>0</v>
      </c>
      <c r="Y1025" s="50"/>
    </row>
    <row r="1026" spans="1:27" x14ac:dyDescent="0.2">
      <c r="A1026" s="60">
        <v>25</v>
      </c>
      <c r="B1026" s="48" t="s">
        <v>258</v>
      </c>
      <c r="C1026" s="56" t="s">
        <v>1325</v>
      </c>
      <c r="D1026" s="66">
        <f t="shared" ca="1" si="328"/>
        <v>7762013.2300000004</v>
      </c>
      <c r="F1026" s="60">
        <f t="shared" ca="1" si="329"/>
        <v>7329418.9115222199</v>
      </c>
      <c r="H1026" s="60">
        <f t="shared" ca="1" si="330"/>
        <v>398102.79279948102</v>
      </c>
      <c r="I1026" s="60">
        <f t="shared" ca="1" si="331"/>
        <v>34491.525678299091</v>
      </c>
      <c r="L1026" s="60">
        <f t="shared" ca="1" si="332"/>
        <v>12.157008499950123</v>
      </c>
      <c r="M1026" s="60"/>
      <c r="N1026" s="60">
        <f t="shared" ca="1" si="333"/>
        <v>34479.368669799143</v>
      </c>
      <c r="O1026" s="60">
        <f t="shared" ca="1" si="334"/>
        <v>7322.9887985250552</v>
      </c>
      <c r="P1026" s="60">
        <f t="shared" ca="1" si="334"/>
        <v>27156.37987127409</v>
      </c>
      <c r="Q1026" s="60">
        <f t="shared" ca="1" si="334"/>
        <v>0</v>
      </c>
      <c r="T1026" s="325">
        <v>7762013.2300000004</v>
      </c>
      <c r="U1026" s="92">
        <v>586</v>
      </c>
      <c r="V1026" s="92"/>
      <c r="W1026" s="92">
        <f>SUMIF('O&amp;M'!$B$3:$B$87,TOTALCO!U1026,'O&amp;M'!$F$3:$F$87)+SUMIF('O&amp;M'!$B$3:$B$87,TOTALCO!V1026,'O&amp;M'!$F$3:$F$87)</f>
        <v>7762013.2300000004</v>
      </c>
      <c r="X1026" s="333">
        <f t="shared" ca="1" si="335"/>
        <v>0</v>
      </c>
      <c r="Y1026" s="50"/>
    </row>
    <row r="1027" spans="1:27" x14ac:dyDescent="0.2">
      <c r="A1027" s="60">
        <v>26</v>
      </c>
      <c r="B1027" s="48" t="s">
        <v>259</v>
      </c>
      <c r="C1027" s="56" t="s">
        <v>1326</v>
      </c>
      <c r="D1027" s="66">
        <f t="shared" ca="1" si="328"/>
        <v>-74302.51999999999</v>
      </c>
      <c r="F1027" s="60">
        <f t="shared" ca="1" si="329"/>
        <v>-70814.303211158403</v>
      </c>
      <c r="H1027" s="60">
        <f t="shared" ca="1" si="330"/>
        <v>-3488.2167888415925</v>
      </c>
      <c r="I1027" s="60">
        <f t="shared" ca="1" si="331"/>
        <v>0</v>
      </c>
      <c r="L1027" s="60">
        <f t="shared" ca="1" si="332"/>
        <v>0</v>
      </c>
      <c r="M1027" s="60"/>
      <c r="N1027" s="60">
        <f t="shared" ca="1" si="333"/>
        <v>0</v>
      </c>
      <c r="O1027" s="60">
        <f t="shared" ca="1" si="334"/>
        <v>0</v>
      </c>
      <c r="P1027" s="60">
        <f t="shared" ca="1" si="334"/>
        <v>0</v>
      </c>
      <c r="Q1027" s="60">
        <f t="shared" ca="1" si="334"/>
        <v>0</v>
      </c>
      <c r="T1027" s="325">
        <v>-74302.52</v>
      </c>
      <c r="U1027" s="92">
        <v>587</v>
      </c>
      <c r="V1027" s="92"/>
      <c r="W1027" s="92">
        <f>SUMIF('O&amp;M'!$B$3:$B$87,TOTALCO!U1027,'O&amp;M'!$F$3:$F$87)+SUMIF('O&amp;M'!$B$3:$B$87,TOTALCO!V1027,'O&amp;M'!$F$3:$F$87)</f>
        <v>-74302.52</v>
      </c>
      <c r="X1027" s="333">
        <f t="shared" ca="1" si="335"/>
        <v>0</v>
      </c>
      <c r="Y1027" s="50"/>
    </row>
    <row r="1028" spans="1:27" x14ac:dyDescent="0.2">
      <c r="A1028" s="60">
        <v>27</v>
      </c>
      <c r="B1028" s="48" t="s">
        <v>260</v>
      </c>
      <c r="C1028" s="51" t="s">
        <v>1037</v>
      </c>
      <c r="D1028" s="66">
        <f t="shared" ca="1" si="328"/>
        <v>5002069.4700000016</v>
      </c>
      <c r="F1028" s="60">
        <f t="shared" ca="1" si="329"/>
        <v>4706180.4772456363</v>
      </c>
      <c r="H1028" s="60">
        <f t="shared" ca="1" si="330"/>
        <v>280245.20121366868</v>
      </c>
      <c r="I1028" s="60">
        <f t="shared" ca="1" si="331"/>
        <v>15643.791540696282</v>
      </c>
      <c r="L1028" s="60">
        <f t="shared" ca="1" si="332"/>
        <v>565.33097350419143</v>
      </c>
      <c r="M1028" s="60"/>
      <c r="N1028" s="60">
        <f t="shared" ca="1" si="333"/>
        <v>15078.460567192091</v>
      </c>
      <c r="O1028" s="60">
        <f t="shared" ca="1" si="334"/>
        <v>12957.542275567681</v>
      </c>
      <c r="P1028" s="60">
        <f t="shared" ca="1" si="334"/>
        <v>2120.9182916244094</v>
      </c>
      <c r="Q1028" s="60">
        <f t="shared" ca="1" si="334"/>
        <v>0</v>
      </c>
      <c r="T1028" s="325">
        <v>5002069.4700000007</v>
      </c>
      <c r="U1028" s="92">
        <v>588</v>
      </c>
      <c r="V1028" s="92"/>
      <c r="W1028" s="92">
        <f>SUMIF('O&amp;M'!$B$3:$B$87,TOTALCO!U1028,'O&amp;M'!$F$3:$F$87)+SUMIF('O&amp;M'!$B$3:$B$87,TOTALCO!V1028,'O&amp;M'!$F$3:$F$87)</f>
        <v>5002069.4700000007</v>
      </c>
      <c r="X1028" s="333">
        <f t="shared" ca="1" si="335"/>
        <v>0</v>
      </c>
      <c r="Y1028" s="50"/>
    </row>
    <row r="1029" spans="1:27" x14ac:dyDescent="0.2">
      <c r="A1029" s="60">
        <v>28</v>
      </c>
      <c r="B1029" s="48" t="s">
        <v>261</v>
      </c>
      <c r="C1029" s="51" t="s">
        <v>1037</v>
      </c>
      <c r="D1029" s="66">
        <f t="shared" ca="1" si="328"/>
        <v>11380.16</v>
      </c>
      <c r="F1029" s="60">
        <f t="shared" ca="1" si="329"/>
        <v>10706.985806802817</v>
      </c>
      <c r="H1029" s="60">
        <f t="shared" ca="1" si="330"/>
        <v>637.58315396682065</v>
      </c>
      <c r="I1029" s="60">
        <f t="shared" ca="1" si="331"/>
        <v>35.591039230362817</v>
      </c>
      <c r="L1029" s="60">
        <f t="shared" ca="1" si="332"/>
        <v>1.2861790444972485</v>
      </c>
      <c r="M1029" s="60"/>
      <c r="N1029" s="60">
        <f t="shared" ca="1" si="333"/>
        <v>34.304860185865572</v>
      </c>
      <c r="O1029" s="60">
        <f t="shared" ca="1" si="334"/>
        <v>29.479579439492326</v>
      </c>
      <c r="P1029" s="60">
        <f t="shared" ca="1" si="334"/>
        <v>4.8252807463732479</v>
      </c>
      <c r="Q1029" s="60">
        <f t="shared" ca="1" si="334"/>
        <v>0</v>
      </c>
      <c r="T1029" s="325">
        <v>11380.16</v>
      </c>
      <c r="U1029" s="92">
        <v>589</v>
      </c>
      <c r="V1029" s="92"/>
      <c r="W1029" s="92">
        <f>SUMIF('O&amp;M'!$B$3:$B$87,TOTALCO!U1029,'O&amp;M'!$F$3:$F$87)+SUMIF('O&amp;M'!$B$3:$B$87,TOTALCO!V1029,'O&amp;M'!$F$3:$F$87)</f>
        <v>11380.16</v>
      </c>
      <c r="X1029" s="333">
        <f t="shared" ca="1" si="335"/>
        <v>0</v>
      </c>
      <c r="Y1029" s="50"/>
    </row>
    <row r="1030" spans="1:27" x14ac:dyDescent="0.2">
      <c r="A1030" s="60">
        <v>29</v>
      </c>
      <c r="B1030" s="48" t="s">
        <v>262</v>
      </c>
      <c r="C1030" s="58"/>
      <c r="D1030" s="66">
        <f t="shared" ca="1" si="328"/>
        <v>20836225.150000006</v>
      </c>
      <c r="F1030" s="60">
        <f ca="1">SUM(F1020:F1029)</f>
        <v>19547505.704441015</v>
      </c>
      <c r="H1030" s="60">
        <f ca="1">SUM(H1020:H1029)</f>
        <v>1180592.4405183513</v>
      </c>
      <c r="I1030" s="60">
        <f t="shared" ca="1" si="331"/>
        <v>108127.00504063971</v>
      </c>
      <c r="L1030" s="60">
        <f ca="1">SUM(L1020:L1029)</f>
        <v>2305.3334448537407</v>
      </c>
      <c r="M1030" s="60"/>
      <c r="N1030" s="60">
        <f t="shared" ca="1" si="333"/>
        <v>105821.67159578597</v>
      </c>
      <c r="O1030" s="60">
        <f ca="1">SUM(O1020:O1029)</f>
        <v>75689.217498761078</v>
      </c>
      <c r="P1030" s="60">
        <f ca="1">SUM(P1020:P1029)</f>
        <v>30132.454097024893</v>
      </c>
      <c r="Q1030" s="60">
        <f ca="1">SUM(Q1020:Q1029)</f>
        <v>0</v>
      </c>
      <c r="T1030" s="58"/>
      <c r="U1030" s="92"/>
      <c r="V1030" s="92"/>
      <c r="W1030" s="92"/>
      <c r="X1030" s="333"/>
    </row>
    <row r="1031" spans="1:27" x14ac:dyDescent="0.2">
      <c r="A1031" s="60">
        <v>30</v>
      </c>
      <c r="B1031" s="48" t="s">
        <v>263</v>
      </c>
      <c r="C1031" s="51" t="s">
        <v>1037</v>
      </c>
      <c r="D1031" s="66">
        <f t="shared" ca="1" si="328"/>
        <v>141390.00000000003</v>
      </c>
      <c r="F1031" s="60">
        <f t="shared" ref="F1031:F1039" ca="1" si="336">INDEX(INDIRECT($C1031),1,F$12+1)*$T1031</f>
        <v>133026.31274286567</v>
      </c>
      <c r="H1031" s="60">
        <f t="shared" ref="H1031:H1039" ca="1" si="337">INDEX(INDIRECT($C1031),1,H$12+1)*$T1031</f>
        <v>7921.4951406103937</v>
      </c>
      <c r="I1031" s="60">
        <f t="shared" ca="1" si="331"/>
        <v>442.19211652393284</v>
      </c>
      <c r="L1031" s="60">
        <f t="shared" ref="L1031:L1039" ca="1" si="338">INDEX(INDIRECT($C1031),1,L$12+1)*$T1031</f>
        <v>15.979815319069854</v>
      </c>
      <c r="M1031" s="60"/>
      <c r="N1031" s="60">
        <f t="shared" ca="1" si="333"/>
        <v>426.21230120486297</v>
      </c>
      <c r="O1031" s="60">
        <f t="shared" ref="O1031:Q1039" ca="1" si="339">INDEX(INDIRECT($C1031),1,O$12+1)*$T1031</f>
        <v>366.26178691247048</v>
      </c>
      <c r="P1031" s="60">
        <f t="shared" ca="1" si="339"/>
        <v>59.950514292392505</v>
      </c>
      <c r="Q1031" s="60">
        <f t="shared" ca="1" si="339"/>
        <v>0</v>
      </c>
      <c r="T1031" s="325">
        <v>141390</v>
      </c>
      <c r="U1031" s="92">
        <v>590</v>
      </c>
      <c r="V1031" s="92"/>
      <c r="W1031" s="92">
        <f>SUMIF('O&amp;M'!$B$3:$B$87,TOTALCO!U1031,'O&amp;M'!$F$3:$F$87)+SUMIF('O&amp;M'!$B$3:$B$87,TOTALCO!V1031,'O&amp;M'!$F$3:$F$87)</f>
        <v>141390</v>
      </c>
      <c r="X1031" s="333">
        <f t="shared" ref="X1031:X1039" ca="1" si="340">D1031-T1031</f>
        <v>0</v>
      </c>
      <c r="Y1031" s="50"/>
    </row>
    <row r="1032" spans="1:27" x14ac:dyDescent="0.2">
      <c r="A1032" s="60">
        <v>31</v>
      </c>
      <c r="B1032" s="48" t="s">
        <v>264</v>
      </c>
      <c r="C1032" s="56" t="s">
        <v>1322</v>
      </c>
      <c r="D1032" s="66">
        <f t="shared" ca="1" si="328"/>
        <v>0</v>
      </c>
      <c r="F1032" s="60">
        <f t="shared" ca="1" si="336"/>
        <v>0</v>
      </c>
      <c r="H1032" s="60">
        <f t="shared" ca="1" si="337"/>
        <v>0</v>
      </c>
      <c r="I1032" s="60">
        <f t="shared" ca="1" si="331"/>
        <v>0</v>
      </c>
      <c r="L1032" s="60">
        <f t="shared" ca="1" si="338"/>
        <v>0</v>
      </c>
      <c r="M1032" s="60"/>
      <c r="N1032" s="60">
        <f t="shared" ca="1" si="333"/>
        <v>0</v>
      </c>
      <c r="O1032" s="60">
        <f t="shared" ca="1" si="339"/>
        <v>0</v>
      </c>
      <c r="P1032" s="60">
        <f t="shared" ca="1" si="339"/>
        <v>0</v>
      </c>
      <c r="Q1032" s="60">
        <f t="shared" ca="1" si="339"/>
        <v>0</v>
      </c>
      <c r="T1032" s="325">
        <v>0</v>
      </c>
      <c r="U1032" s="92">
        <v>591</v>
      </c>
      <c r="V1032" s="92"/>
      <c r="W1032" s="92">
        <f>SUMIF('O&amp;M'!$B$3:$B$87,TOTALCO!U1032,'O&amp;M'!$F$3:$F$87)+SUMIF('O&amp;M'!$B$3:$B$87,TOTALCO!V1032,'O&amp;M'!$F$3:$F$87)</f>
        <v>0</v>
      </c>
      <c r="X1032" s="333">
        <f t="shared" ca="1" si="340"/>
        <v>0</v>
      </c>
      <c r="Y1032" s="50"/>
    </row>
    <row r="1033" spans="1:27" x14ac:dyDescent="0.2">
      <c r="A1033" s="60">
        <v>32</v>
      </c>
      <c r="B1033" s="48" t="s">
        <v>265</v>
      </c>
      <c r="C1033" s="56" t="s">
        <v>1322</v>
      </c>
      <c r="D1033" s="66">
        <f t="shared" ca="1" si="328"/>
        <v>702682.51999999979</v>
      </c>
      <c r="F1033" s="60">
        <f t="shared" ca="1" si="336"/>
        <v>649934.31301166757</v>
      </c>
      <c r="H1033" s="60">
        <f t="shared" ca="1" si="337"/>
        <v>37004.290824845586</v>
      </c>
      <c r="I1033" s="60">
        <f t="shared" ca="1" si="331"/>
        <v>15743.916163486703</v>
      </c>
      <c r="L1033" s="60">
        <f t="shared" ca="1" si="338"/>
        <v>282.6074645937361</v>
      </c>
      <c r="M1033" s="60"/>
      <c r="N1033" s="60">
        <f t="shared" ca="1" si="333"/>
        <v>15461.308698892966</v>
      </c>
      <c r="O1033" s="60">
        <f t="shared" ca="1" si="339"/>
        <v>15461.308698892966</v>
      </c>
      <c r="P1033" s="60">
        <f t="shared" ca="1" si="339"/>
        <v>0</v>
      </c>
      <c r="Q1033" s="60">
        <f t="shared" ca="1" si="339"/>
        <v>0</v>
      </c>
      <c r="T1033" s="325">
        <v>702682.5199999999</v>
      </c>
      <c r="U1033" s="92">
        <v>592</v>
      </c>
      <c r="V1033" s="92"/>
      <c r="W1033" s="92">
        <f>SUMIF('O&amp;M'!$B$3:$B$87,TOTALCO!U1033,'O&amp;M'!$F$3:$F$87)+SUMIF('O&amp;M'!$B$3:$B$87,TOTALCO!V1033,'O&amp;M'!$F$3:$F$87)</f>
        <v>702682.5199999999</v>
      </c>
      <c r="X1033" s="333">
        <f t="shared" ca="1" si="340"/>
        <v>0</v>
      </c>
      <c r="Y1033" s="361" t="s">
        <v>1349</v>
      </c>
      <c r="Z1033" s="285"/>
      <c r="AA1033" s="285"/>
    </row>
    <row r="1034" spans="1:27" x14ac:dyDescent="0.2">
      <c r="A1034" s="60">
        <v>33</v>
      </c>
      <c r="B1034" s="48" t="s">
        <v>266</v>
      </c>
      <c r="C1034" s="56" t="s">
        <v>1321</v>
      </c>
      <c r="D1034" s="66">
        <f t="shared" ca="1" si="328"/>
        <v>32306694.27</v>
      </c>
      <c r="F1034" s="60">
        <f ca="1">INDEX(INDIRECT($C1034),1,F$12+1)*$T1034+$Y1034+$Y1036</f>
        <v>29856454.022518419</v>
      </c>
      <c r="H1034" s="60">
        <f ca="1">INDEX(INDIRECT($C1034),1,H$12+1)*$T1034+$Y1038</f>
        <v>2446002.8178143986</v>
      </c>
      <c r="I1034" s="60">
        <f t="shared" ca="1" si="331"/>
        <v>4237.4296671826596</v>
      </c>
      <c r="L1034" s="60">
        <f t="shared" ca="1" si="338"/>
        <v>4237.4296671826596</v>
      </c>
      <c r="M1034" s="60"/>
      <c r="N1034" s="60">
        <f t="shared" ca="1" si="333"/>
        <v>0</v>
      </c>
      <c r="O1034" s="60">
        <f t="shared" ca="1" si="339"/>
        <v>0</v>
      </c>
      <c r="P1034" s="60">
        <f t="shared" ca="1" si="339"/>
        <v>0</v>
      </c>
      <c r="Q1034" s="60">
        <f t="shared" ca="1" si="339"/>
        <v>0</v>
      </c>
      <c r="T1034" s="85">
        <f>W1034-Y1034-Y1036-Y1038</f>
        <v>25936385.890000001</v>
      </c>
      <c r="U1034" s="92">
        <v>593</v>
      </c>
      <c r="V1034" s="92"/>
      <c r="W1034" s="92">
        <f>SUMIF('O&amp;M'!$B$3:$B$87,TOTALCO!U1034,'O&amp;M'!$F$3:$F$87)+SUMIF('O&amp;M'!$B$3:$B$87,TOTALCO!V1034,'O&amp;M'!$F$3:$F$87)</f>
        <v>32306694.27</v>
      </c>
      <c r="X1034" s="333">
        <f t="shared" ca="1" si="340"/>
        <v>6370308.379999999</v>
      </c>
      <c r="Y1034" s="330">
        <f>18295.97*12</f>
        <v>219551.64</v>
      </c>
    </row>
    <row r="1035" spans="1:27" x14ac:dyDescent="0.2">
      <c r="A1035" s="60">
        <v>34</v>
      </c>
      <c r="B1035" s="48" t="s">
        <v>267</v>
      </c>
      <c r="C1035" s="56" t="s">
        <v>1323</v>
      </c>
      <c r="D1035" s="66">
        <f t="shared" ca="1" si="328"/>
        <v>485649.37000000005</v>
      </c>
      <c r="F1035" s="60">
        <f t="shared" ca="1" si="336"/>
        <v>476334.51725653413</v>
      </c>
      <c r="H1035" s="60">
        <f t="shared" ca="1" si="337"/>
        <v>9314.85274346591</v>
      </c>
      <c r="I1035" s="60">
        <f t="shared" ca="1" si="331"/>
        <v>0</v>
      </c>
      <c r="L1035" s="60">
        <f t="shared" ca="1" si="338"/>
        <v>0</v>
      </c>
      <c r="M1035" s="60"/>
      <c r="N1035" s="60">
        <f t="shared" ca="1" si="333"/>
        <v>0</v>
      </c>
      <c r="O1035" s="60">
        <f t="shared" ca="1" si="339"/>
        <v>0</v>
      </c>
      <c r="P1035" s="60">
        <f t="shared" ca="1" si="339"/>
        <v>0</v>
      </c>
      <c r="Q1035" s="60">
        <f t="shared" ca="1" si="339"/>
        <v>0</v>
      </c>
      <c r="T1035" s="325">
        <v>485649.37</v>
      </c>
      <c r="U1035" s="92">
        <v>594</v>
      </c>
      <c r="V1035" s="92"/>
      <c r="W1035" s="92">
        <f>SUMIF('O&amp;M'!$B$3:$B$87,TOTALCO!U1035,'O&amp;M'!$F$3:$F$87)+SUMIF('O&amp;M'!$B$3:$B$87,TOTALCO!V1035,'O&amp;M'!$F$3:$F$87)</f>
        <v>485649.37</v>
      </c>
      <c r="X1035" s="333">
        <f t="shared" ca="1" si="340"/>
        <v>0</v>
      </c>
      <c r="Y1035" s="361" t="s">
        <v>1350</v>
      </c>
      <c r="Z1035" s="285"/>
      <c r="AA1035" s="285"/>
    </row>
    <row r="1036" spans="1:27" x14ac:dyDescent="0.2">
      <c r="A1036" s="60">
        <v>35</v>
      </c>
      <c r="B1036" s="48" t="s">
        <v>268</v>
      </c>
      <c r="C1036" s="56" t="s">
        <v>1327</v>
      </c>
      <c r="D1036" s="66">
        <f t="shared" ca="1" si="328"/>
        <v>196997.80999999997</v>
      </c>
      <c r="F1036" s="60">
        <f t="shared" ca="1" si="336"/>
        <v>187043.68488802123</v>
      </c>
      <c r="H1036" s="60">
        <f t="shared" ca="1" si="337"/>
        <v>9594.1953369862458</v>
      </c>
      <c r="I1036" s="60">
        <f t="shared" ca="1" si="331"/>
        <v>359.92977499250077</v>
      </c>
      <c r="L1036" s="60">
        <f t="shared" ca="1" si="338"/>
        <v>2.1333819072427338</v>
      </c>
      <c r="M1036" s="60"/>
      <c r="N1036" s="60">
        <f t="shared" ca="1" si="333"/>
        <v>357.79639308525805</v>
      </c>
      <c r="O1036" s="60">
        <f t="shared" ca="1" si="339"/>
        <v>111.64155274981039</v>
      </c>
      <c r="P1036" s="60">
        <f t="shared" ca="1" si="339"/>
        <v>246.15484033544763</v>
      </c>
      <c r="Q1036" s="60">
        <f t="shared" ca="1" si="339"/>
        <v>0</v>
      </c>
      <c r="T1036" s="325">
        <v>196997.81</v>
      </c>
      <c r="U1036" s="92">
        <v>595</v>
      </c>
      <c r="V1036" s="92"/>
      <c r="W1036" s="92">
        <f>SUMIF('O&amp;M'!$B$3:$B$87,TOTALCO!U1036,'O&amp;M'!$F$3:$F$87)+SUMIF('O&amp;M'!$B$3:$B$87,TOTALCO!V1036,'O&amp;M'!$F$3:$F$87)</f>
        <v>196997.81</v>
      </c>
      <c r="X1036" s="333">
        <f t="shared" ca="1" si="340"/>
        <v>0</v>
      </c>
      <c r="Y1036" s="330">
        <f>470607.02*12</f>
        <v>5647284.2400000002</v>
      </c>
    </row>
    <row r="1037" spans="1:27" x14ac:dyDescent="0.2">
      <c r="A1037" s="60">
        <v>36</v>
      </c>
      <c r="B1037" s="48" t="s">
        <v>269</v>
      </c>
      <c r="C1037" s="56" t="s">
        <v>1324</v>
      </c>
      <c r="D1037" s="66">
        <f t="shared" ca="1" si="328"/>
        <v>0</v>
      </c>
      <c r="F1037" s="60">
        <f t="shared" ca="1" si="336"/>
        <v>0</v>
      </c>
      <c r="H1037" s="60">
        <f t="shared" ca="1" si="337"/>
        <v>0</v>
      </c>
      <c r="I1037" s="60">
        <f t="shared" ca="1" si="331"/>
        <v>0</v>
      </c>
      <c r="L1037" s="60">
        <f t="shared" ca="1" si="338"/>
        <v>0</v>
      </c>
      <c r="M1037" s="60"/>
      <c r="N1037" s="60">
        <f t="shared" ca="1" si="333"/>
        <v>0</v>
      </c>
      <c r="O1037" s="60">
        <f t="shared" ca="1" si="339"/>
        <v>0</v>
      </c>
      <c r="P1037" s="60">
        <f t="shared" ca="1" si="339"/>
        <v>0</v>
      </c>
      <c r="Q1037" s="60">
        <f t="shared" ca="1" si="339"/>
        <v>0</v>
      </c>
      <c r="T1037" s="325">
        <v>0</v>
      </c>
      <c r="U1037" s="92">
        <v>596</v>
      </c>
      <c r="V1037" s="92"/>
      <c r="W1037" s="92">
        <f>SUMIF('O&amp;M'!$B$3:$B$87,TOTALCO!U1037,'O&amp;M'!$F$3:$F$87)+SUMIF('O&amp;M'!$B$3:$B$87,TOTALCO!V1037,'O&amp;M'!$F$3:$F$87)</f>
        <v>0</v>
      </c>
      <c r="X1037" s="333">
        <f t="shared" ca="1" si="340"/>
        <v>0</v>
      </c>
      <c r="Y1037" s="361" t="s">
        <v>1507</v>
      </c>
      <c r="Z1037" s="285"/>
      <c r="AA1037" s="285"/>
    </row>
    <row r="1038" spans="1:27" x14ac:dyDescent="0.2">
      <c r="A1038" s="60">
        <v>37</v>
      </c>
      <c r="B1038" s="48" t="s">
        <v>270</v>
      </c>
      <c r="C1038" s="56" t="s">
        <v>1325</v>
      </c>
      <c r="D1038" s="66">
        <f t="shared" ca="1" si="328"/>
        <v>0</v>
      </c>
      <c r="F1038" s="60">
        <f t="shared" ca="1" si="336"/>
        <v>0</v>
      </c>
      <c r="H1038" s="60">
        <f t="shared" ca="1" si="337"/>
        <v>0</v>
      </c>
      <c r="I1038" s="60">
        <f t="shared" ca="1" si="331"/>
        <v>0</v>
      </c>
      <c r="L1038" s="60">
        <f t="shared" ca="1" si="338"/>
        <v>0</v>
      </c>
      <c r="M1038" s="60"/>
      <c r="N1038" s="60">
        <f t="shared" ca="1" si="333"/>
        <v>0</v>
      </c>
      <c r="O1038" s="60">
        <f t="shared" ca="1" si="339"/>
        <v>0</v>
      </c>
      <c r="P1038" s="60">
        <f t="shared" ca="1" si="339"/>
        <v>0</v>
      </c>
      <c r="Q1038" s="60">
        <f t="shared" ca="1" si="339"/>
        <v>0</v>
      </c>
      <c r="T1038" s="325">
        <v>0</v>
      </c>
      <c r="U1038" s="92">
        <v>597</v>
      </c>
      <c r="V1038" s="92"/>
      <c r="W1038" s="92">
        <f>SUMIF('O&amp;M'!$B$3:$B$87,TOTALCO!U1038,'O&amp;M'!$F$3:$F$87)+SUMIF('O&amp;M'!$B$3:$B$87,TOTALCO!V1038,'O&amp;M'!$F$3:$F$87)</f>
        <v>0</v>
      </c>
      <c r="X1038" s="333">
        <f t="shared" ca="1" si="340"/>
        <v>0</v>
      </c>
      <c r="Y1038" s="330">
        <f>100694.5*5</f>
        <v>503472.5</v>
      </c>
    </row>
    <row r="1039" spans="1:27" x14ac:dyDescent="0.2">
      <c r="A1039" s="60">
        <v>38</v>
      </c>
      <c r="B1039" s="48" t="s">
        <v>271</v>
      </c>
      <c r="C1039" s="51" t="s">
        <v>1037</v>
      </c>
      <c r="D1039" s="66">
        <f t="shared" ca="1" si="328"/>
        <v>135083.85</v>
      </c>
      <c r="F1039" s="60">
        <f t="shared" ca="1" si="336"/>
        <v>127093.19242245107</v>
      </c>
      <c r="H1039" s="60">
        <f t="shared" ca="1" si="337"/>
        <v>7568.1877173063394</v>
      </c>
      <c r="I1039" s="60">
        <f t="shared" ca="1" si="331"/>
        <v>422.46986024260178</v>
      </c>
      <c r="L1039" s="60">
        <f t="shared" ca="1" si="338"/>
        <v>15.267097924810342</v>
      </c>
      <c r="M1039" s="60"/>
      <c r="N1039" s="60">
        <f t="shared" ca="1" si="333"/>
        <v>407.20276231779144</v>
      </c>
      <c r="O1039" s="60">
        <f t="shared" ca="1" si="339"/>
        <v>349.92610710811323</v>
      </c>
      <c r="P1039" s="60">
        <f t="shared" ca="1" si="339"/>
        <v>57.276655209678239</v>
      </c>
      <c r="Q1039" s="60">
        <f t="shared" ca="1" si="339"/>
        <v>0</v>
      </c>
      <c r="T1039" s="325">
        <v>135083.85</v>
      </c>
      <c r="U1039" s="92">
        <v>598</v>
      </c>
      <c r="V1039" s="92"/>
      <c r="W1039" s="92">
        <f>SUMIF('O&amp;M'!$B$3:$B$87,TOTALCO!U1039,'O&amp;M'!$F$3:$F$87)+SUMIF('O&amp;M'!$B$3:$B$87,TOTALCO!V1039,'O&amp;M'!$F$3:$F$87)</f>
        <v>135083.85</v>
      </c>
      <c r="X1039" s="333">
        <f t="shared" ca="1" si="340"/>
        <v>0</v>
      </c>
      <c r="Y1039" s="50"/>
    </row>
    <row r="1040" spans="1:27" x14ac:dyDescent="0.2">
      <c r="A1040" s="60">
        <v>39</v>
      </c>
      <c r="B1040" s="48" t="s">
        <v>272</v>
      </c>
      <c r="C1040" s="58"/>
      <c r="D1040" s="66">
        <f t="shared" ca="1" si="328"/>
        <v>33968497.819999993</v>
      </c>
      <c r="F1040" s="60">
        <f ca="1">SUM(F1031:F1039)</f>
        <v>31429886.042839956</v>
      </c>
      <c r="H1040" s="60">
        <f ca="1">SUM(H1031:H1039)</f>
        <v>2517405.8395776134</v>
      </c>
      <c r="I1040" s="60">
        <f t="shared" ca="1" si="331"/>
        <v>21205.937582428396</v>
      </c>
      <c r="L1040" s="60">
        <f ca="1">SUM(L1031:L1039)</f>
        <v>4553.4174269275181</v>
      </c>
      <c r="M1040" s="60"/>
      <c r="N1040" s="60">
        <f t="shared" ca="1" si="333"/>
        <v>16652.520155500879</v>
      </c>
      <c r="O1040" s="60">
        <f ca="1">SUM(O1031:O1039)</f>
        <v>16289.138145663359</v>
      </c>
      <c r="P1040" s="60">
        <f ca="1">SUM(P1031:P1039)</f>
        <v>363.38200983751835</v>
      </c>
      <c r="Q1040" s="60">
        <f ca="1">SUM(Q1031:Q1039)</f>
        <v>0</v>
      </c>
      <c r="T1040" s="58"/>
      <c r="U1040" s="92"/>
      <c r="V1040" s="92"/>
      <c r="W1040" s="92"/>
      <c r="X1040" s="93"/>
    </row>
    <row r="1041" spans="1:25" x14ac:dyDescent="0.2">
      <c r="C1041" s="58"/>
      <c r="T1041" s="86"/>
      <c r="U1041" s="92"/>
      <c r="V1041" s="92"/>
      <c r="W1041" s="92"/>
      <c r="X1041" s="93"/>
    </row>
    <row r="1042" spans="1:25" x14ac:dyDescent="0.2">
      <c r="A1042" s="60">
        <v>40</v>
      </c>
      <c r="B1042" s="48" t="s">
        <v>273</v>
      </c>
      <c r="C1042" s="58"/>
      <c r="D1042" s="66">
        <f ca="1">SUM(F1042:I1042)+K1042</f>
        <v>54804722.970000006</v>
      </c>
      <c r="F1042" s="60">
        <f ca="1">F1040+F1030</f>
        <v>50977391.74728097</v>
      </c>
      <c r="H1042" s="60">
        <f ca="1">H1040+H1030</f>
        <v>3697998.2800959647</v>
      </c>
      <c r="I1042" s="60">
        <f ca="1">(L1042+M1042+N1042)</f>
        <v>129332.9426230681</v>
      </c>
      <c r="L1042" s="60">
        <f ca="1">L1040+L1030</f>
        <v>6858.7508717812589</v>
      </c>
      <c r="M1042" s="60"/>
      <c r="N1042" s="60">
        <f ca="1">SUM(O1042:Q1042)</f>
        <v>122474.19175128684</v>
      </c>
      <c r="O1042" s="60">
        <f ca="1">O1040+O1030</f>
        <v>91978.355644424431</v>
      </c>
      <c r="P1042" s="60">
        <f ca="1">P1040+P1030</f>
        <v>30495.836106862411</v>
      </c>
      <c r="Q1042" s="60">
        <f ca="1">Q1040+Q1030</f>
        <v>0</v>
      </c>
      <c r="T1042" s="58"/>
      <c r="U1042" s="92"/>
      <c r="V1042" s="92"/>
      <c r="W1042" s="92"/>
      <c r="X1042" s="93"/>
    </row>
    <row r="1043" spans="1:25" x14ac:dyDescent="0.2">
      <c r="C1043" s="58"/>
      <c r="T1043" s="86"/>
      <c r="U1043" s="92"/>
      <c r="V1043" s="92"/>
      <c r="W1043" s="92"/>
      <c r="X1043" s="93"/>
    </row>
    <row r="1044" spans="1:25" x14ac:dyDescent="0.2">
      <c r="T1044" s="86"/>
      <c r="U1044" s="92"/>
      <c r="V1044" s="92"/>
      <c r="W1044" s="92"/>
      <c r="X1044" s="93"/>
    </row>
    <row r="1045" spans="1:25" x14ac:dyDescent="0.2">
      <c r="B1045" s="64" t="s">
        <v>215</v>
      </c>
      <c r="T1045" s="86"/>
      <c r="U1045" s="92"/>
      <c r="V1045" s="92"/>
      <c r="W1045" s="92"/>
      <c r="X1045" s="93"/>
    </row>
    <row r="1046" spans="1:25" x14ac:dyDescent="0.2">
      <c r="T1046" s="86"/>
      <c r="U1046" s="92"/>
      <c r="V1046" s="92"/>
      <c r="W1046" s="92"/>
      <c r="X1046" s="93"/>
    </row>
    <row r="1047" spans="1:25" x14ac:dyDescent="0.2">
      <c r="B1047" s="48" t="s">
        <v>274</v>
      </c>
      <c r="T1047" s="86"/>
      <c r="U1047" s="92"/>
      <c r="V1047" s="92"/>
      <c r="W1047" s="92"/>
      <c r="X1047" s="93"/>
    </row>
    <row r="1048" spans="1:25" x14ac:dyDescent="0.2">
      <c r="A1048" s="60">
        <v>1</v>
      </c>
      <c r="B1048" s="48" t="s">
        <v>275</v>
      </c>
      <c r="C1048" s="51" t="s">
        <v>1156</v>
      </c>
      <c r="D1048" s="66">
        <f t="shared" ref="D1048:D1053" ca="1" si="341">SUM(F1048:I1048)+K1048</f>
        <v>2728448.9400000004</v>
      </c>
      <c r="F1048" s="60">
        <f ca="1">INDEX(INDIRECT($C1048),1,F$12+1)*$T1048</f>
        <v>2581407.5247872435</v>
      </c>
      <c r="H1048" s="60">
        <f ca="1">INDEX(INDIRECT($C1048),1,H$12+1)*$T1048</f>
        <v>143646.38266110787</v>
      </c>
      <c r="I1048" s="60">
        <f t="shared" ref="I1048:I1053" ca="1" si="342">(L1048+M1048+N1048)</f>
        <v>3395.0325516488433</v>
      </c>
      <c r="L1048" s="60">
        <f ca="1">INDEX(INDIRECT($C1048),1,L$12+1)*$T1048</f>
        <v>25.55400845327086</v>
      </c>
      <c r="M1048" s="60"/>
      <c r="N1048" s="60">
        <f t="shared" ref="N1048:N1053" ca="1" si="343">SUM(O1048:Q1048)</f>
        <v>3369.4785431955725</v>
      </c>
      <c r="O1048" s="60">
        <f t="shared" ref="O1048:Q1052" ca="1" si="344">INDEX(INDIRECT($C1048),1,O$12+1)*$T1048</f>
        <v>1803.3828822736866</v>
      </c>
      <c r="P1048" s="60">
        <f t="shared" ca="1" si="344"/>
        <v>1566.0956609218856</v>
      </c>
      <c r="Q1048" s="60">
        <f t="shared" ca="1" si="344"/>
        <v>0</v>
      </c>
      <c r="T1048" s="325">
        <v>2728448.94</v>
      </c>
      <c r="U1048" s="92">
        <v>901</v>
      </c>
      <c r="V1048" s="92"/>
      <c r="W1048" s="92">
        <f>SUMIF('O&amp;M'!$B$3:$B$87,TOTALCO!U1048,'O&amp;M'!$F$3:$F$87)+SUMIF('O&amp;M'!$B$3:$B$87,TOTALCO!V1048,'O&amp;M'!$F$3:$F$87)</f>
        <v>2728448.94</v>
      </c>
      <c r="X1048" s="333">
        <f t="shared" ref="X1048:X1052" si="345">W1048-T1048</f>
        <v>0</v>
      </c>
      <c r="Y1048" s="50"/>
    </row>
    <row r="1049" spans="1:25" x14ac:dyDescent="0.2">
      <c r="A1049" s="60">
        <v>2</v>
      </c>
      <c r="B1049" s="48" t="s">
        <v>276</v>
      </c>
      <c r="C1049" s="51" t="s">
        <v>701</v>
      </c>
      <c r="D1049" s="66">
        <f t="shared" ca="1" si="341"/>
        <v>4920048.4000000004</v>
      </c>
      <c r="F1049" s="60">
        <f ca="1">INDEX(INDIRECT($C1049),1,F$12+1)*$T1049</f>
        <v>4654897.4312407095</v>
      </c>
      <c r="H1049" s="60">
        <f ca="1">INDEX(INDIRECT($C1049),1,H$12+1)*$T1049</f>
        <v>259028.91009482168</v>
      </c>
      <c r="I1049" s="60">
        <f t="shared" ca="1" si="342"/>
        <v>6122.0586644688346</v>
      </c>
      <c r="L1049" s="60">
        <f ca="1">INDEX(INDIRECT($C1049),1,L$12+1)*$T1049</f>
        <v>46.080011452991229</v>
      </c>
      <c r="M1049" s="60"/>
      <c r="N1049" s="60">
        <f t="shared" ca="1" si="343"/>
        <v>6075.9786530158435</v>
      </c>
      <c r="O1049" s="60">
        <f t="shared" ca="1" si="344"/>
        <v>3251.9322368253811</v>
      </c>
      <c r="P1049" s="60">
        <f t="shared" ca="1" si="344"/>
        <v>2824.0464161904624</v>
      </c>
      <c r="Q1049" s="60">
        <f t="shared" ca="1" si="344"/>
        <v>0</v>
      </c>
      <c r="T1049" s="325">
        <v>4920048.4000000004</v>
      </c>
      <c r="U1049" s="92">
        <v>902</v>
      </c>
      <c r="V1049" s="92"/>
      <c r="W1049" s="92">
        <f>SUMIF('O&amp;M'!$B$3:$B$87,TOTALCO!U1049,'O&amp;M'!$F$3:$F$87)+SUMIF('O&amp;M'!$B$3:$B$87,TOTALCO!V1049,'O&amp;M'!$F$3:$F$87)</f>
        <v>4920048.4000000004</v>
      </c>
      <c r="X1049" s="333">
        <f t="shared" si="345"/>
        <v>0</v>
      </c>
      <c r="Y1049" s="50"/>
    </row>
    <row r="1050" spans="1:25" x14ac:dyDescent="0.2">
      <c r="A1050" s="60">
        <v>3</v>
      </c>
      <c r="B1050" s="48" t="s">
        <v>277</v>
      </c>
      <c r="C1050" s="51" t="s">
        <v>703</v>
      </c>
      <c r="D1050" s="66">
        <f t="shared" ca="1" si="341"/>
        <v>14319514.810000001</v>
      </c>
      <c r="F1050" s="60">
        <f ca="1">INDEX(INDIRECT($C1050),1,F$12+1)*$T1050</f>
        <v>13547808.331658343</v>
      </c>
      <c r="H1050" s="60">
        <f ca="1">INDEX(INDIRECT($C1050),1,H$12+1)*$T1050</f>
        <v>753888.58254340698</v>
      </c>
      <c r="I1050" s="60">
        <f t="shared" ca="1" si="342"/>
        <v>17817.895798250745</v>
      </c>
      <c r="L1050" s="60">
        <f ca="1">INDEX(INDIRECT($C1050),1,L$12+1)*$T1050</f>
        <v>134.11319418038195</v>
      </c>
      <c r="M1050" s="60"/>
      <c r="N1050" s="60">
        <f t="shared" ca="1" si="343"/>
        <v>17683.782604070362</v>
      </c>
      <c r="O1050" s="60">
        <f t="shared" ca="1" si="344"/>
        <v>9464.5597035869541</v>
      </c>
      <c r="P1050" s="60">
        <f t="shared" ca="1" si="344"/>
        <v>8219.222900483408</v>
      </c>
      <c r="Q1050" s="60">
        <f t="shared" ca="1" si="344"/>
        <v>0</v>
      </c>
      <c r="T1050" s="325">
        <v>14319514.810000001</v>
      </c>
      <c r="U1050" s="92">
        <v>903</v>
      </c>
      <c r="V1050" s="92"/>
      <c r="W1050" s="92">
        <f>SUMIF('O&amp;M'!$B$3:$B$87,TOTALCO!U1050,'O&amp;M'!$F$3:$F$87)+SUMIF('O&amp;M'!$B$3:$B$87,TOTALCO!V1050,'O&amp;M'!$F$3:$F$87)</f>
        <v>14319514.810000001</v>
      </c>
      <c r="X1050" s="333">
        <f t="shared" si="345"/>
        <v>0</v>
      </c>
      <c r="Y1050" s="50"/>
    </row>
    <row r="1051" spans="1:25" x14ac:dyDescent="0.2">
      <c r="A1051" s="60">
        <v>4</v>
      </c>
      <c r="B1051" s="48" t="s">
        <v>278</v>
      </c>
      <c r="C1051" s="51" t="s">
        <v>705</v>
      </c>
      <c r="D1051" s="66">
        <f t="shared" ca="1" si="341"/>
        <v>5413178.0500000007</v>
      </c>
      <c r="F1051" s="60">
        <f ca="1">INDEX(INDIRECT($C1051),1,F$12+1)*$T1051</f>
        <v>5121451.3661681851</v>
      </c>
      <c r="H1051" s="60">
        <f ca="1">INDEX(INDIRECT($C1051),1,H$12+1)*$T1051</f>
        <v>284991.01969011361</v>
      </c>
      <c r="I1051" s="60">
        <f t="shared" ca="1" si="342"/>
        <v>6735.6641417013316</v>
      </c>
      <c r="L1051" s="60">
        <f ca="1">INDEX(INDIRECT($C1051),1,L$12+1)*$T1051</f>
        <v>50.698547303128301</v>
      </c>
      <c r="M1051" s="60"/>
      <c r="N1051" s="60">
        <f t="shared" ca="1" si="343"/>
        <v>6684.9655943982034</v>
      </c>
      <c r="O1051" s="60">
        <f t="shared" ca="1" si="344"/>
        <v>3577.8689096779117</v>
      </c>
      <c r="P1051" s="60">
        <f t="shared" ca="1" si="344"/>
        <v>3107.0966847202917</v>
      </c>
      <c r="Q1051" s="60">
        <f t="shared" ca="1" si="344"/>
        <v>0</v>
      </c>
      <c r="T1051" s="325">
        <v>5413178.0499999998</v>
      </c>
      <c r="U1051" s="92">
        <v>904</v>
      </c>
      <c r="V1051" s="92"/>
      <c r="W1051" s="92">
        <f>SUMIF('O&amp;M'!$B$3:$B$87,TOTALCO!U1051,'O&amp;M'!$F$3:$F$87)+SUMIF('O&amp;M'!$B$3:$B$87,TOTALCO!V1051,'O&amp;M'!$F$3:$F$87)</f>
        <v>5413178.0499999998</v>
      </c>
      <c r="X1051" s="333">
        <f t="shared" si="345"/>
        <v>0</v>
      </c>
      <c r="Y1051" s="50"/>
    </row>
    <row r="1052" spans="1:25" x14ac:dyDescent="0.2">
      <c r="A1052" s="60">
        <v>5</v>
      </c>
      <c r="B1052" s="48" t="s">
        <v>279</v>
      </c>
      <c r="C1052" s="56" t="s">
        <v>1341</v>
      </c>
      <c r="D1052" s="66">
        <f t="shared" ca="1" si="341"/>
        <v>750344.74000000011</v>
      </c>
      <c r="F1052" s="60">
        <f ca="1">INDEX(INDIRECT($C1052),1,F$12+1)*$T1052</f>
        <v>709907.20391510346</v>
      </c>
      <c r="H1052" s="60">
        <f ca="1">INDEX(INDIRECT($C1052),1,H$12+1)*$T1052</f>
        <v>39503.875652439187</v>
      </c>
      <c r="I1052" s="60">
        <f t="shared" ca="1" si="342"/>
        <v>933.66043245745607</v>
      </c>
      <c r="L1052" s="60">
        <f ca="1">INDEX(INDIRECT($C1052),1,L$12+1)*$T1052</f>
        <v>7.0275516421528952</v>
      </c>
      <c r="M1052" s="60"/>
      <c r="N1052" s="60">
        <f t="shared" ca="1" si="343"/>
        <v>926.63288081530322</v>
      </c>
      <c r="O1052" s="60">
        <f t="shared" ca="1" si="344"/>
        <v>495.94435874621865</v>
      </c>
      <c r="P1052" s="60">
        <f t="shared" ca="1" si="344"/>
        <v>430.68852206908463</v>
      </c>
      <c r="Q1052" s="60">
        <f t="shared" ca="1" si="344"/>
        <v>0</v>
      </c>
      <c r="T1052" s="325">
        <v>750344.74000000011</v>
      </c>
      <c r="U1052" s="92">
        <v>905</v>
      </c>
      <c r="V1052" s="92"/>
      <c r="W1052" s="92">
        <f>SUMIF('O&amp;M'!$B$3:$B$87,TOTALCO!U1052,'O&amp;M'!$F$3:$F$87)+SUMIF('O&amp;M'!$B$3:$B$87,TOTALCO!V1052,'O&amp;M'!$F$3:$F$87)</f>
        <v>750344.74000000011</v>
      </c>
      <c r="X1052" s="333">
        <f t="shared" si="345"/>
        <v>0</v>
      </c>
      <c r="Y1052" s="50"/>
    </row>
    <row r="1053" spans="1:25" x14ac:dyDescent="0.2">
      <c r="A1053" s="60">
        <v>6</v>
      </c>
      <c r="B1053" s="48" t="s">
        <v>280</v>
      </c>
      <c r="D1053" s="66">
        <f t="shared" ca="1" si="341"/>
        <v>28131534.940000001</v>
      </c>
      <c r="F1053" s="60">
        <f ca="1">SUM(F1048:F1052)</f>
        <v>26615471.857769586</v>
      </c>
      <c r="H1053" s="60">
        <f ca="1">SUM(H1048:H1052)</f>
        <v>1481058.7706418892</v>
      </c>
      <c r="I1053" s="60">
        <f t="shared" ca="1" si="342"/>
        <v>35004.311588527205</v>
      </c>
      <c r="L1053" s="60">
        <f ca="1">SUM(L1048:L1052)</f>
        <v>263.47331303192527</v>
      </c>
      <c r="M1053" s="60"/>
      <c r="N1053" s="60">
        <f t="shared" ca="1" si="343"/>
        <v>34740.838275495284</v>
      </c>
      <c r="O1053" s="60">
        <f ca="1">SUM(O1048:O1052)</f>
        <v>18593.688091110154</v>
      </c>
      <c r="P1053" s="60">
        <f ca="1">SUM(P1048:P1052)</f>
        <v>16147.150184385131</v>
      </c>
      <c r="Q1053" s="60">
        <f ca="1">SUM(Q1048:Q1052)</f>
        <v>0</v>
      </c>
      <c r="T1053" s="58"/>
      <c r="U1053" s="92"/>
      <c r="V1053" s="92"/>
      <c r="W1053" s="92"/>
      <c r="X1053" s="333"/>
    </row>
    <row r="1054" spans="1:25" x14ac:dyDescent="0.2">
      <c r="T1054" s="86"/>
      <c r="U1054" s="92"/>
      <c r="V1054" s="92"/>
      <c r="W1054" s="92"/>
      <c r="X1054" s="333"/>
    </row>
    <row r="1055" spans="1:25" x14ac:dyDescent="0.2">
      <c r="B1055" s="48" t="s">
        <v>281</v>
      </c>
      <c r="T1055" s="86"/>
      <c r="U1055" s="92"/>
      <c r="V1055" s="92"/>
      <c r="W1055" s="92"/>
      <c r="X1055" s="333"/>
    </row>
    <row r="1056" spans="1:25" x14ac:dyDescent="0.2">
      <c r="A1056" s="60">
        <v>7</v>
      </c>
      <c r="B1056" s="48" t="s">
        <v>282</v>
      </c>
      <c r="C1056" s="51" t="s">
        <v>1162</v>
      </c>
      <c r="D1056" s="66">
        <f ca="1">SUM(F1056:I1056)+K1056</f>
        <v>205691.01</v>
      </c>
      <c r="F1056" s="60">
        <f ca="1">INDEX(INDIRECT($C1056),1,F$12+1)*$T1056</f>
        <v>205546.2311907371</v>
      </c>
      <c r="H1056" s="60">
        <f ca="1">INDEX(INDIRECT($C1056),1,H$12+1)*$T1056</f>
        <v>144.75895138693093</v>
      </c>
      <c r="I1056" s="60">
        <f ca="1">(L1056+M1056+N1056)</f>
        <v>1.9857875974749604E-2</v>
      </c>
      <c r="L1056" s="60">
        <f ca="1">INDEX(INDIRECT($C1056),1,L$12+1)*$T1056</f>
        <v>1.9857875974749604E-2</v>
      </c>
      <c r="M1056" s="60"/>
      <c r="N1056" s="60">
        <f ca="1">SUM(O1056:Q1056)</f>
        <v>0</v>
      </c>
      <c r="O1056" s="60">
        <f t="shared" ref="O1056:Q1059" ca="1" si="346">INDEX(INDIRECT($C1056),1,O$12+1)*$T1056</f>
        <v>0</v>
      </c>
      <c r="P1056" s="60">
        <f t="shared" ca="1" si="346"/>
        <v>0</v>
      </c>
      <c r="Q1056" s="60">
        <f t="shared" ca="1" si="346"/>
        <v>0</v>
      </c>
      <c r="T1056" s="325">
        <v>205691.01</v>
      </c>
      <c r="U1056" s="92">
        <v>907</v>
      </c>
      <c r="V1056" s="92"/>
      <c r="W1056" s="92">
        <f>SUMIF('O&amp;M'!$B$3:$B$87,TOTALCO!U1056,'O&amp;M'!$F$3:$F$87)+SUMIF('O&amp;M'!$B$3:$B$87,TOTALCO!V1056,'O&amp;M'!$F$3:$F$87)</f>
        <v>205691.01</v>
      </c>
      <c r="X1056" s="333">
        <f t="shared" ref="X1056:X1059" ca="1" si="347">D1056-T1056</f>
        <v>0</v>
      </c>
      <c r="Y1056" s="50"/>
    </row>
    <row r="1057" spans="1:25" x14ac:dyDescent="0.2">
      <c r="A1057" s="60">
        <v>8</v>
      </c>
      <c r="B1057" s="48" t="s">
        <v>283</v>
      </c>
      <c r="C1057" s="51" t="s">
        <v>715</v>
      </c>
      <c r="D1057" s="66">
        <f ca="1">SUM(F1057:I1057)+K1057</f>
        <v>13664342.49</v>
      </c>
      <c r="F1057" s="60">
        <f ca="1">INDEX(INDIRECT($C1057),1,F$12+1)*$T1057</f>
        <v>13664342.49</v>
      </c>
      <c r="H1057" s="60">
        <f ca="1">INDEX(INDIRECT($C1057),1,H$12+1)*$T1057</f>
        <v>0</v>
      </c>
      <c r="I1057" s="60">
        <f ca="1">(L1057+M1057+N1057)</f>
        <v>0</v>
      </c>
      <c r="L1057" s="60">
        <f ca="1">INDEX(INDIRECT($C1057),1,L$12+1)*$T1057</f>
        <v>0</v>
      </c>
      <c r="M1057" s="60"/>
      <c r="N1057" s="60">
        <f ca="1">SUM(O1057:Q1057)</f>
        <v>0</v>
      </c>
      <c r="O1057" s="60">
        <f t="shared" ca="1" si="346"/>
        <v>0</v>
      </c>
      <c r="P1057" s="60">
        <f t="shared" ca="1" si="346"/>
        <v>0</v>
      </c>
      <c r="Q1057" s="60">
        <f t="shared" ca="1" si="346"/>
        <v>0</v>
      </c>
      <c r="T1057" s="325">
        <v>13664342.49</v>
      </c>
      <c r="U1057" s="92">
        <v>908</v>
      </c>
      <c r="V1057" s="92"/>
      <c r="W1057" s="92">
        <f>SUMIF('O&amp;M'!$B$3:$B$87,TOTALCO!U1057,'O&amp;M'!$F$3:$F$87)+SUMIF('O&amp;M'!$B$3:$B$87,TOTALCO!V1057,'O&amp;M'!$F$3:$F$87)</f>
        <v>13664342.49</v>
      </c>
      <c r="X1057" s="333">
        <f t="shared" ca="1" si="347"/>
        <v>0</v>
      </c>
      <c r="Y1057" s="50"/>
    </row>
    <row r="1058" spans="1:25" x14ac:dyDescent="0.2">
      <c r="A1058" s="60">
        <v>9</v>
      </c>
      <c r="B1058" s="48" t="s">
        <v>284</v>
      </c>
      <c r="C1058" s="51" t="s">
        <v>717</v>
      </c>
      <c r="D1058" s="66">
        <f ca="1">SUM(F1058:I1058)+K1058</f>
        <v>157093.06</v>
      </c>
      <c r="F1058" s="60">
        <f ca="1">INDEX(INDIRECT($C1058),1,F$12+1)*$T1058</f>
        <v>148605.20101992041</v>
      </c>
      <c r="H1058" s="60">
        <f ca="1">INDEX(INDIRECT($C1058),1,H$12+1)*$T1058</f>
        <v>8486.6947844920214</v>
      </c>
      <c r="I1058" s="60">
        <f ca="1">(L1058+M1058+N1058)</f>
        <v>1.1641955875704959</v>
      </c>
      <c r="L1058" s="60">
        <f ca="1">INDEX(INDIRECT($C1058),1,L$12+1)*$T1058</f>
        <v>1.1641955875704959</v>
      </c>
      <c r="M1058" s="60"/>
      <c r="N1058" s="60">
        <f ca="1">SUM(O1058:Q1058)</f>
        <v>0</v>
      </c>
      <c r="O1058" s="60">
        <f t="shared" ca="1" si="346"/>
        <v>0</v>
      </c>
      <c r="P1058" s="60">
        <f t="shared" ca="1" si="346"/>
        <v>0</v>
      </c>
      <c r="Q1058" s="60">
        <f t="shared" ca="1" si="346"/>
        <v>0</v>
      </c>
      <c r="T1058" s="325">
        <v>157093.06</v>
      </c>
      <c r="U1058" s="92">
        <v>909</v>
      </c>
      <c r="V1058" s="92"/>
      <c r="W1058" s="92">
        <f>SUMIF('O&amp;M'!$B$3:$B$87,TOTALCO!U1058,'O&amp;M'!$F$3:$F$87)+SUMIF('O&amp;M'!$B$3:$B$87,TOTALCO!V1058,'O&amp;M'!$F$3:$F$87)</f>
        <v>157093.06</v>
      </c>
      <c r="X1058" s="333">
        <f t="shared" ca="1" si="347"/>
        <v>0</v>
      </c>
      <c r="Y1058" s="50"/>
    </row>
    <row r="1059" spans="1:25" x14ac:dyDescent="0.2">
      <c r="A1059" s="60">
        <v>10</v>
      </c>
      <c r="B1059" s="48" t="s">
        <v>285</v>
      </c>
      <c r="C1059" s="56" t="s">
        <v>1342</v>
      </c>
      <c r="D1059" s="66">
        <f ca="1">SUM(F1059:I1059)+K1059</f>
        <v>417606.13999999996</v>
      </c>
      <c r="F1059" s="60">
        <f ca="1">INDEX(INDIRECT($C1059),1,F$12+1)*$T1059</f>
        <v>417349.68458241964</v>
      </c>
      <c r="H1059" s="60">
        <f ca="1">INDEX(INDIRECT($C1059),1,H$12+1)*$T1059</f>
        <v>256.42024212961331</v>
      </c>
      <c r="I1059" s="60">
        <f ca="1">(L1059+M1059+N1059)</f>
        <v>3.517545075340215E-2</v>
      </c>
      <c r="L1059" s="60">
        <f ca="1">INDEX(INDIRECT($C1059),1,L$12+1)*$T1059</f>
        <v>3.517545075340215E-2</v>
      </c>
      <c r="M1059" s="60"/>
      <c r="N1059" s="60">
        <f ca="1">SUM(O1059:Q1059)</f>
        <v>0</v>
      </c>
      <c r="O1059" s="60">
        <f t="shared" ca="1" si="346"/>
        <v>0</v>
      </c>
      <c r="P1059" s="60">
        <f t="shared" ca="1" si="346"/>
        <v>0</v>
      </c>
      <c r="Q1059" s="60">
        <f t="shared" ca="1" si="346"/>
        <v>0</v>
      </c>
      <c r="T1059" s="325">
        <v>417606.14</v>
      </c>
      <c r="U1059" s="92">
        <v>910</v>
      </c>
      <c r="V1059" s="92"/>
      <c r="W1059" s="92">
        <f>SUMIF('O&amp;M'!$B$3:$B$87,TOTALCO!U1059,'O&amp;M'!$F$3:$F$87)+SUMIF('O&amp;M'!$B$3:$B$87,TOTALCO!V1059,'O&amp;M'!$F$3:$F$87)</f>
        <v>417606.14</v>
      </c>
      <c r="X1059" s="333">
        <f t="shared" ca="1" si="347"/>
        <v>0</v>
      </c>
      <c r="Y1059" s="50"/>
    </row>
    <row r="1060" spans="1:25" x14ac:dyDescent="0.2">
      <c r="A1060" s="60">
        <v>11</v>
      </c>
      <c r="B1060" s="48" t="s">
        <v>286</v>
      </c>
      <c r="D1060" s="66">
        <f ca="1">SUM(F1060:I1060)+K1060</f>
        <v>14444732.700000001</v>
      </c>
      <c r="F1060" s="60">
        <f ca="1">SUM(F1056:F1059)</f>
        <v>14435843.606793078</v>
      </c>
      <c r="H1060" s="60">
        <f ca="1">SUM(H1056:H1059)</f>
        <v>8887.8739780085671</v>
      </c>
      <c r="I1060" s="60">
        <f ca="1">(L1060+M1060+N1060)</f>
        <v>1.2192289142986477</v>
      </c>
      <c r="L1060" s="60">
        <f ca="1">SUM(L1056:L1059)</f>
        <v>1.2192289142986477</v>
      </c>
      <c r="M1060" s="60"/>
      <c r="N1060" s="60">
        <f ca="1">SUM(O1060:Q1060)</f>
        <v>0</v>
      </c>
      <c r="O1060" s="60">
        <f ca="1">SUM(O1056:O1059)</f>
        <v>0</v>
      </c>
      <c r="P1060" s="60">
        <f ca="1">SUM(P1056:P1059)</f>
        <v>0</v>
      </c>
      <c r="Q1060" s="60">
        <f ca="1">SUM(Q1056:Q1059)</f>
        <v>0</v>
      </c>
      <c r="T1060" s="58"/>
      <c r="U1060" s="92"/>
      <c r="V1060" s="92"/>
      <c r="W1060" s="92"/>
      <c r="X1060" s="333"/>
    </row>
    <row r="1061" spans="1:25" x14ac:dyDescent="0.2">
      <c r="T1061" s="86"/>
      <c r="U1061" s="92"/>
      <c r="V1061" s="92"/>
      <c r="W1061" s="92"/>
      <c r="X1061" s="333"/>
    </row>
    <row r="1062" spans="1:25" x14ac:dyDescent="0.2">
      <c r="B1062" s="48" t="s">
        <v>287</v>
      </c>
      <c r="T1062" s="86"/>
      <c r="U1062" s="92"/>
      <c r="V1062" s="92"/>
      <c r="W1062" s="92"/>
      <c r="X1062" s="333"/>
    </row>
    <row r="1063" spans="1:25" x14ac:dyDescent="0.2">
      <c r="A1063" s="60">
        <v>12</v>
      </c>
      <c r="B1063" s="48" t="s">
        <v>288</v>
      </c>
      <c r="C1063" s="51" t="s">
        <v>1162</v>
      </c>
      <c r="D1063" s="66">
        <f ca="1">SUM(F1063:I1063)+K1063</f>
        <v>0</v>
      </c>
      <c r="F1063" s="60">
        <f ca="1">INDEX(INDIRECT($C1063),1,F$12+1)*$T1063</f>
        <v>0</v>
      </c>
      <c r="H1063" s="60">
        <f ca="1">INDEX(INDIRECT($C1063),1,H$12+1)*$T1063</f>
        <v>0</v>
      </c>
      <c r="I1063" s="60">
        <f ca="1">(L1063+M1063+N1063)</f>
        <v>0</v>
      </c>
      <c r="L1063" s="60">
        <f ca="1">INDEX(INDIRECT($C1063),1,L$12+1)*$T1063</f>
        <v>0</v>
      </c>
      <c r="M1063" s="60"/>
      <c r="N1063" s="60">
        <f ca="1">SUM(O1063:Q1063)</f>
        <v>0</v>
      </c>
      <c r="O1063" s="60">
        <f t="shared" ref="O1063:Q1066" ca="1" si="348">INDEX(INDIRECT($C1063),1,O$12+1)*$T1063</f>
        <v>0</v>
      </c>
      <c r="P1063" s="60">
        <f t="shared" ca="1" si="348"/>
        <v>0</v>
      </c>
      <c r="Q1063" s="60">
        <f t="shared" ca="1" si="348"/>
        <v>0</v>
      </c>
      <c r="T1063" s="325">
        <v>0</v>
      </c>
      <c r="U1063" s="92">
        <v>911</v>
      </c>
      <c r="V1063" s="92"/>
      <c r="W1063" s="92">
        <f>SUMIF('O&amp;M'!$B$3:$B$87,TOTALCO!U1063,'O&amp;M'!$F$3:$F$87)+SUMIF('O&amp;M'!$B$3:$B$87,TOTALCO!V1063,'O&amp;M'!$F$3:$F$87)</f>
        <v>0</v>
      </c>
      <c r="X1063" s="333">
        <f t="shared" ref="X1063:X1066" ca="1" si="349">D1063-T1063</f>
        <v>0</v>
      </c>
      <c r="Y1063" s="50"/>
    </row>
    <row r="1064" spans="1:25" x14ac:dyDescent="0.2">
      <c r="A1064" s="60">
        <v>13</v>
      </c>
      <c r="B1064" s="48" t="s">
        <v>289</v>
      </c>
      <c r="C1064" s="51" t="s">
        <v>719</v>
      </c>
      <c r="D1064" s="66">
        <f ca="1">SUM(F1064:I1064)+K1064</f>
        <v>0</v>
      </c>
      <c r="F1064" s="60">
        <f ca="1">INDEX(INDIRECT($C1064),1,F$12+1)*$T1064</f>
        <v>0</v>
      </c>
      <c r="H1064" s="60">
        <f ca="1">INDEX(INDIRECT($C1064),1,H$12+1)*$T1064</f>
        <v>0</v>
      </c>
      <c r="I1064" s="60">
        <f ca="1">(L1064+M1064+N1064)</f>
        <v>0</v>
      </c>
      <c r="L1064" s="60">
        <f ca="1">INDEX(INDIRECT($C1064),1,L$12+1)*$T1064</f>
        <v>0</v>
      </c>
      <c r="M1064" s="60"/>
      <c r="N1064" s="60">
        <f ca="1">SUM(O1064:Q1064)</f>
        <v>0</v>
      </c>
      <c r="O1064" s="60">
        <f t="shared" ca="1" si="348"/>
        <v>0</v>
      </c>
      <c r="P1064" s="60">
        <f t="shared" ca="1" si="348"/>
        <v>0</v>
      </c>
      <c r="Q1064" s="60">
        <f t="shared" ca="1" si="348"/>
        <v>0</v>
      </c>
      <c r="T1064" s="325">
        <v>0</v>
      </c>
      <c r="U1064" s="92">
        <v>912</v>
      </c>
      <c r="V1064" s="92"/>
      <c r="W1064" s="92">
        <f>SUMIF('O&amp;M'!$B$3:$B$87,TOTALCO!U1064,'O&amp;M'!$F$3:$F$87)+SUMIF('O&amp;M'!$B$3:$B$87,TOTALCO!V1064,'O&amp;M'!$F$3:$F$87)</f>
        <v>0</v>
      </c>
      <c r="X1064" s="333">
        <f t="shared" ca="1" si="349"/>
        <v>0</v>
      </c>
      <c r="Y1064" s="50"/>
    </row>
    <row r="1065" spans="1:25" x14ac:dyDescent="0.2">
      <c r="A1065" s="60">
        <v>14</v>
      </c>
      <c r="B1065" s="48" t="s">
        <v>290</v>
      </c>
      <c r="C1065" s="51" t="s">
        <v>721</v>
      </c>
      <c r="D1065" s="66">
        <f ca="1">SUM(F1065:I1065)+K1065</f>
        <v>23966.440000000002</v>
      </c>
      <c r="F1065" s="60">
        <f ca="1">INDEX(INDIRECT($C1065),1,F$12+1)*$T1065</f>
        <v>22671.514794681963</v>
      </c>
      <c r="H1065" s="60">
        <f ca="1">INDEX(INDIRECT($C1065),1,H$12+1)*$T1065</f>
        <v>1294.7475932472189</v>
      </c>
      <c r="I1065" s="60">
        <f ca="1">(L1065+M1065+N1065)</f>
        <v>0.17761207081823369</v>
      </c>
      <c r="L1065" s="60">
        <f ca="1">INDEX(INDIRECT($C1065),1,L$12+1)*$T1065</f>
        <v>0.17761207081823369</v>
      </c>
      <c r="M1065" s="60"/>
      <c r="N1065" s="60">
        <f ca="1">SUM(O1065:Q1065)</f>
        <v>0</v>
      </c>
      <c r="O1065" s="60">
        <f t="shared" ca="1" si="348"/>
        <v>0</v>
      </c>
      <c r="P1065" s="60">
        <f t="shared" ca="1" si="348"/>
        <v>0</v>
      </c>
      <c r="Q1065" s="60">
        <f t="shared" ca="1" si="348"/>
        <v>0</v>
      </c>
      <c r="T1065" s="325">
        <v>23966.44</v>
      </c>
      <c r="U1065" s="92">
        <v>913</v>
      </c>
      <c r="V1065" s="92"/>
      <c r="W1065" s="92">
        <f>SUMIF('O&amp;M'!$B$3:$B$87,TOTALCO!U1065,'O&amp;M'!$F$3:$F$87)+SUMIF('O&amp;M'!$B$3:$B$87,TOTALCO!V1065,'O&amp;M'!$F$3:$F$87)</f>
        <v>23966.44</v>
      </c>
      <c r="X1065" s="333">
        <f t="shared" ca="1" si="349"/>
        <v>0</v>
      </c>
      <c r="Y1065" s="50"/>
    </row>
    <row r="1066" spans="1:25" x14ac:dyDescent="0.2">
      <c r="A1066" s="60">
        <v>15</v>
      </c>
      <c r="B1066" s="48" t="s">
        <v>291</v>
      </c>
      <c r="C1066" s="56" t="s">
        <v>1343</v>
      </c>
      <c r="D1066" s="66">
        <f ca="1">SUM(F1066:I1066)+K1066</f>
        <v>0</v>
      </c>
      <c r="F1066" s="60">
        <f ca="1">INDEX(INDIRECT($C1066),1,F$12+1)*$T1066</f>
        <v>0</v>
      </c>
      <c r="H1066" s="60">
        <f ca="1">INDEX(INDIRECT($C1066),1,H$12+1)*$T1066</f>
        <v>0</v>
      </c>
      <c r="I1066" s="60">
        <f ca="1">(L1066+M1066+N1066)</f>
        <v>0</v>
      </c>
      <c r="L1066" s="60">
        <f ca="1">INDEX(INDIRECT($C1066),1,L$12+1)*$T1066</f>
        <v>0</v>
      </c>
      <c r="M1066" s="60"/>
      <c r="N1066" s="60">
        <f ca="1">SUM(O1066:Q1066)</f>
        <v>0</v>
      </c>
      <c r="O1066" s="60">
        <f t="shared" ca="1" si="348"/>
        <v>0</v>
      </c>
      <c r="P1066" s="60">
        <f t="shared" ca="1" si="348"/>
        <v>0</v>
      </c>
      <c r="Q1066" s="60">
        <f t="shared" ca="1" si="348"/>
        <v>0</v>
      </c>
      <c r="T1066" s="325">
        <v>0</v>
      </c>
      <c r="U1066" s="92">
        <v>916</v>
      </c>
      <c r="V1066" s="92"/>
      <c r="W1066" s="92">
        <f>SUMIF('O&amp;M'!$B$3:$B$87,TOTALCO!U1066,'O&amp;M'!$F$3:$F$87)+SUMIF('O&amp;M'!$B$3:$B$87,TOTALCO!V1066,'O&amp;M'!$F$3:$F$87)</f>
        <v>0</v>
      </c>
      <c r="X1066" s="333">
        <f t="shared" ca="1" si="349"/>
        <v>0</v>
      </c>
      <c r="Y1066" s="50"/>
    </row>
    <row r="1067" spans="1:25" x14ac:dyDescent="0.2">
      <c r="A1067" s="60">
        <v>16</v>
      </c>
      <c r="B1067" s="48" t="s">
        <v>292</v>
      </c>
      <c r="D1067" s="66">
        <f ca="1">SUM(F1067:I1067)+K1067</f>
        <v>23966.440000000002</v>
      </c>
      <c r="F1067" s="60">
        <f ca="1">SUM(F1063:F1066)</f>
        <v>22671.514794681963</v>
      </c>
      <c r="H1067" s="60">
        <f ca="1">SUM(H1063:H1066)</f>
        <v>1294.7475932472189</v>
      </c>
      <c r="I1067" s="60">
        <f ca="1">(L1067+M1067+N1067)</f>
        <v>0.17761207081823369</v>
      </c>
      <c r="L1067" s="60">
        <f ca="1">SUM(L1063:L1066)</f>
        <v>0.17761207081823369</v>
      </c>
      <c r="M1067" s="60"/>
      <c r="N1067" s="60">
        <f ca="1">SUM(O1067:Q1067)</f>
        <v>0</v>
      </c>
      <c r="O1067" s="60">
        <f ca="1">SUM(O1063:O1066)</f>
        <v>0</v>
      </c>
      <c r="P1067" s="60">
        <f ca="1">SUM(P1063:P1066)</f>
        <v>0</v>
      </c>
      <c r="Q1067" s="60">
        <f ca="1">SUM(Q1063:Q1066)</f>
        <v>0</v>
      </c>
      <c r="T1067" s="58"/>
      <c r="U1067" s="92"/>
      <c r="V1067" s="92"/>
      <c r="W1067" s="92"/>
      <c r="X1067" s="333"/>
    </row>
    <row r="1068" spans="1:25" x14ac:dyDescent="0.2">
      <c r="C1068" s="58"/>
      <c r="T1068" s="86"/>
      <c r="U1068" s="92"/>
      <c r="V1068" s="92"/>
      <c r="W1068" s="92"/>
      <c r="X1068" s="333"/>
    </row>
    <row r="1069" spans="1:25" x14ac:dyDescent="0.2">
      <c r="B1069" s="48" t="s">
        <v>293</v>
      </c>
      <c r="C1069" s="58"/>
      <c r="T1069" s="86"/>
      <c r="U1069" s="92"/>
      <c r="V1069" s="92"/>
      <c r="W1069" s="92"/>
      <c r="X1069" s="333"/>
    </row>
    <row r="1070" spans="1:25" x14ac:dyDescent="0.2">
      <c r="C1070" s="58"/>
      <c r="T1070" s="86"/>
      <c r="U1070" s="92"/>
      <c r="V1070" s="92"/>
      <c r="W1070" s="92"/>
      <c r="X1070" s="333"/>
    </row>
    <row r="1071" spans="1:25" x14ac:dyDescent="0.2">
      <c r="B1071" s="48" t="s">
        <v>295</v>
      </c>
      <c r="C1071" s="58"/>
      <c r="T1071" s="86"/>
      <c r="U1071" s="92"/>
      <c r="V1071" s="92"/>
      <c r="W1071" s="92"/>
      <c r="X1071" s="333"/>
    </row>
    <row r="1072" spans="1:25" x14ac:dyDescent="0.2">
      <c r="A1072" s="60">
        <v>17</v>
      </c>
      <c r="B1072" s="48" t="s">
        <v>296</v>
      </c>
      <c r="C1072" s="51" t="s">
        <v>1075</v>
      </c>
      <c r="D1072" s="66">
        <f ca="1">SUM(F1072:I1072)+K1072</f>
        <v>4275705.3800000008</v>
      </c>
      <c r="F1072" s="60">
        <f ca="1">INDEX(INDIRECT($C1072),1,F$12+1)*$T1072</f>
        <v>3722835.5001884843</v>
      </c>
      <c r="H1072" s="60">
        <f ca="1">INDEX(INDIRECT($C1072),1,H$12+1)*$T1072</f>
        <v>253951.34050551642</v>
      </c>
      <c r="I1072" s="60">
        <f ca="1">(L1072+M1072+N1072)</f>
        <v>298918.53930599947</v>
      </c>
      <c r="L1072" s="60">
        <f ca="1">INDEX(INDIRECT($C1072),1,L$12+1)*$T1072</f>
        <v>134.82191001770289</v>
      </c>
      <c r="M1072" s="60"/>
      <c r="N1072" s="60">
        <f ca="1">SUM(O1072:Q1072)</f>
        <v>298783.71739598177</v>
      </c>
      <c r="O1072" s="60">
        <f ca="1">INDEX(INDIRECT($C1072),1,O$12+1)*$T1072</f>
        <v>94867.1733734062</v>
      </c>
      <c r="P1072" s="60">
        <f ca="1">INDEX(INDIRECT($C1072),1,P$12+1)*$T1072</f>
        <v>203916.54402257557</v>
      </c>
      <c r="Q1072" s="60">
        <f ca="1">INDEX(INDIRECT($C1072),1,Q$12+1)*$T1072</f>
        <v>5.8274276356714427E-15</v>
      </c>
      <c r="T1072" s="325">
        <v>4275705.38</v>
      </c>
      <c r="U1072" s="92">
        <v>924</v>
      </c>
      <c r="V1072" s="92"/>
      <c r="W1072" s="92">
        <f>SUMIF('O&amp;M'!$B$3:$B$87,TOTALCO!U1072,'O&amp;M'!$F$3:$F$87)+SUMIF('O&amp;M'!$B$3:$B$87,TOTALCO!V1072,'O&amp;M'!$F$3:$F$87)</f>
        <v>4275705.38</v>
      </c>
      <c r="X1072" s="333">
        <f t="shared" ref="X1072" ca="1" si="350">D1072-T1072</f>
        <v>0</v>
      </c>
      <c r="Y1072" s="50"/>
    </row>
    <row r="1073" spans="1:33" x14ac:dyDescent="0.2">
      <c r="A1073" s="60">
        <v>18</v>
      </c>
      <c r="B1073" s="48" t="s">
        <v>297</v>
      </c>
      <c r="C1073" s="58"/>
      <c r="D1073" s="66">
        <f ca="1">SUM(F1073:I1073)+K1073</f>
        <v>4275705.3800000008</v>
      </c>
      <c r="F1073" s="60">
        <f ca="1">F1072</f>
        <v>3722835.5001884843</v>
      </c>
      <c r="H1073" s="60">
        <f ca="1">H1072</f>
        <v>253951.34050551642</v>
      </c>
      <c r="I1073" s="60">
        <f ca="1">(L1073+M1073+N1073)</f>
        <v>298918.53930599947</v>
      </c>
      <c r="L1073" s="60">
        <f ca="1">L1072</f>
        <v>134.82191001770289</v>
      </c>
      <c r="M1073" s="60"/>
      <c r="N1073" s="60">
        <f ca="1">SUM(O1073:Q1073)</f>
        <v>298783.71739598177</v>
      </c>
      <c r="O1073" s="60">
        <f ca="1">O1072</f>
        <v>94867.1733734062</v>
      </c>
      <c r="P1073" s="60">
        <f ca="1">P1072</f>
        <v>203916.54402257557</v>
      </c>
      <c r="Q1073" s="60">
        <f ca="1">Q1072</f>
        <v>5.8274276356714427E-15</v>
      </c>
      <c r="T1073" s="58"/>
      <c r="U1073" s="92"/>
      <c r="V1073" s="92"/>
      <c r="W1073" s="92"/>
      <c r="X1073" s="333"/>
    </row>
    <row r="1074" spans="1:33" x14ac:dyDescent="0.2">
      <c r="C1074" s="58"/>
      <c r="T1074" s="86"/>
      <c r="U1074" s="92"/>
      <c r="V1074" s="92"/>
      <c r="W1074" s="92"/>
      <c r="X1074" s="333"/>
    </row>
    <row r="1075" spans="1:33" x14ac:dyDescent="0.2">
      <c r="B1075" s="48" t="s">
        <v>298</v>
      </c>
      <c r="C1075" s="58"/>
      <c r="T1075" s="86"/>
      <c r="U1075" s="92"/>
      <c r="V1075" s="92"/>
      <c r="W1075" s="92"/>
      <c r="X1075" s="333"/>
    </row>
    <row r="1076" spans="1:33" x14ac:dyDescent="0.2">
      <c r="A1076" s="60">
        <v>19</v>
      </c>
      <c r="B1076" s="48" t="s">
        <v>299</v>
      </c>
      <c r="C1076" s="51" t="s">
        <v>730</v>
      </c>
      <c r="D1076" s="66">
        <f t="shared" ref="D1076:D1090" ca="1" si="351">SUM(F1076:I1076)+K1076</f>
        <v>21838736.059999999</v>
      </c>
      <c r="F1076" s="60">
        <f t="shared" ref="F1076:F1086" ca="1" si="352">INDEX(INDIRECT($C1076),1,F$12+1)*$T1076</f>
        <v>19422909.438914448</v>
      </c>
      <c r="H1076" s="60">
        <f t="shared" ref="H1076:H1089" ca="1" si="353">INDEX(INDIRECT($C1076),1,H$12+1)*$T1076</f>
        <v>1196609.5577963081</v>
      </c>
      <c r="I1076" s="60">
        <f t="shared" ref="I1076:I1090" ca="1" si="354">(L1076+M1076+N1076)</f>
        <v>1219217.063289243</v>
      </c>
      <c r="L1076" s="60">
        <f t="shared" ref="L1076:L1089" ca="1" si="355">INDEX(INDIRECT($C1076),1,L$12+1)*$T1076</f>
        <v>670.4192955015302</v>
      </c>
      <c r="M1076" s="60"/>
      <c r="N1076" s="60">
        <f t="shared" ref="N1076:N1090" ca="1" si="356">SUM(O1076:Q1076)</f>
        <v>1218546.6439937416</v>
      </c>
      <c r="O1076" s="60">
        <f t="shared" ref="O1076:Q1089" ca="1" si="357">INDEX(INDIRECT($C1076),1,O$12+1)*$T1076</f>
        <v>395860.18657766696</v>
      </c>
      <c r="P1076" s="60">
        <f t="shared" ca="1" si="357"/>
        <v>822686.4574160747</v>
      </c>
      <c r="Q1076" s="60">
        <f t="shared" ca="1" si="357"/>
        <v>1.3666265439980918E-12</v>
      </c>
      <c r="T1076" s="325">
        <v>21838736.060000002</v>
      </c>
      <c r="U1076" s="92">
        <v>920</v>
      </c>
      <c r="V1076" s="92"/>
      <c r="W1076" s="92">
        <f>SUMIF('O&amp;M'!$B$3:$B$87,TOTALCO!U1076,'O&amp;M'!$F$3:$F$87)+SUMIF('O&amp;M'!$B$3:$B$87,TOTALCO!V1076,'O&amp;M'!$F$3:$F$87)</f>
        <v>21838736.060000002</v>
      </c>
      <c r="X1076" s="333">
        <f t="shared" ref="X1076:X1081" ca="1" si="358">D1076-T1076</f>
        <v>0</v>
      </c>
      <c r="Y1076" s="50"/>
    </row>
    <row r="1077" spans="1:33" x14ac:dyDescent="0.2">
      <c r="A1077" s="60">
        <v>20</v>
      </c>
      <c r="B1077" s="48" t="s">
        <v>300</v>
      </c>
      <c r="C1077" s="51" t="s">
        <v>730</v>
      </c>
      <c r="D1077" s="66">
        <f t="shared" ca="1" si="351"/>
        <v>7450944.4299999997</v>
      </c>
      <c r="F1077" s="60">
        <f t="shared" ca="1" si="352"/>
        <v>6626712.2099315319</v>
      </c>
      <c r="H1077" s="60">
        <f t="shared" ca="1" si="353"/>
        <v>408259.49336315045</v>
      </c>
      <c r="I1077" s="60">
        <f t="shared" ca="1" si="354"/>
        <v>415972.72670531756</v>
      </c>
      <c r="L1077" s="60">
        <f t="shared" ca="1" si="355"/>
        <v>228.73379218731444</v>
      </c>
      <c r="M1077" s="60"/>
      <c r="N1077" s="60">
        <f t="shared" ca="1" si="356"/>
        <v>415743.99291313026</v>
      </c>
      <c r="O1077" s="60">
        <f t="shared" ca="1" si="357"/>
        <v>135059.65931984567</v>
      </c>
      <c r="P1077" s="60">
        <f t="shared" ca="1" si="357"/>
        <v>280684.33359328459</v>
      </c>
      <c r="Q1077" s="60">
        <f t="shared" ca="1" si="357"/>
        <v>4.6626592344523857E-13</v>
      </c>
      <c r="T1077" s="325">
        <v>7450944.4300000006</v>
      </c>
      <c r="U1077" s="92">
        <v>921</v>
      </c>
      <c r="V1077" s="92"/>
      <c r="W1077" s="92">
        <f>SUMIF('O&amp;M'!$B$3:$B$87,TOTALCO!U1077,'O&amp;M'!$F$3:$F$87)+SUMIF('O&amp;M'!$B$3:$B$87,TOTALCO!V1077,'O&amp;M'!$F$3:$F$87)</f>
        <v>7450944.4300000006</v>
      </c>
      <c r="X1077" s="333">
        <f t="shared" ca="1" si="358"/>
        <v>0</v>
      </c>
      <c r="Y1077" s="50"/>
    </row>
    <row r="1078" spans="1:33" x14ac:dyDescent="0.2">
      <c r="A1078" s="60">
        <v>21</v>
      </c>
      <c r="B1078" s="48" t="s">
        <v>301</v>
      </c>
      <c r="C1078" s="51" t="s">
        <v>730</v>
      </c>
      <c r="D1078" s="66">
        <f t="shared" ca="1" si="351"/>
        <v>-2900745.46</v>
      </c>
      <c r="F1078" s="60">
        <f t="shared" ca="1" si="352"/>
        <v>-2579861.5918123894</v>
      </c>
      <c r="H1078" s="60">
        <f t="shared" ca="1" si="353"/>
        <v>-158940.50519379042</v>
      </c>
      <c r="I1078" s="60">
        <f t="shared" ca="1" si="354"/>
        <v>-161943.36299381993</v>
      </c>
      <c r="L1078" s="60">
        <f t="shared" ca="1" si="355"/>
        <v>-89.048913928879713</v>
      </c>
      <c r="M1078" s="60"/>
      <c r="N1078" s="60">
        <f t="shared" ca="1" si="356"/>
        <v>-161854.31407989105</v>
      </c>
      <c r="O1078" s="60">
        <f t="shared" ca="1" si="357"/>
        <v>-52580.407394232701</v>
      </c>
      <c r="P1078" s="60">
        <f t="shared" ca="1" si="357"/>
        <v>-109273.90668565834</v>
      </c>
      <c r="Q1078" s="60">
        <f t="shared" ca="1" si="357"/>
        <v>-1.8152313083168214E-13</v>
      </c>
      <c r="T1078" s="325">
        <v>-2900745.46</v>
      </c>
      <c r="U1078" s="92">
        <v>922</v>
      </c>
      <c r="V1078" s="92"/>
      <c r="W1078" s="92">
        <f>SUMIF('O&amp;M'!$B$3:$B$87,TOTALCO!U1078,'O&amp;M'!$F$3:$F$87)+SUMIF('O&amp;M'!$B$3:$B$87,TOTALCO!V1078,'O&amp;M'!$F$3:$F$87)</f>
        <v>-2900745.46</v>
      </c>
      <c r="X1078" s="333">
        <f t="shared" ca="1" si="358"/>
        <v>0</v>
      </c>
      <c r="Y1078" s="50"/>
    </row>
    <row r="1079" spans="1:33" x14ac:dyDescent="0.2">
      <c r="A1079" s="60">
        <v>22</v>
      </c>
      <c r="B1079" s="48" t="s">
        <v>302</v>
      </c>
      <c r="C1079" s="51" t="s">
        <v>730</v>
      </c>
      <c r="D1079" s="66">
        <f t="shared" ca="1" si="351"/>
        <v>8857899.9399999995</v>
      </c>
      <c r="F1079" s="60">
        <f t="shared" ca="1" si="352"/>
        <v>7878028.6496848529</v>
      </c>
      <c r="H1079" s="60">
        <f t="shared" ca="1" si="353"/>
        <v>485350.78683520399</v>
      </c>
      <c r="I1079" s="60">
        <f t="shared" ca="1" si="354"/>
        <v>494520.50347994181</v>
      </c>
      <c r="L1079" s="60">
        <f t="shared" ca="1" si="355"/>
        <v>271.92539994449868</v>
      </c>
      <c r="M1079" s="60"/>
      <c r="N1079" s="60">
        <f t="shared" ca="1" si="356"/>
        <v>494248.57807999733</v>
      </c>
      <c r="O1079" s="60">
        <f t="shared" ca="1" si="357"/>
        <v>160562.86010788046</v>
      </c>
      <c r="P1079" s="60">
        <f t="shared" ca="1" si="357"/>
        <v>333685.71797211689</v>
      </c>
      <c r="Q1079" s="60">
        <f t="shared" ca="1" si="357"/>
        <v>5.5431052185549894E-13</v>
      </c>
      <c r="T1079" s="325">
        <v>8857899.9399999995</v>
      </c>
      <c r="U1079" s="92">
        <v>923</v>
      </c>
      <c r="V1079" s="92"/>
      <c r="W1079" s="92">
        <f>SUMIF('O&amp;M'!$B$3:$B$87,TOTALCO!U1079,'O&amp;M'!$F$3:$F$87)+SUMIF('O&amp;M'!$B$3:$B$87,TOTALCO!V1079,'O&amp;M'!$F$3:$F$87)</f>
        <v>8857899.9399999995</v>
      </c>
      <c r="X1079" s="333">
        <f t="shared" ca="1" si="358"/>
        <v>0</v>
      </c>
      <c r="Y1079" s="361" t="s">
        <v>1544</v>
      </c>
      <c r="Z1079" s="285"/>
      <c r="AA1079" s="285"/>
      <c r="AB1079" s="285"/>
      <c r="AC1079" s="285"/>
      <c r="AD1079" s="285"/>
    </row>
    <row r="1080" spans="1:33" x14ac:dyDescent="0.2">
      <c r="A1080" s="60">
        <v>23</v>
      </c>
      <c r="B1080" s="48" t="s">
        <v>303</v>
      </c>
      <c r="C1080" s="51" t="s">
        <v>730</v>
      </c>
      <c r="D1080" s="66">
        <f t="shared" ca="1" si="351"/>
        <v>3560504.2</v>
      </c>
      <c r="F1080" s="60">
        <f t="shared" ca="1" si="352"/>
        <v>3166637.045453378</v>
      </c>
      <c r="H1080" s="60">
        <f t="shared" ca="1" si="353"/>
        <v>195090.65655578504</v>
      </c>
      <c r="I1080" s="60">
        <f t="shared" ca="1" si="354"/>
        <v>198776.49799083732</v>
      </c>
      <c r="L1080" s="60">
        <f t="shared" ca="1" si="355"/>
        <v>109.30260390693323</v>
      </c>
      <c r="M1080" s="60"/>
      <c r="N1080" s="60">
        <f t="shared" ca="1" si="356"/>
        <v>198667.1953869304</v>
      </c>
      <c r="O1080" s="60">
        <f t="shared" ca="1" si="357"/>
        <v>64539.534387438674</v>
      </c>
      <c r="P1080" s="60">
        <f t="shared" ca="1" si="357"/>
        <v>134127.66099949172</v>
      </c>
      <c r="Q1080" s="60">
        <f t="shared" ca="1" si="357"/>
        <v>2.2280957727444098E-13</v>
      </c>
      <c r="T1080" s="325">
        <v>3560504.2000000007</v>
      </c>
      <c r="U1080" s="92">
        <v>925</v>
      </c>
      <c r="V1080" s="92"/>
      <c r="W1080" s="92">
        <f>SUMIF('O&amp;M'!$B$3:$B$87,TOTALCO!U1080,'O&amp;M'!$F$3:$F$87)+SUMIF('O&amp;M'!$B$3:$B$87,TOTALCO!V1080,'O&amp;M'!$F$3:$F$87)</f>
        <v>3560504.2000000007</v>
      </c>
      <c r="X1080" s="333">
        <f t="shared" ca="1" si="358"/>
        <v>0</v>
      </c>
      <c r="Y1080" s="84" t="s">
        <v>1545</v>
      </c>
      <c r="Z1080" s="97" t="s">
        <v>1018</v>
      </c>
      <c r="AA1080" s="97" t="s">
        <v>1020</v>
      </c>
      <c r="AB1080" s="98" t="s">
        <v>1022</v>
      </c>
      <c r="AC1080" s="98" t="s">
        <v>595</v>
      </c>
      <c r="AD1080" s="40" t="s">
        <v>739</v>
      </c>
    </row>
    <row r="1081" spans="1:33" x14ac:dyDescent="0.2">
      <c r="A1081" s="60">
        <v>24</v>
      </c>
      <c r="B1081" s="48" t="s">
        <v>304</v>
      </c>
      <c r="C1081" s="51" t="s">
        <v>730</v>
      </c>
      <c r="D1081" s="95">
        <f t="shared" ca="1" si="351"/>
        <v>39264089.249999993</v>
      </c>
      <c r="F1081" s="60">
        <f ca="1">INDEX(INDIRECT($C1081),1,F$12+1)*$T1081+Z1081</f>
        <v>35853084.162146352</v>
      </c>
      <c r="H1081" s="60">
        <f ca="1">INDEX(INDIRECT($C1081),1,H$12+1)*$T1081+AA1081</f>
        <v>2208842.2602096824</v>
      </c>
      <c r="I1081" s="60">
        <f t="shared" ca="1" si="354"/>
        <v>1202162.8276439609</v>
      </c>
      <c r="L1081" s="60">
        <f ca="1">INDEX(INDIRECT($C1081),1,L$12+1)*$T1081+AB1081</f>
        <v>1237.538562445495</v>
      </c>
      <c r="M1081" s="60"/>
      <c r="N1081" s="60">
        <f t="shared" ca="1" si="356"/>
        <v>1200925.2890815155</v>
      </c>
      <c r="O1081" s="60">
        <f t="shared" ca="1" si="357"/>
        <v>390135.66804759012</v>
      </c>
      <c r="P1081" s="60">
        <f t="shared" ca="1" si="357"/>
        <v>810789.62103392545</v>
      </c>
      <c r="Q1081" s="60">
        <f t="shared" ca="1" si="357"/>
        <v>1.3468638114978961E-12</v>
      </c>
      <c r="T1081" s="85">
        <f ca="1">W1081-AD1081</f>
        <v>21522926.959999997</v>
      </c>
      <c r="U1081" s="92">
        <v>926</v>
      </c>
      <c r="V1081" s="92"/>
      <c r="W1081" s="92">
        <f>SUMIF('O&amp;M'!$B$3:$B$87,TOTALCO!U1081,'O&amp;M'!$F$3:$F$87)+SUMIF('O&amp;M'!$B$3:$B$87,TOTALCO!V1081,'O&amp;M'!$F$3:$F$87)</f>
        <v>39264089.25</v>
      </c>
      <c r="X1081" s="333">
        <f t="shared" ca="1" si="358"/>
        <v>17741162.289999995</v>
      </c>
      <c r="Y1081" s="336">
        <v>17741162.289999999</v>
      </c>
      <c r="Z1081" s="329">
        <f ca="1">Y1081*Z1082</f>
        <v>16711048.649837945</v>
      </c>
      <c r="AA1081" s="329">
        <f ca="1">Y1081*AA1082</f>
        <v>1029536.8259881455</v>
      </c>
      <c r="AB1081" s="40">
        <f ca="1">Y1081*AB1082</f>
        <v>576.81417390896877</v>
      </c>
      <c r="AC1081" s="98">
        <v>0</v>
      </c>
      <c r="AD1081" s="40">
        <f ca="1">SUM(Z1081:AC1081)</f>
        <v>17741162.290000003</v>
      </c>
    </row>
    <row r="1082" spans="1:33" x14ac:dyDescent="0.2">
      <c r="A1082" s="60">
        <v>25</v>
      </c>
      <c r="B1082" s="48" t="s">
        <v>305</v>
      </c>
      <c r="C1082" s="51" t="s">
        <v>1171</v>
      </c>
      <c r="D1082" s="66">
        <f t="shared" ca="1" si="351"/>
        <v>0</v>
      </c>
      <c r="F1082" s="60">
        <f t="shared" ca="1" si="352"/>
        <v>0</v>
      </c>
      <c r="H1082" s="60">
        <f t="shared" ca="1" si="353"/>
        <v>0</v>
      </c>
      <c r="I1082" s="60">
        <f t="shared" ca="1" si="354"/>
        <v>0</v>
      </c>
      <c r="L1082" s="60">
        <f t="shared" ca="1" si="355"/>
        <v>0</v>
      </c>
      <c r="M1082" s="60"/>
      <c r="N1082" s="60">
        <f t="shared" ca="1" si="356"/>
        <v>0</v>
      </c>
      <c r="O1082" s="60">
        <f t="shared" ca="1" si="357"/>
        <v>0</v>
      </c>
      <c r="P1082" s="60">
        <f t="shared" ca="1" si="357"/>
        <v>0</v>
      </c>
      <c r="Q1082" s="60">
        <f t="shared" ca="1" si="357"/>
        <v>0</v>
      </c>
      <c r="T1082" s="85"/>
      <c r="U1082" s="92"/>
      <c r="V1082" s="92"/>
      <c r="W1082" s="92"/>
      <c r="X1082" s="85"/>
      <c r="Y1082" s="154" t="s">
        <v>1314</v>
      </c>
      <c r="Z1082" s="313">
        <f ca="1">Z1083/Y1083</f>
        <v>0.94193651896512498</v>
      </c>
      <c r="AA1082" s="313">
        <f ca="1">AA1083/Y1083</f>
        <v>5.8030968273620677E-2</v>
      </c>
      <c r="AB1082" s="313">
        <f ca="1">AB1083/Y1083</f>
        <v>3.251276125432303E-5</v>
      </c>
    </row>
    <row r="1083" spans="1:33" x14ac:dyDescent="0.2">
      <c r="A1083" s="60">
        <v>26</v>
      </c>
      <c r="B1083" s="48" t="s">
        <v>306</v>
      </c>
      <c r="C1083" s="51" t="s">
        <v>1173</v>
      </c>
      <c r="D1083" s="66">
        <f t="shared" ca="1" si="351"/>
        <v>0</v>
      </c>
      <c r="F1083" s="60">
        <f ca="1">INDEX(INDIRECT($C1083),1,F$12+1)*$T1083</f>
        <v>0</v>
      </c>
      <c r="H1083" s="60">
        <f t="shared" ca="1" si="353"/>
        <v>0</v>
      </c>
      <c r="I1083" s="60">
        <f t="shared" ca="1" si="354"/>
        <v>0</v>
      </c>
      <c r="L1083" s="60">
        <f t="shared" ca="1" si="355"/>
        <v>0</v>
      </c>
      <c r="M1083" s="60"/>
      <c r="N1083" s="60">
        <f t="shared" ca="1" si="356"/>
        <v>0</v>
      </c>
      <c r="O1083" s="60">
        <f t="shared" ca="1" si="357"/>
        <v>0</v>
      </c>
      <c r="P1083" s="60">
        <f t="shared" ca="1" si="357"/>
        <v>0</v>
      </c>
      <c r="Q1083" s="60">
        <f t="shared" ca="1" si="357"/>
        <v>0</v>
      </c>
      <c r="T1083" s="85"/>
      <c r="U1083" s="92"/>
      <c r="V1083" s="92"/>
      <c r="W1083" s="92"/>
      <c r="Y1083" s="329">
        <f ca="1">SUM(Z1083:AB1083)</f>
        <v>143851098.59342748</v>
      </c>
      <c r="Z1083" s="329">
        <f ca="1">F1435</f>
        <v>135498603.05840206</v>
      </c>
      <c r="AA1083" s="329">
        <f ca="1">H1435</f>
        <v>8347818.5386006702</v>
      </c>
      <c r="AB1083" s="329">
        <f ca="1">L1435</f>
        <v>4676.9964247401913</v>
      </c>
    </row>
    <row r="1084" spans="1:33" x14ac:dyDescent="0.2">
      <c r="A1084" s="60">
        <v>27</v>
      </c>
      <c r="B1084" s="48" t="s">
        <v>307</v>
      </c>
      <c r="C1084" s="51" t="s">
        <v>1175</v>
      </c>
      <c r="D1084" s="66">
        <f t="shared" ca="1" si="351"/>
        <v>0</v>
      </c>
      <c r="F1084" s="60">
        <f t="shared" ca="1" si="352"/>
        <v>0</v>
      </c>
      <c r="H1084" s="60">
        <f t="shared" ca="1" si="353"/>
        <v>0</v>
      </c>
      <c r="I1084" s="60">
        <f t="shared" ca="1" si="354"/>
        <v>0</v>
      </c>
      <c r="L1084" s="60">
        <f t="shared" ca="1" si="355"/>
        <v>0</v>
      </c>
      <c r="M1084" s="60"/>
      <c r="N1084" s="60">
        <f t="shared" ca="1" si="356"/>
        <v>0</v>
      </c>
      <c r="O1084" s="60">
        <f t="shared" ca="1" si="357"/>
        <v>0</v>
      </c>
      <c r="P1084" s="60">
        <f t="shared" ca="1" si="357"/>
        <v>0</v>
      </c>
      <c r="Q1084" s="60">
        <f t="shared" ca="1" si="357"/>
        <v>0</v>
      </c>
      <c r="T1084" s="325"/>
      <c r="U1084" s="92"/>
      <c r="V1084" s="92"/>
      <c r="W1084" s="92"/>
    </row>
    <row r="1085" spans="1:33" x14ac:dyDescent="0.2">
      <c r="A1085" s="60">
        <v>28</v>
      </c>
      <c r="B1085" s="48" t="s">
        <v>308</v>
      </c>
      <c r="C1085" s="51" t="s">
        <v>1177</v>
      </c>
      <c r="D1085" s="66">
        <f t="shared" ca="1" si="351"/>
        <v>0</v>
      </c>
      <c r="F1085" s="60">
        <f t="shared" ca="1" si="352"/>
        <v>0</v>
      </c>
      <c r="H1085" s="60">
        <f t="shared" ca="1" si="353"/>
        <v>0</v>
      </c>
      <c r="I1085" s="60">
        <f t="shared" ca="1" si="354"/>
        <v>0</v>
      </c>
      <c r="L1085" s="60">
        <f t="shared" ca="1" si="355"/>
        <v>0</v>
      </c>
      <c r="M1085" s="60"/>
      <c r="N1085" s="60">
        <f t="shared" ca="1" si="356"/>
        <v>0</v>
      </c>
      <c r="O1085" s="60">
        <f t="shared" ca="1" si="357"/>
        <v>0</v>
      </c>
      <c r="P1085" s="60">
        <f t="shared" ca="1" si="357"/>
        <v>0</v>
      </c>
      <c r="Q1085" s="60">
        <f t="shared" ca="1" si="357"/>
        <v>0</v>
      </c>
      <c r="T1085" s="325"/>
      <c r="U1085" s="50"/>
      <c r="V1085" s="50"/>
      <c r="W1085" s="85"/>
    </row>
    <row r="1086" spans="1:33" x14ac:dyDescent="0.2">
      <c r="A1086" s="60">
        <v>25</v>
      </c>
      <c r="B1086" s="48" t="s">
        <v>309</v>
      </c>
      <c r="C1086" s="51" t="s">
        <v>1105</v>
      </c>
      <c r="D1086" s="66">
        <f t="shared" ca="1" si="351"/>
        <v>-3751.98</v>
      </c>
      <c r="F1086" s="60">
        <f t="shared" ca="1" si="352"/>
        <v>0</v>
      </c>
      <c r="H1086" s="60">
        <f t="shared" ca="1" si="353"/>
        <v>-3751.98</v>
      </c>
      <c r="I1086" s="60">
        <f t="shared" ca="1" si="354"/>
        <v>0</v>
      </c>
      <c r="L1086" s="60">
        <f t="shared" ca="1" si="355"/>
        <v>0</v>
      </c>
      <c r="M1086" s="60"/>
      <c r="N1086" s="60">
        <f t="shared" ca="1" si="356"/>
        <v>0</v>
      </c>
      <c r="O1086" s="60">
        <f t="shared" ca="1" si="357"/>
        <v>0</v>
      </c>
      <c r="P1086" s="60">
        <f t="shared" ca="1" si="357"/>
        <v>0</v>
      </c>
      <c r="Q1086" s="60">
        <f t="shared" ca="1" si="357"/>
        <v>0</v>
      </c>
      <c r="T1086" s="325">
        <v>-3751.98</v>
      </c>
      <c r="U1086" s="92">
        <v>929</v>
      </c>
      <c r="V1086" s="92"/>
      <c r="W1086" s="92">
        <f>SUMIF('O&amp;M'!$B$3:$B$87,TOTALCO!U1086,'O&amp;M'!$F$3:$F$87)+SUMIF('O&amp;M'!$B$3:$B$87,TOTALCO!V1086,'O&amp;M'!$F$3:$F$87)</f>
        <v>-3751.98</v>
      </c>
      <c r="X1086" s="333">
        <f t="shared" ref="X1086:X1089" ca="1" si="359">D1086-T1086</f>
        <v>0</v>
      </c>
      <c r="Y1086" s="97" t="s">
        <v>765</v>
      </c>
      <c r="Z1086" s="97" t="s">
        <v>1304</v>
      </c>
      <c r="AA1086" s="334" t="s">
        <v>1305</v>
      </c>
      <c r="AB1086" s="98" t="s">
        <v>1306</v>
      </c>
      <c r="AC1086" s="98" t="s">
        <v>1307</v>
      </c>
      <c r="AD1086" s="40" t="s">
        <v>739</v>
      </c>
    </row>
    <row r="1087" spans="1:33" x14ac:dyDescent="0.2">
      <c r="A1087" s="60">
        <v>26</v>
      </c>
      <c r="B1087" s="48" t="s">
        <v>310</v>
      </c>
      <c r="C1087" s="51" t="s">
        <v>730</v>
      </c>
      <c r="D1087" s="66">
        <f ca="1">SUM(F1087:I1087)+K1087</f>
        <v>2489746.9</v>
      </c>
      <c r="F1087" s="60">
        <f ca="1">(INDEX(INDIRECT($C1087),1,F$12+1)*$T1087)+Y1090</f>
        <v>2251157.3001724468</v>
      </c>
      <c r="H1087" s="60">
        <f t="shared" ca="1" si="353"/>
        <v>118178.42930141969</v>
      </c>
      <c r="I1087" s="60">
        <f t="shared" ca="1" si="354"/>
        <v>120411.17052613343</v>
      </c>
      <c r="L1087" s="60">
        <f t="shared" ca="1" si="355"/>
        <v>66.211320810143391</v>
      </c>
      <c r="M1087" s="60"/>
      <c r="N1087" s="60">
        <f t="shared" ca="1" si="356"/>
        <v>120344.95920532329</v>
      </c>
      <c r="O1087" s="60">
        <f t="shared" ca="1" si="357"/>
        <v>39095.571958216868</v>
      </c>
      <c r="P1087" s="60">
        <f t="shared" ca="1" si="357"/>
        <v>81249.387247106424</v>
      </c>
      <c r="Q1087" s="60">
        <f t="shared" ca="1" si="357"/>
        <v>1.3496948721415294E-13</v>
      </c>
      <c r="T1087" s="85">
        <f>Y1087-T1101-Y1090</f>
        <v>2156816.7400000002</v>
      </c>
      <c r="U1087" s="101">
        <v>930.1</v>
      </c>
      <c r="V1087" s="101">
        <v>930.2</v>
      </c>
      <c r="W1087" s="92">
        <f>SUMIF('O&amp;M'!$B$3:$B$87,TOTALCO!U1087,'O&amp;M'!$F$3:$F$87)+SUMIF('O&amp;M'!$B$3:$B$87,TOTALCO!V1087,'O&amp;M'!$F$3:$F$87)</f>
        <v>3886410.99</v>
      </c>
      <c r="X1087" s="333">
        <f t="shared" ca="1" si="359"/>
        <v>332930.15999999968</v>
      </c>
      <c r="Y1087" s="329">
        <f>SUM('O&amp;M'!F82:F84)</f>
        <v>3886410.99</v>
      </c>
      <c r="Z1087" s="329">
        <f>AG1087+AG1088</f>
        <v>827233.97000000009</v>
      </c>
      <c r="AA1087" s="329">
        <f>AG1094</f>
        <v>569430.12</v>
      </c>
      <c r="AB1087" s="40">
        <f>AG1095+AG1098+AG1099+AG1091</f>
        <v>2397103.9400000004</v>
      </c>
      <c r="AC1087" s="40">
        <f>Y1087-SUM(Z1087:AB1087)</f>
        <v>92642.959999999963</v>
      </c>
      <c r="AD1087" s="40">
        <f>SUM(Z1087:AC1087)</f>
        <v>3886410.99</v>
      </c>
      <c r="AE1087" s="34" t="s">
        <v>1285</v>
      </c>
      <c r="AF1087" s="34" t="s">
        <v>1286</v>
      </c>
      <c r="AG1087" s="335">
        <v>793146.67</v>
      </c>
    </row>
    <row r="1088" spans="1:33" x14ac:dyDescent="0.2">
      <c r="A1088" s="60">
        <v>27</v>
      </c>
      <c r="B1088" s="48" t="s">
        <v>311</v>
      </c>
      <c r="C1088" s="51" t="s">
        <v>730</v>
      </c>
      <c r="D1088" s="66">
        <f t="shared" ca="1" si="351"/>
        <v>2376357.73</v>
      </c>
      <c r="F1088" s="60">
        <f ca="1">INDEX(INDIRECT($C1088),1,F$12+1)*$T1088</f>
        <v>2113482.2481230311</v>
      </c>
      <c r="H1088" s="60">
        <f t="shared" ca="1" si="353"/>
        <v>130207.73567887236</v>
      </c>
      <c r="I1088" s="60">
        <f t="shared" ca="1" si="354"/>
        <v>132667.74619809623</v>
      </c>
      <c r="L1088" s="60">
        <f t="shared" ca="1" si="355"/>
        <v>72.950928608192314</v>
      </c>
      <c r="M1088" s="60"/>
      <c r="N1088" s="60">
        <f t="shared" ca="1" si="356"/>
        <v>132594.79526948804</v>
      </c>
      <c r="O1088" s="60">
        <f t="shared" ca="1" si="357"/>
        <v>43075.085105135018</v>
      </c>
      <c r="P1088" s="60">
        <f t="shared" ca="1" si="357"/>
        <v>89519.710164353019</v>
      </c>
      <c r="Q1088" s="60">
        <f t="shared" ca="1" si="357"/>
        <v>1.4870794458665434E-13</v>
      </c>
      <c r="T1088" s="325">
        <v>2376357.73</v>
      </c>
      <c r="U1088" s="92">
        <v>931</v>
      </c>
      <c r="V1088" s="92"/>
      <c r="W1088" s="92">
        <f>SUMIF('O&amp;M'!$B$3:$B$87,TOTALCO!U1088,'O&amp;M'!$F$3:$F$87)+SUMIF('O&amp;M'!$B$3:$B$87,TOTALCO!V1088,'O&amp;M'!$F$3:$F$87)</f>
        <v>2376357.73</v>
      </c>
      <c r="X1088" s="333">
        <f t="shared" ca="1" si="359"/>
        <v>0</v>
      </c>
      <c r="Y1088" s="50"/>
      <c r="AE1088" s="34" t="s">
        <v>1287</v>
      </c>
      <c r="AF1088" s="34" t="s">
        <v>1288</v>
      </c>
      <c r="AG1088" s="335">
        <v>34087.300000000003</v>
      </c>
    </row>
    <row r="1089" spans="1:33" x14ac:dyDescent="0.2">
      <c r="A1089" s="60">
        <v>28</v>
      </c>
      <c r="B1089" s="48" t="s">
        <v>312</v>
      </c>
      <c r="C1089" s="51" t="s">
        <v>730</v>
      </c>
      <c r="D1089" s="66">
        <f t="shared" ca="1" si="351"/>
        <v>13215869.399999999</v>
      </c>
      <c r="F1089" s="60">
        <f ca="1">INDEX(INDIRECT($C1089),1,F$12+1)*$T1089</f>
        <v>11753914.411872817</v>
      </c>
      <c r="H1089" s="60">
        <f t="shared" ca="1" si="353"/>
        <v>724136.94616664352</v>
      </c>
      <c r="I1089" s="60">
        <f t="shared" ca="1" si="354"/>
        <v>737818.04196053685</v>
      </c>
      <c r="L1089" s="60">
        <f t="shared" ca="1" si="355"/>
        <v>405.70909544607719</v>
      </c>
      <c r="M1089" s="60"/>
      <c r="N1089" s="60">
        <f t="shared" ca="1" si="356"/>
        <v>737412.33286509081</v>
      </c>
      <c r="O1089" s="60">
        <f t="shared" ca="1" si="357"/>
        <v>239557.66085072959</v>
      </c>
      <c r="P1089" s="60">
        <f t="shared" ca="1" si="357"/>
        <v>497854.67201436119</v>
      </c>
      <c r="Q1089" s="60">
        <f t="shared" ca="1" si="357"/>
        <v>8.270239575418052E-13</v>
      </c>
      <c r="T1089" s="325">
        <v>13215869.399999999</v>
      </c>
      <c r="U1089" s="101">
        <v>935.3</v>
      </c>
      <c r="V1089" s="101">
        <v>935.4</v>
      </c>
      <c r="W1089" s="92">
        <f>SUMIF('O&amp;M'!$B$3:$B$87,TOTALCO!U1089,'O&amp;M'!$F$3:$F$87)+SUMIF('O&amp;M'!$B$3:$B$87,TOTALCO!V1089,'O&amp;M'!$F$3:$F$87)</f>
        <v>13215869.399999999</v>
      </c>
      <c r="X1089" s="333">
        <f t="shared" ca="1" si="359"/>
        <v>0</v>
      </c>
      <c r="Y1089" s="50" t="s">
        <v>1348</v>
      </c>
      <c r="AG1089" s="335"/>
    </row>
    <row r="1090" spans="1:33" x14ac:dyDescent="0.2">
      <c r="A1090" s="60">
        <v>29</v>
      </c>
      <c r="B1090" s="48" t="s">
        <v>313</v>
      </c>
      <c r="D1090" s="66">
        <f t="shared" ca="1" si="351"/>
        <v>96149650.469999984</v>
      </c>
      <c r="F1090" s="60">
        <f ca="1">F1076+F1077+F1078+SUM(F1079:F1089)</f>
        <v>86486063.874486461</v>
      </c>
      <c r="H1090" s="60">
        <f ca="1">H1076+H1077+H1078+SUM(H1079:H1089)</f>
        <v>5303983.3807132747</v>
      </c>
      <c r="I1090" s="60">
        <f t="shared" ca="1" si="354"/>
        <v>4359603.2148002479</v>
      </c>
      <c r="L1090" s="60">
        <f ca="1">L1076+L1077+L1078+SUM(L1079:L1089)</f>
        <v>2973.7420849213049</v>
      </c>
      <c r="M1090" s="60"/>
      <c r="N1090" s="60">
        <f t="shared" ca="1" si="356"/>
        <v>4356629.4727153266</v>
      </c>
      <c r="O1090" s="60">
        <f ca="1">O1076+O1077+O1078+SUM(O1079:O1089)</f>
        <v>1415305.8189602706</v>
      </c>
      <c r="P1090" s="60">
        <f ca="1">P1076+P1077+P1078+SUM(P1079:P1089)</f>
        <v>2941323.6537550557</v>
      </c>
      <c r="Q1090" s="60">
        <f ca="1">Q1076+Q1077+Q1078+SUM(Q1079:Q1089)</f>
        <v>4.8860546365820965E-12</v>
      </c>
      <c r="T1090" s="75"/>
      <c r="U1090" s="50"/>
      <c r="V1090" s="50"/>
      <c r="W1090" s="85"/>
      <c r="X1090" s="91"/>
      <c r="Y1090" s="34">
        <f>SUM(AG1103:AG1104)</f>
        <v>332930.16000000003</v>
      </c>
      <c r="AE1090" s="34" t="s">
        <v>1289</v>
      </c>
      <c r="AF1090" s="34" t="s">
        <v>1290</v>
      </c>
      <c r="AG1090" s="335">
        <v>2500</v>
      </c>
    </row>
    <row r="1091" spans="1:33" x14ac:dyDescent="0.2">
      <c r="U1091" s="50"/>
      <c r="V1091" s="50"/>
      <c r="W1091" s="50"/>
      <c r="X1091" s="91"/>
      <c r="AE1091" s="100" t="s">
        <v>1529</v>
      </c>
      <c r="AF1091" s="34" t="s">
        <v>1530</v>
      </c>
      <c r="AG1091" s="335">
        <v>14534</v>
      </c>
    </row>
    <row r="1092" spans="1:33" x14ac:dyDescent="0.2">
      <c r="B1092" s="48" t="s">
        <v>314</v>
      </c>
      <c r="U1092" s="50"/>
      <c r="V1092" s="50"/>
      <c r="W1092" s="50"/>
      <c r="X1092" s="91"/>
      <c r="AE1092" s="34" t="s">
        <v>1291</v>
      </c>
      <c r="AF1092" s="34" t="s">
        <v>1292</v>
      </c>
      <c r="AG1092" s="335">
        <v>90142.96</v>
      </c>
    </row>
    <row r="1093" spans="1:33" x14ac:dyDescent="0.2">
      <c r="A1093" s="60">
        <v>30</v>
      </c>
      <c r="B1093" s="48" t="s">
        <v>315</v>
      </c>
      <c r="C1093" s="51" t="s">
        <v>1311</v>
      </c>
      <c r="D1093" s="66">
        <f>SUM(F1093:I1093)+K1093</f>
        <v>1093701.79</v>
      </c>
      <c r="F1093" s="60">
        <f>Z1096</f>
        <v>1093701.79</v>
      </c>
      <c r="H1093" s="60">
        <v>0</v>
      </c>
      <c r="I1093" s="60">
        <f>(L1093+M1093+N1093)</f>
        <v>0</v>
      </c>
      <c r="L1093" s="60">
        <f>AB1096</f>
        <v>0</v>
      </c>
      <c r="M1093" s="60"/>
      <c r="N1093" s="60">
        <f>SUM(O1093:Q1093)</f>
        <v>0</v>
      </c>
      <c r="O1093" s="60">
        <v>0</v>
      </c>
      <c r="P1093" s="60">
        <v>0</v>
      </c>
      <c r="Q1093" s="60">
        <v>0</v>
      </c>
      <c r="T1093" s="338">
        <v>1093701.79</v>
      </c>
      <c r="U1093" s="85">
        <f>D1093-T1093</f>
        <v>0</v>
      </c>
      <c r="V1093" s="50"/>
      <c r="W1093" s="50"/>
      <c r="X1093" s="92"/>
      <c r="Y1093" s="50"/>
      <c r="AE1093" s="34" t="s">
        <v>1293</v>
      </c>
      <c r="AF1093" s="34" t="s">
        <v>1294</v>
      </c>
      <c r="AG1093" s="335"/>
    </row>
    <row r="1094" spans="1:33" x14ac:dyDescent="0.2">
      <c r="A1094" s="60">
        <v>31</v>
      </c>
      <c r="B1094" s="48" t="s">
        <v>316</v>
      </c>
      <c r="C1094" s="51" t="s">
        <v>1099</v>
      </c>
      <c r="D1094" s="66">
        <f ca="1">SUM(F1094:I1094)+K1094</f>
        <v>18039.57</v>
      </c>
      <c r="F1094" s="60">
        <f ca="1">INDEX(INDIRECT($C1094),1,F$12+1)*$T1094</f>
        <v>0</v>
      </c>
      <c r="H1094" s="60">
        <f ca="1">INDEX(INDIRECT($C1094),1,H$12+1)*$T1094</f>
        <v>0</v>
      </c>
      <c r="I1094" s="60">
        <f ca="1">(L1094+M1094+N1094)</f>
        <v>18039.57</v>
      </c>
      <c r="L1094" s="60">
        <f ca="1">INDEX(INDIRECT($C1094),1,L$12+1)*$T1094</f>
        <v>0</v>
      </c>
      <c r="M1094" s="60"/>
      <c r="N1094" s="60">
        <f ca="1">SUM(O1094:Q1094)</f>
        <v>18039.57</v>
      </c>
      <c r="O1094" s="60">
        <f t="shared" ref="O1094:Q1096" ca="1" si="360">INDEX(INDIRECT($C1094),1,O$12+1)*$T1094</f>
        <v>5844.2308621858592</v>
      </c>
      <c r="P1094" s="60">
        <f t="shared" ca="1" si="360"/>
        <v>12195.33913781414</v>
      </c>
      <c r="Q1094" s="60">
        <f t="shared" ca="1" si="360"/>
        <v>0</v>
      </c>
      <c r="T1094" s="338">
        <v>18039.57</v>
      </c>
      <c r="U1094" s="50"/>
      <c r="V1094" s="50"/>
      <c r="W1094" s="50"/>
      <c r="X1094" s="92"/>
      <c r="Y1094" s="50"/>
      <c r="AE1094" s="34" t="s">
        <v>1295</v>
      </c>
      <c r="AF1094" s="34" t="s">
        <v>1296</v>
      </c>
      <c r="AG1094" s="335">
        <v>569430.12</v>
      </c>
    </row>
    <row r="1095" spans="1:33" x14ac:dyDescent="0.2">
      <c r="A1095" s="60">
        <v>32</v>
      </c>
      <c r="B1095" s="48" t="s">
        <v>317</v>
      </c>
      <c r="C1095" s="51" t="s">
        <v>1101</v>
      </c>
      <c r="D1095" s="66">
        <f ca="1">SUM(F1095:I1095)+K1095</f>
        <v>225118.29</v>
      </c>
      <c r="F1095" s="60">
        <f ca="1">INDEX(INDIRECT($C1095),1,F$12+1)*$T1095</f>
        <v>0</v>
      </c>
      <c r="H1095" s="60">
        <f ca="1">INDEX(INDIRECT($C1095),1,H$12+1)*$T1095</f>
        <v>225118.29</v>
      </c>
      <c r="I1095" s="60">
        <f ca="1">(L1095+M1095+N1095)</f>
        <v>0</v>
      </c>
      <c r="L1095" s="60">
        <f ca="1">INDEX(INDIRECT($C1095),1,L$12+1)*$T1095</f>
        <v>0</v>
      </c>
      <c r="M1095" s="60"/>
      <c r="N1095" s="60">
        <f ca="1">SUM(O1095:Q1095)</f>
        <v>0</v>
      </c>
      <c r="O1095" s="60">
        <f t="shared" ca="1" si="360"/>
        <v>0</v>
      </c>
      <c r="P1095" s="60">
        <f t="shared" ca="1" si="360"/>
        <v>0</v>
      </c>
      <c r="Q1095" s="60">
        <f t="shared" ca="1" si="360"/>
        <v>0</v>
      </c>
      <c r="T1095" s="338">
        <v>225118.29</v>
      </c>
      <c r="U1095" s="50"/>
      <c r="V1095" s="50"/>
      <c r="W1095" s="50"/>
      <c r="X1095" s="92"/>
      <c r="Y1095" s="154" t="s">
        <v>640</v>
      </c>
      <c r="Z1095" s="97" t="s">
        <v>641</v>
      </c>
      <c r="AA1095" s="97" t="s">
        <v>642</v>
      </c>
      <c r="AB1095" s="98" t="s">
        <v>643</v>
      </c>
      <c r="AC1095" s="98" t="s">
        <v>595</v>
      </c>
      <c r="AD1095" s="40" t="s">
        <v>739</v>
      </c>
      <c r="AE1095" s="34" t="s">
        <v>1297</v>
      </c>
      <c r="AF1095" s="34" t="s">
        <v>1298</v>
      </c>
      <c r="AG1095" s="335">
        <v>1912838.1600000001</v>
      </c>
    </row>
    <row r="1096" spans="1:33" x14ac:dyDescent="0.2">
      <c r="A1096" s="60">
        <v>33</v>
      </c>
      <c r="B1096" s="48" t="s">
        <v>318</v>
      </c>
      <c r="C1096" s="51" t="s">
        <v>683</v>
      </c>
      <c r="D1096" s="66">
        <f ca="1">SUM(F1096:I1096)+K1096</f>
        <v>463890.93999999994</v>
      </c>
      <c r="F1096" s="60">
        <f ca="1">INDEX(INDIRECT($C1096),1,F$12+1)*$T1096</f>
        <v>402456.41479973914</v>
      </c>
      <c r="H1096" s="60">
        <f ca="1">INDEX(INDIRECT($C1096),1,H$12+1)*$T1096</f>
        <v>21279.63304969337</v>
      </c>
      <c r="I1096" s="60">
        <f ca="1">(L1096+M1096+N1096)</f>
        <v>40154.89215056743</v>
      </c>
      <c r="L1096" s="60">
        <f ca="1">INDEX(INDIRECT($C1096),1,L$12+1)*$T1096</f>
        <v>2.2123505157083159</v>
      </c>
      <c r="M1096" s="60"/>
      <c r="N1096" s="60">
        <f ca="1">SUM(O1096:Q1096)</f>
        <v>40152.679800051723</v>
      </c>
      <c r="O1096" s="60">
        <f t="shared" ca="1" si="360"/>
        <v>13107.704264684922</v>
      </c>
      <c r="P1096" s="60">
        <f t="shared" ca="1" si="360"/>
        <v>27044.975535366801</v>
      </c>
      <c r="Q1096" s="60">
        <f t="shared" ca="1" si="360"/>
        <v>0</v>
      </c>
      <c r="T1096" s="85">
        <f>Y1096-AD1096</f>
        <v>463890.93999999994</v>
      </c>
      <c r="U1096" s="92">
        <v>928</v>
      </c>
      <c r="V1096" s="92"/>
      <c r="W1096" s="92">
        <f>VLOOKUP(U1096,'O&amp;M'!$B$3:$G$88,5,0)-AD1096</f>
        <v>463890.93999999971</v>
      </c>
      <c r="X1096" s="333">
        <f t="shared" ref="X1096" ca="1" si="361">D1096-T1096</f>
        <v>0</v>
      </c>
      <c r="Y1096" s="336">
        <v>1800750.59</v>
      </c>
      <c r="Z1096" s="336">
        <v>1093701.79</v>
      </c>
      <c r="AA1096" s="336">
        <v>225118.29</v>
      </c>
      <c r="AB1096" s="337">
        <v>0</v>
      </c>
      <c r="AC1096" s="337">
        <v>18039.57</v>
      </c>
      <c r="AD1096" s="40">
        <f>SUM(Z1096:AC1096)</f>
        <v>1336859.6500000001</v>
      </c>
      <c r="AE1096" s="422"/>
      <c r="AG1096" s="335"/>
    </row>
    <row r="1097" spans="1:33" x14ac:dyDescent="0.2">
      <c r="A1097" s="60">
        <v>34</v>
      </c>
      <c r="B1097" s="48" t="s">
        <v>319</v>
      </c>
      <c r="D1097" s="66">
        <f ca="1">SUM(F1097:I1097)+K1097</f>
        <v>1800750.59</v>
      </c>
      <c r="F1097" s="60">
        <f ca="1">SUM(F1093:F1096)</f>
        <v>1496158.2047997392</v>
      </c>
      <c r="H1097" s="60">
        <f ca="1">SUM(H1093:H1096)</f>
        <v>246397.92304969337</v>
      </c>
      <c r="I1097" s="60">
        <f ca="1">(L1097+M1097+N1097)</f>
        <v>58194.462150567429</v>
      </c>
      <c r="L1097" s="60">
        <f ca="1">SUM(L1093:L1096)</f>
        <v>2.2123505157083159</v>
      </c>
      <c r="M1097" s="60"/>
      <c r="N1097" s="60">
        <f ca="1">SUM(O1097:Q1097)</f>
        <v>58192.249800051723</v>
      </c>
      <c r="O1097" s="60">
        <f ca="1">SUM(O1093:O1096)</f>
        <v>18951.935126870783</v>
      </c>
      <c r="P1097" s="60">
        <f ca="1">SUM(P1093:P1096)</f>
        <v>39240.314673180939</v>
      </c>
      <c r="Q1097" s="60">
        <f ca="1">SUM(Q1093:Q1096)</f>
        <v>0</v>
      </c>
      <c r="T1097" s="58"/>
      <c r="U1097" s="50"/>
      <c r="V1097" s="50"/>
      <c r="W1097" s="85"/>
      <c r="Y1097" s="100" t="s">
        <v>1351</v>
      </c>
      <c r="Z1097" s="336">
        <f>38379.89*10+38380.01</f>
        <v>422178.91000000003</v>
      </c>
      <c r="AG1097" s="335"/>
    </row>
    <row r="1098" spans="1:33" x14ac:dyDescent="0.2">
      <c r="D1098" s="58"/>
      <c r="T1098" s="58"/>
      <c r="U1098" s="50"/>
      <c r="V1098" s="50"/>
      <c r="W1098" s="50"/>
      <c r="Y1098" s="100" t="s">
        <v>1352</v>
      </c>
      <c r="Z1098" s="336">
        <f>55960.24*12</f>
        <v>671522.88</v>
      </c>
      <c r="AE1098" s="34" t="s">
        <v>1299</v>
      </c>
      <c r="AF1098" s="34" t="s">
        <v>1300</v>
      </c>
      <c r="AG1098" s="335">
        <v>136801.62</v>
      </c>
    </row>
    <row r="1099" spans="1:33" x14ac:dyDescent="0.2">
      <c r="A1099" s="60">
        <v>35</v>
      </c>
      <c r="B1099" s="48" t="s">
        <v>320</v>
      </c>
      <c r="C1099" s="51" t="s">
        <v>1105</v>
      </c>
      <c r="D1099" s="66">
        <f ca="1">SUM(F1099:I1099)+K1099</f>
        <v>3751.98</v>
      </c>
      <c r="F1099" s="60">
        <f ca="1">INDEX(INDIRECT($C1099),1,F$12+1)*$T1099</f>
        <v>0</v>
      </c>
      <c r="H1099" s="60">
        <f ca="1">INDEX(INDIRECT($C1099),1,H$12+1)*$T1099</f>
        <v>3751.98</v>
      </c>
      <c r="I1099" s="60">
        <f ca="1">(L1099+M1099+N1099)</f>
        <v>0</v>
      </c>
      <c r="L1099" s="60">
        <f ca="1">INDEX(INDIRECT($C1099),1,L$12+1)*$T1099</f>
        <v>0</v>
      </c>
      <c r="M1099" s="60"/>
      <c r="N1099" s="60">
        <f ca="1">SUM(O1099:Q1099)</f>
        <v>0</v>
      </c>
      <c r="O1099" s="60">
        <f ca="1">INDEX(INDIRECT($C1099),1,O$12+1)*$T1099</f>
        <v>0</v>
      </c>
      <c r="P1099" s="60">
        <f ca="1">INDEX(INDIRECT($C1099),1,P$12+1)*$T1099</f>
        <v>0</v>
      </c>
      <c r="Q1099" s="60">
        <f ca="1">INDEX(INDIRECT($C1099),1,Q$12+1)*$T1099</f>
        <v>0</v>
      </c>
      <c r="T1099" s="338">
        <v>3751.98</v>
      </c>
      <c r="U1099" s="92">
        <v>927</v>
      </c>
      <c r="V1099" s="92"/>
      <c r="W1099" s="92">
        <f>VLOOKUP(U1099,'O&amp;M'!$B$3:$G$88,5,0)</f>
        <v>3751.98</v>
      </c>
      <c r="X1099" s="333">
        <f t="shared" ref="X1099" ca="1" si="362">D1099-T1099</f>
        <v>0</v>
      </c>
      <c r="Y1099" s="50"/>
      <c r="AE1099" s="34" t="s">
        <v>1301</v>
      </c>
      <c r="AF1099" s="34" t="s">
        <v>1302</v>
      </c>
      <c r="AG1099" s="335">
        <v>332930.16000000003</v>
      </c>
    </row>
    <row r="1100" spans="1:33" x14ac:dyDescent="0.2">
      <c r="U1100" s="50"/>
      <c r="V1100" s="50"/>
      <c r="W1100" s="99"/>
      <c r="Y1100" s="100"/>
      <c r="AG1100" s="335"/>
    </row>
    <row r="1101" spans="1:33" x14ac:dyDescent="0.2">
      <c r="A1101" s="60">
        <v>36</v>
      </c>
      <c r="B1101" s="48" t="s">
        <v>1303</v>
      </c>
      <c r="C1101" s="51" t="s">
        <v>686</v>
      </c>
      <c r="D1101" s="66">
        <f ca="1">SUM(F1101:I1101)+K1101</f>
        <v>1396664.09</v>
      </c>
      <c r="F1101" s="60">
        <f ca="1">INDEX(INDIRECT($C1101),1,F$12+1)*$T1101</f>
        <v>1326517.9832373534</v>
      </c>
      <c r="H1101" s="60">
        <f ca="1">INDEX(INDIRECT($C1101),1,H$12+1)*$T1101</f>
        <v>70138.814736388886</v>
      </c>
      <c r="I1101" s="60">
        <f ca="1">(L1101+M1101+N1101)</f>
        <v>7.2920262577298507</v>
      </c>
      <c r="L1101" s="60">
        <f ca="1">INDEX(INDIRECT($C1101),1,L$12+1)*$T1101</f>
        <v>7.2920262577298507</v>
      </c>
      <c r="M1101" s="60"/>
      <c r="N1101" s="60">
        <f ca="1">SUM(O1101:Q1101)</f>
        <v>0</v>
      </c>
      <c r="O1101" s="60">
        <f ca="1">INDEX(INDIRECT($C1101),1,O$12+1)*$T1101</f>
        <v>0</v>
      </c>
      <c r="P1101" s="60">
        <f ca="1">INDEX(INDIRECT($C1101),1,P$12+1)*$T1101</f>
        <v>0</v>
      </c>
      <c r="Q1101" s="60">
        <f ca="1">INDEX(INDIRECT($C1101),1,Q$12+1)*$T1101</f>
        <v>0</v>
      </c>
      <c r="T1101" s="85">
        <f>Z1087+AA1087</f>
        <v>1396664.09</v>
      </c>
      <c r="U1101" s="101"/>
      <c r="V1101" s="92"/>
      <c r="W1101" s="92"/>
      <c r="X1101" s="333">
        <f t="shared" ref="X1101" ca="1" si="363">D1101-T1101</f>
        <v>0</v>
      </c>
      <c r="Y1101" s="50"/>
    </row>
    <row r="1102" spans="1:33" x14ac:dyDescent="0.2">
      <c r="C1102" s="58"/>
      <c r="V1102" s="50"/>
      <c r="W1102" s="50"/>
    </row>
    <row r="1103" spans="1:33" x14ac:dyDescent="0.2">
      <c r="A1103" s="60">
        <v>37</v>
      </c>
      <c r="B1103" s="48" t="s">
        <v>321</v>
      </c>
      <c r="C1103" s="58"/>
      <c r="D1103" s="66">
        <f ca="1">SUM(F1103:I1103)+K1103</f>
        <v>103626522.50999999</v>
      </c>
      <c r="F1103" s="60">
        <f ca="1">F1073+F1090+F1097+F1099+F1101</f>
        <v>93031575.562712044</v>
      </c>
      <c r="H1103" s="60">
        <f ca="1">H1073+H1090+H1097+H1099+H1101</f>
        <v>5878223.4390048729</v>
      </c>
      <c r="I1103" s="60">
        <f ca="1">(L1103+M1103+N1103)</f>
        <v>4716723.5082830722</v>
      </c>
      <c r="L1103" s="60">
        <f ca="1">L1073+L1090+L1097+L1099+L1101</f>
        <v>3118.0683717124462</v>
      </c>
      <c r="M1103" s="60"/>
      <c r="N1103" s="60">
        <f ca="1">SUM(O1103:Q1103)</f>
        <v>4713605.4399113599</v>
      </c>
      <c r="O1103" s="60">
        <f ca="1">O1073+O1090+O1097+O1099+O1101</f>
        <v>1529124.9274605478</v>
      </c>
      <c r="P1103" s="60">
        <f ca="1">P1073+P1090+P1097+P1099+P1101</f>
        <v>3184480.5124508124</v>
      </c>
      <c r="Q1103" s="60">
        <f ca="1">Q1073+Q1090+Q1097+Q1099+Q1101</f>
        <v>4.8918820642177681E-12</v>
      </c>
      <c r="U1103" s="50"/>
      <c r="V1103" s="50"/>
      <c r="W1103" s="88" t="s">
        <v>462</v>
      </c>
      <c r="X1103" s="89" t="s">
        <v>464</v>
      </c>
      <c r="Y1103" s="89" t="s">
        <v>465</v>
      </c>
      <c r="Z1103" s="89" t="s">
        <v>466</v>
      </c>
      <c r="AE1103" s="100" t="s">
        <v>1301</v>
      </c>
      <c r="AF1103" s="34" t="s">
        <v>1346</v>
      </c>
      <c r="AG1103" s="335">
        <f>8536.67*12</f>
        <v>102440.04000000001</v>
      </c>
    </row>
    <row r="1104" spans="1:33" x14ac:dyDescent="0.2">
      <c r="C1104" s="58"/>
      <c r="D1104" s="58"/>
      <c r="V1104" s="50"/>
      <c r="W1104" s="336">
        <v>516817356.17000002</v>
      </c>
      <c r="X1104" s="339">
        <v>103829269.81</v>
      </c>
      <c r="Y1104" s="339">
        <v>234009083.63999999</v>
      </c>
      <c r="Z1104" s="339">
        <v>126205679.78</v>
      </c>
      <c r="AA1104" s="40">
        <f>SUM(W1104:Z1104)</f>
        <v>980861389.39999998</v>
      </c>
      <c r="AB1104" s="331">
        <f ca="1">D1105-AA1104</f>
        <v>0</v>
      </c>
      <c r="AE1104" s="100" t="s">
        <v>1301</v>
      </c>
      <c r="AF1104" s="100" t="s">
        <v>1347</v>
      </c>
      <c r="AG1104" s="335">
        <f>19207.51*12</f>
        <v>230490.12</v>
      </c>
    </row>
    <row r="1105" spans="1:25" x14ac:dyDescent="0.2">
      <c r="A1105" s="60">
        <v>38</v>
      </c>
      <c r="B1105" s="48" t="s">
        <v>322</v>
      </c>
      <c r="C1105" s="58"/>
      <c r="D1105" s="66">
        <f ca="1">SUM(F1105:I1105)+K1105</f>
        <v>980861389.39999998</v>
      </c>
      <c r="F1105" s="60">
        <f ca="1">F994+F1017+F1042+F1053+F1060+F1067+F1103</f>
        <v>858787982.80655313</v>
      </c>
      <c r="H1105" s="60">
        <f ca="1">H994+H1017+H1042+H1053+H1060+H1067+H1103</f>
        <v>49298743.593609117</v>
      </c>
      <c r="I1105" s="60">
        <f ca="1">(L1105+M1105+N1105)</f>
        <v>72774662.999837756</v>
      </c>
      <c r="L1105" s="60">
        <f ca="1">L994+L1017+L1042+L1053+L1060+L1067+L1103</f>
        <v>14249.990768725833</v>
      </c>
      <c r="M1105" s="60"/>
      <c r="N1105" s="60">
        <f ca="1">SUM(O1105:Q1105)</f>
        <v>72760413.009069026</v>
      </c>
      <c r="O1105" s="60">
        <f ca="1">O994+O1017+O1042+O1053+O1060+O1067+O1103</f>
        <v>23657671.477011081</v>
      </c>
      <c r="P1105" s="60">
        <f ca="1">P994+P1017+P1042+P1053+P1060+P1067+P1103</f>
        <v>49102741.532057948</v>
      </c>
      <c r="Q1105" s="60">
        <f ca="1">Q994+Q1017+Q1042+Q1053+Q1060+Q1067+Q1103</f>
        <v>4.8918820642177681E-12</v>
      </c>
      <c r="T1105" s="58"/>
      <c r="V1105" s="50"/>
      <c r="W1105" s="85"/>
    </row>
    <row r="1106" spans="1:25" x14ac:dyDescent="0.2">
      <c r="B1106" s="33" t="s">
        <v>736</v>
      </c>
      <c r="C1106" s="58"/>
      <c r="D1106" s="33">
        <f ca="1">SUM(D945,D962,D977,D989,D991,D992,D1008,D1030,D1053,D1060,D1067,D1103,-D1089)</f>
        <v>854655709.62000024</v>
      </c>
      <c r="F1106" s="33">
        <f ca="1">SUM(F945,F962,F977,F989,F991,F992,F1008,F1030,F1053,F1060,F1067,F1103,-F1089)</f>
        <v>747989581.82507372</v>
      </c>
      <c r="H1106" s="33">
        <f ca="1">SUM(H945,H962,H977,H989,H991,H992,H1008,H1030,H1053,H1060,H1067,H1103,-H1089)</f>
        <v>41842938.368849389</v>
      </c>
      <c r="L1106" s="33">
        <f ca="1">SUM(L945,L962,L977,L989,L991,L992,L1008,L1030,L1053,L1060,L1067,L1103,-L1089)</f>
        <v>8847.6894795374883</v>
      </c>
      <c r="N1106" s="33">
        <f ca="1">SUM(N945,N962,N977,N989,N991,N992,N1008,N1030,N1053,N1060,N1067,N1103,-N1089)</f>
        <v>64814341.736597374</v>
      </c>
      <c r="T1106" s="58"/>
      <c r="W1106" s="50"/>
    </row>
    <row r="1107" spans="1:25" x14ac:dyDescent="0.2">
      <c r="B1107" s="33" t="s">
        <v>759</v>
      </c>
      <c r="C1107" s="58"/>
      <c r="D1107" s="33">
        <f ca="1">SUM(D951,D968,D982,D1015,D1040,D1089)</f>
        <v>126205679.77999997</v>
      </c>
      <c r="F1107" s="33">
        <f ca="1">SUM(F951,F968,F982,F1015,F1040,F1089)</f>
        <v>110798400.98147942</v>
      </c>
      <c r="H1107" s="33">
        <f ca="1">SUM(H951,H968,H982,H1015,H1040,H1089)</f>
        <v>7455805.2247597361</v>
      </c>
      <c r="L1107" s="33">
        <f ca="1">SUM(L951,L968,L982,L1015,L1040,L1089)</f>
        <v>5402.3012891883454</v>
      </c>
      <c r="N1107" s="33">
        <f ca="1">SUM(N951,N968,N982,N1015,N1040,N1089)</f>
        <v>7946071.2724716505</v>
      </c>
      <c r="T1107" s="58"/>
      <c r="W1107" s="50"/>
    </row>
    <row r="1108" spans="1:25" x14ac:dyDescent="0.2">
      <c r="B1108" s="33" t="s">
        <v>971</v>
      </c>
      <c r="C1108" s="58"/>
      <c r="D1108" s="33">
        <f ca="1">D1106-D989-D974-D939</f>
        <v>234009083.64000016</v>
      </c>
      <c r="F1108" s="33">
        <f ca="1">F1106-F989-F974-F939</f>
        <v>209555260.56796455</v>
      </c>
      <c r="H1108" s="33">
        <f ca="1">H1106-H989-H974-H939</f>
        <v>13329324.485836126</v>
      </c>
      <c r="L1108" s="33">
        <f ca="1">L1106-L989-L974-L939</f>
        <v>5862.5739644883333</v>
      </c>
      <c r="N1108" s="33">
        <f ca="1">N1106-N989-N974-N939</f>
        <v>11118636.012234889</v>
      </c>
      <c r="T1108" s="58"/>
      <c r="W1108" s="50"/>
    </row>
    <row r="1109" spans="1:25" x14ac:dyDescent="0.2">
      <c r="B1109" s="64" t="s">
        <v>323</v>
      </c>
      <c r="C1109" s="58"/>
      <c r="T1109" s="58"/>
      <c r="W1109" s="50"/>
    </row>
    <row r="1110" spans="1:25" x14ac:dyDescent="0.2">
      <c r="C1110" s="58"/>
      <c r="T1110" s="58"/>
      <c r="W1110" s="50"/>
    </row>
    <row r="1111" spans="1:25" x14ac:dyDescent="0.2">
      <c r="B1111" s="48" t="s">
        <v>324</v>
      </c>
      <c r="C1111" s="58"/>
      <c r="D1111" s="102"/>
      <c r="T1111" s="58"/>
      <c r="W1111" s="50"/>
    </row>
    <row r="1112" spans="1:25" x14ac:dyDescent="0.2">
      <c r="C1112" s="58"/>
      <c r="D1112" s="102"/>
      <c r="T1112" s="103"/>
      <c r="W1112" s="50"/>
    </row>
    <row r="1113" spans="1:25" x14ac:dyDescent="0.2">
      <c r="B1113" s="48" t="s">
        <v>110</v>
      </c>
      <c r="T1113" s="58"/>
      <c r="V1113" s="34" t="s">
        <v>463</v>
      </c>
      <c r="W1113" s="50"/>
    </row>
    <row r="1114" spans="1:25" x14ac:dyDescent="0.2">
      <c r="B1114" s="48" t="s">
        <v>111</v>
      </c>
      <c r="T1114" s="58"/>
      <c r="V1114" s="156" t="s">
        <v>1522</v>
      </c>
      <c r="W1114" s="50"/>
    </row>
    <row r="1115" spans="1:25" x14ac:dyDescent="0.2">
      <c r="A1115" s="60">
        <v>1</v>
      </c>
      <c r="B1115" s="48" t="s">
        <v>112</v>
      </c>
      <c r="C1115" s="51" t="s">
        <v>732</v>
      </c>
      <c r="D1115" s="66">
        <f ca="1">SUM(F1115:I1115)+K1115</f>
        <v>113654364.03</v>
      </c>
      <c r="F1115" s="60">
        <f ca="1">INDEX(INDIRECT($C1115),1,F$12+1)*$T1115</f>
        <v>98366735.202722415</v>
      </c>
      <c r="H1115" s="60">
        <f ca="1">INDEX(INDIRECT($C1115),1,H$12+1)*$T1115</f>
        <v>5776786.3598219603</v>
      </c>
      <c r="I1115" s="60">
        <f ca="1">(L1115+M1115+N1115)</f>
        <v>9510842.4674556181</v>
      </c>
      <c r="L1115" s="60">
        <f ca="1">INDEX(INDIRECT($C1115),1,L$12+1)*$T1115</f>
        <v>869.73597708852162</v>
      </c>
      <c r="M1115" s="60"/>
      <c r="N1115" s="60">
        <f ca="1">SUM(O1115:Q1115)</f>
        <v>9509972.7314785291</v>
      </c>
      <c r="O1115" s="60">
        <f t="shared" ref="O1115:Q1117" ca="1" si="364">INDEX(INDIRECT($C1115),1,O$12+1)*$T1115</f>
        <v>2967352.7818309446</v>
      </c>
      <c r="P1115" s="60">
        <f t="shared" ca="1" si="364"/>
        <v>6542619.9496475849</v>
      </c>
      <c r="Q1115" s="60">
        <f t="shared" ca="1" si="364"/>
        <v>0</v>
      </c>
      <c r="T1115" s="85">
        <f>T1118-T1116-T1117</f>
        <v>113654364.03</v>
      </c>
      <c r="U1115" s="50"/>
      <c r="W1115" s="50"/>
      <c r="X1115" s="50"/>
      <c r="Y1115" s="50"/>
    </row>
    <row r="1116" spans="1:25" x14ac:dyDescent="0.2">
      <c r="A1116" s="60">
        <v>2</v>
      </c>
      <c r="B1116" s="48" t="s">
        <v>113</v>
      </c>
      <c r="C1116" s="51" t="s">
        <v>616</v>
      </c>
      <c r="D1116" s="66">
        <f ca="1">SUM(F1116:I1116)+K1116</f>
        <v>422037.5</v>
      </c>
      <c r="F1116" s="60">
        <f ca="1">INDEX(INDIRECT($C1116),1,F$12+1)*$T1116</f>
        <v>0</v>
      </c>
      <c r="H1116" s="60">
        <f ca="1">INDEX(INDIRECT($C1116),1,H$12+1)*$T1116</f>
        <v>159485.76534582849</v>
      </c>
      <c r="I1116" s="60">
        <f ca="1">(L1116+M1116+N1116)</f>
        <v>262551.73465417151</v>
      </c>
      <c r="L1116" s="60">
        <f ca="1">INDEX(INDIRECT($C1116),1,L$12+1)*$T1116</f>
        <v>0</v>
      </c>
      <c r="M1116" s="60"/>
      <c r="N1116" s="60">
        <f ca="1">SUM(O1116:Q1116)</f>
        <v>262551.73465417151</v>
      </c>
      <c r="O1116" s="60">
        <f t="shared" ca="1" si="364"/>
        <v>81922.802745983339</v>
      </c>
      <c r="P1116" s="60">
        <f t="shared" ca="1" si="364"/>
        <v>180628.93190818815</v>
      </c>
      <c r="Q1116" s="60">
        <f t="shared" ca="1" si="364"/>
        <v>0</v>
      </c>
      <c r="T1116" s="293">
        <f>'AFUDC Depr AccDepr'!F30</f>
        <v>422037.5</v>
      </c>
      <c r="U1116" s="50"/>
      <c r="V1116" s="50" t="s">
        <v>448</v>
      </c>
      <c r="W1116" s="50"/>
      <c r="X1116" s="50"/>
      <c r="Y1116" s="50"/>
    </row>
    <row r="1117" spans="1:25" x14ac:dyDescent="0.2">
      <c r="A1117" s="60">
        <v>3</v>
      </c>
      <c r="B1117" s="48" t="s">
        <v>114</v>
      </c>
      <c r="C1117" s="51" t="s">
        <v>622</v>
      </c>
      <c r="D1117" s="66">
        <f ca="1">SUM(F1117:I1117)+K1117</f>
        <v>755124</v>
      </c>
      <c r="F1117" s="60">
        <f ca="1">INDEX(INDIRECT($C1117),1,F$12+1)*$T1117</f>
        <v>0</v>
      </c>
      <c r="H1117" s="60">
        <f ca="1">INDEX(INDIRECT($C1117),1,H$12+1)*$T1117</f>
        <v>0</v>
      </c>
      <c r="I1117" s="60">
        <f ca="1">(L1117+M1117+N1117)</f>
        <v>755124</v>
      </c>
      <c r="L1117" s="60">
        <f ca="1">INDEX(INDIRECT($C1117),1,L$12+1)*$T1117</f>
        <v>0</v>
      </c>
      <c r="M1117" s="60"/>
      <c r="N1117" s="60">
        <f ca="1">SUM(O1117:Q1117)</f>
        <v>755124</v>
      </c>
      <c r="O1117" s="60">
        <f t="shared" ca="1" si="364"/>
        <v>235617.84721110787</v>
      </c>
      <c r="P1117" s="60">
        <f t="shared" ca="1" si="364"/>
        <v>519506.1527888921</v>
      </c>
      <c r="Q1117" s="60">
        <f t="shared" ca="1" si="364"/>
        <v>0</v>
      </c>
      <c r="T1117" s="293">
        <f>'AFUDC Depr AccDepr'!G30</f>
        <v>755124</v>
      </c>
      <c r="U1117" s="50"/>
      <c r="V1117" s="50" t="s">
        <v>448</v>
      </c>
      <c r="W1117" s="50"/>
      <c r="Y1117" s="50"/>
    </row>
    <row r="1118" spans="1:25" x14ac:dyDescent="0.2">
      <c r="A1118" s="60">
        <v>4</v>
      </c>
      <c r="B1118" s="48" t="s">
        <v>115</v>
      </c>
      <c r="D1118" s="66">
        <f ca="1">SUM(F1118:I1118)+K1118</f>
        <v>114831525.53</v>
      </c>
      <c r="F1118" s="60">
        <f ca="1">SUM(F1115:F1117)</f>
        <v>98366735.202722415</v>
      </c>
      <c r="H1118" s="60">
        <f ca="1">SUM(H1115:H1117)</f>
        <v>5936272.1251677889</v>
      </c>
      <c r="I1118" s="60">
        <f ca="1">(L1118+M1118+N1118)</f>
        <v>10528518.202109791</v>
      </c>
      <c r="L1118" s="60">
        <f ca="1">SUM(L1115:L1117)</f>
        <v>869.73597708852162</v>
      </c>
      <c r="M1118" s="60"/>
      <c r="N1118" s="60">
        <f ca="1">SUM(O1118:Q1118)</f>
        <v>10527648.466132702</v>
      </c>
      <c r="O1118" s="60">
        <f ca="1">SUM(O1115:O1117)</f>
        <v>3284893.4317880361</v>
      </c>
      <c r="P1118" s="60">
        <f ca="1">SUM(P1115:P1117)</f>
        <v>7242755.0343446657</v>
      </c>
      <c r="Q1118" s="60">
        <f ca="1">SUM(Q1115:Q1117)</f>
        <v>0</v>
      </c>
      <c r="T1118" s="340">
        <v>114831525.53</v>
      </c>
      <c r="V1118" s="100" t="s">
        <v>449</v>
      </c>
      <c r="W1118" s="50"/>
    </row>
    <row r="1119" spans="1:25" x14ac:dyDescent="0.2">
      <c r="A1119" s="60"/>
      <c r="B1119" s="48"/>
      <c r="D1119" s="66"/>
      <c r="F1119" s="60"/>
      <c r="H1119" s="60"/>
      <c r="I1119" s="60"/>
      <c r="L1119" s="60"/>
      <c r="M1119" s="60"/>
      <c r="N1119" s="60"/>
      <c r="O1119" s="60"/>
      <c r="P1119" s="60"/>
      <c r="Q1119" s="60"/>
      <c r="T1119" s="34"/>
      <c r="V1119" s="100"/>
      <c r="W1119" s="50"/>
    </row>
    <row r="1120" spans="1:25" x14ac:dyDescent="0.2">
      <c r="B1120" s="48" t="s">
        <v>116</v>
      </c>
      <c r="T1120" s="34"/>
      <c r="W1120" s="50"/>
    </row>
    <row r="1121" spans="1:27" x14ac:dyDescent="0.2">
      <c r="A1121" s="60">
        <v>5</v>
      </c>
      <c r="B1121" s="48" t="s">
        <v>112</v>
      </c>
      <c r="C1121" s="51" t="s">
        <v>1027</v>
      </c>
      <c r="D1121" s="66">
        <f ca="1">SUM(F1121:I1121)+K1121</f>
        <v>150127.51</v>
      </c>
      <c r="F1121" s="60">
        <f ca="1">INDEX(INDIRECT($C1121),1,F$12+1)*$T1121</f>
        <v>129933.88462334844</v>
      </c>
      <c r="H1121" s="60">
        <f ca="1">INDEX(INDIRECT($C1121),1,H$12+1)*$T1121</f>
        <v>7630.6313391812746</v>
      </c>
      <c r="I1121" s="60">
        <f ca="1">(L1121+M1121+N1121)</f>
        <v>12562.994037470293</v>
      </c>
      <c r="L1121" s="60">
        <f ca="1">INDEX(INDIRECT($C1121),1,L$12+1)*$T1121</f>
        <v>1.1488454289643595</v>
      </c>
      <c r="M1121" s="60"/>
      <c r="N1121" s="60">
        <f ca="1">SUM(O1121:Q1121)</f>
        <v>12561.845192041328</v>
      </c>
      <c r="O1121" s="60">
        <f t="shared" ref="O1121:Q1123" ca="1" si="365">INDEX(INDIRECT($C1121),1,O$12+1)*$T1121</f>
        <v>3919.6144224630443</v>
      </c>
      <c r="P1121" s="60">
        <f t="shared" ca="1" si="365"/>
        <v>8642.2307695782838</v>
      </c>
      <c r="Q1121" s="60">
        <f t="shared" ca="1" si="365"/>
        <v>0</v>
      </c>
      <c r="T1121" s="85">
        <f>T1124-T1122-T1123</f>
        <v>150127.51</v>
      </c>
      <c r="U1121" s="50"/>
      <c r="V1121" s="50"/>
      <c r="W1121" s="50"/>
      <c r="X1121" s="50"/>
    </row>
    <row r="1122" spans="1:27" x14ac:dyDescent="0.2">
      <c r="A1122" s="60">
        <v>6</v>
      </c>
      <c r="B1122" s="48" t="s">
        <v>113</v>
      </c>
      <c r="C1122" s="51" t="s">
        <v>616</v>
      </c>
      <c r="D1122" s="66">
        <f ca="1">SUM(F1122:I1122)+K1122</f>
        <v>6</v>
      </c>
      <c r="F1122" s="60">
        <f ca="1">INDEX(INDIRECT($C1122),1,F$12+1)*$T1122</f>
        <v>0</v>
      </c>
      <c r="H1122" s="60">
        <f ca="1">INDEX(INDIRECT($C1122),1,H$12+1)*$T1122</f>
        <v>2.2673686392203796</v>
      </c>
      <c r="I1122" s="60">
        <f ca="1">(L1122+M1122+N1122)</f>
        <v>3.73263136077962</v>
      </c>
      <c r="L1122" s="60">
        <f ca="1">INDEX(INDIRECT($C1122),1,L$12+1)*$T1122</f>
        <v>0</v>
      </c>
      <c r="M1122" s="60"/>
      <c r="N1122" s="60">
        <f ca="1">SUM(O1122:Q1122)</f>
        <v>3.73263136077962</v>
      </c>
      <c r="O1122" s="60">
        <f t="shared" ca="1" si="365"/>
        <v>1.1646756898993573</v>
      </c>
      <c r="P1122" s="60">
        <f t="shared" ca="1" si="365"/>
        <v>2.5679556708802629</v>
      </c>
      <c r="Q1122" s="60">
        <f t="shared" ca="1" si="365"/>
        <v>0</v>
      </c>
      <c r="T1122" s="293">
        <f>'AFUDC Depr AccDepr'!F34</f>
        <v>6</v>
      </c>
      <c r="U1122" s="50"/>
      <c r="V1122" s="50" t="s">
        <v>448</v>
      </c>
      <c r="W1122" s="50"/>
      <c r="X1122" s="50"/>
      <c r="Y1122" s="50"/>
    </row>
    <row r="1123" spans="1:27" x14ac:dyDescent="0.2">
      <c r="A1123" s="60">
        <v>7</v>
      </c>
      <c r="B1123" s="48" t="s">
        <v>114</v>
      </c>
      <c r="C1123" s="51" t="s">
        <v>622</v>
      </c>
      <c r="D1123" s="66">
        <f ca="1">SUM(F1123:I1123)+K1123</f>
        <v>413.99999999999994</v>
      </c>
      <c r="F1123" s="60">
        <f ca="1">INDEX(INDIRECT($C1123),1,F$12+1)*$T1123</f>
        <v>0</v>
      </c>
      <c r="H1123" s="60">
        <f ca="1">INDEX(INDIRECT($C1123),1,H$12+1)*$T1123</f>
        <v>0</v>
      </c>
      <c r="I1123" s="60">
        <f ca="1">(L1123+M1123+N1123)</f>
        <v>413.99999999999994</v>
      </c>
      <c r="L1123" s="60">
        <f ca="1">INDEX(INDIRECT($C1123),1,L$12+1)*$T1123</f>
        <v>0</v>
      </c>
      <c r="M1123" s="60"/>
      <c r="N1123" s="60">
        <f ca="1">SUM(O1123:Q1123)</f>
        <v>413.99999999999994</v>
      </c>
      <c r="O1123" s="60">
        <f t="shared" ca="1" si="365"/>
        <v>129.17850412038109</v>
      </c>
      <c r="P1123" s="60">
        <f t="shared" ca="1" si="365"/>
        <v>284.82149587961885</v>
      </c>
      <c r="Q1123" s="60">
        <f t="shared" ca="1" si="365"/>
        <v>0</v>
      </c>
      <c r="T1123" s="293">
        <f>'AFUDC Depr AccDepr'!G34</f>
        <v>414</v>
      </c>
      <c r="U1123" s="50"/>
      <c r="V1123" s="50" t="s">
        <v>448</v>
      </c>
      <c r="W1123" s="50"/>
    </row>
    <row r="1124" spans="1:27" x14ac:dyDescent="0.2">
      <c r="A1124" s="60">
        <v>8</v>
      </c>
      <c r="B1124" s="48" t="s">
        <v>117</v>
      </c>
      <c r="D1124" s="66">
        <f ca="1">SUM(F1124:I1124)+K1124</f>
        <v>150547.51</v>
      </c>
      <c r="F1124" s="60">
        <f ca="1">SUM(F1121:F1123)</f>
        <v>129933.88462334844</v>
      </c>
      <c r="H1124" s="60">
        <f ca="1">SUM(H1121:H1123)</f>
        <v>7632.8987078204946</v>
      </c>
      <c r="I1124" s="60">
        <f ca="1">(L1124+M1124+N1124)</f>
        <v>12980.726668831072</v>
      </c>
      <c r="L1124" s="60">
        <f ca="1">SUM(L1121:L1123)</f>
        <v>1.1488454289643595</v>
      </c>
      <c r="M1124" s="60"/>
      <c r="N1124" s="60">
        <f ca="1">SUM(O1124:Q1124)</f>
        <v>12979.577823402107</v>
      </c>
      <c r="O1124" s="60">
        <f ca="1">SUM(O1121:O1123)</f>
        <v>4049.9576022733249</v>
      </c>
      <c r="P1124" s="60">
        <f ca="1">SUM(P1121:P1123)</f>
        <v>8929.6202211287818</v>
      </c>
      <c r="Q1124" s="60">
        <f ca="1">SUM(Q1121:Q1123)</f>
        <v>0</v>
      </c>
      <c r="T1124" s="340">
        <v>150547.51</v>
      </c>
      <c r="V1124" s="100" t="s">
        <v>449</v>
      </c>
      <c r="W1124" s="50"/>
    </row>
    <row r="1125" spans="1:27" x14ac:dyDescent="0.2">
      <c r="A1125" s="60"/>
      <c r="B1125" s="48"/>
      <c r="D1125" s="66"/>
      <c r="F1125" s="60"/>
      <c r="H1125" s="60"/>
      <c r="I1125" s="60"/>
      <c r="L1125" s="60"/>
      <c r="M1125" s="60"/>
      <c r="N1125" s="60"/>
      <c r="O1125" s="60"/>
      <c r="P1125" s="60"/>
      <c r="Q1125" s="60"/>
      <c r="T1125" s="34"/>
      <c r="V1125" s="100"/>
      <c r="W1125" s="50"/>
    </row>
    <row r="1126" spans="1:27" x14ac:dyDescent="0.2">
      <c r="B1126" s="48" t="s">
        <v>118</v>
      </c>
      <c r="T1126" s="34"/>
      <c r="W1126" s="50"/>
    </row>
    <row r="1127" spans="1:27" x14ac:dyDescent="0.2">
      <c r="A1127" s="60">
        <v>9</v>
      </c>
      <c r="B1127" s="48" t="s">
        <v>112</v>
      </c>
      <c r="C1127" s="51" t="s">
        <v>1029</v>
      </c>
      <c r="D1127" s="66">
        <f ca="1">SUM(F1127:I1127)+K1127</f>
        <v>17257381.289999999</v>
      </c>
      <c r="F1127" s="60">
        <f ca="1">INDEX(INDIRECT($C1127),1,F$12+1)*$T1127</f>
        <v>14936093.920667784</v>
      </c>
      <c r="H1127" s="60">
        <f ca="1">INDEX(INDIRECT($C1127),1,H$12+1)*$T1127</f>
        <v>877152.45862450229</v>
      </c>
      <c r="I1127" s="60">
        <f ca="1">(L1127+M1127+N1127)</f>
        <v>1444134.9107077138</v>
      </c>
      <c r="L1127" s="60">
        <f ca="1">INDEX(INDIRECT($C1127),1,L$12+1)*$T1127</f>
        <v>132.0614963300967</v>
      </c>
      <c r="M1127" s="60"/>
      <c r="N1127" s="60">
        <f ca="1">SUM(O1127:Q1127)</f>
        <v>1444002.8492113836</v>
      </c>
      <c r="O1127" s="60">
        <f t="shared" ref="O1127:Q1129" ca="1" si="366">INDEX(INDIRECT($C1127),1,O$12+1)*$T1127</f>
        <v>450565.52658621926</v>
      </c>
      <c r="P1127" s="60">
        <f t="shared" ca="1" si="366"/>
        <v>993437.32262516429</v>
      </c>
      <c r="Q1127" s="60">
        <f t="shared" ca="1" si="366"/>
        <v>0</v>
      </c>
      <c r="T1127" s="85">
        <f>T1130-T1128-T1129</f>
        <v>17257381.289999999</v>
      </c>
      <c r="U1127" s="50"/>
      <c r="V1127" s="50"/>
      <c r="W1127" s="50"/>
      <c r="X1127" s="50"/>
      <c r="Y1127" s="50"/>
    </row>
    <row r="1128" spans="1:27" x14ac:dyDescent="0.2">
      <c r="A1128" s="60">
        <v>10</v>
      </c>
      <c r="B1128" s="48" t="s">
        <v>113</v>
      </c>
      <c r="C1128" s="51" t="s">
        <v>616</v>
      </c>
      <c r="D1128" s="66">
        <f ca="1">SUM(F1128:I1128)+K1128</f>
        <v>59</v>
      </c>
      <c r="F1128" s="60">
        <f ca="1">INDEX(INDIRECT($C1128),1,F$12+1)*$T1128</f>
        <v>0</v>
      </c>
      <c r="H1128" s="60">
        <f ca="1">INDEX(INDIRECT($C1128),1,H$12+1)*$T1128</f>
        <v>22.295791619000401</v>
      </c>
      <c r="I1128" s="60">
        <f ca="1">(L1128+M1128+N1128)</f>
        <v>36.704208380999603</v>
      </c>
      <c r="L1128" s="60">
        <f ca="1">INDEX(INDIRECT($C1128),1,L$12+1)*$T1128</f>
        <v>0</v>
      </c>
      <c r="M1128" s="60"/>
      <c r="N1128" s="60">
        <f ca="1">SUM(O1128:Q1128)</f>
        <v>36.704208380999603</v>
      </c>
      <c r="O1128" s="60">
        <f t="shared" ca="1" si="366"/>
        <v>11.452644284010347</v>
      </c>
      <c r="P1128" s="60">
        <f t="shared" ca="1" si="366"/>
        <v>25.251564096989252</v>
      </c>
      <c r="Q1128" s="60">
        <f t="shared" ca="1" si="366"/>
        <v>0</v>
      </c>
      <c r="T1128" s="293">
        <f>'AFUDC Depr AccDepr'!F49</f>
        <v>59</v>
      </c>
      <c r="U1128" s="50"/>
      <c r="V1128" s="50" t="s">
        <v>448</v>
      </c>
      <c r="W1128" s="50"/>
      <c r="X1128" s="50"/>
      <c r="Y1128" s="50"/>
    </row>
    <row r="1129" spans="1:27" x14ac:dyDescent="0.2">
      <c r="A1129" s="60">
        <v>11</v>
      </c>
      <c r="B1129" s="48" t="s">
        <v>114</v>
      </c>
      <c r="C1129" s="51" t="s">
        <v>622</v>
      </c>
      <c r="D1129" s="66">
        <f ca="1">SUM(F1129:I1129)+K1129</f>
        <v>69979</v>
      </c>
      <c r="F1129" s="60">
        <f ca="1">INDEX(INDIRECT($C1129),1,F$12+1)*$T1129</f>
        <v>0</v>
      </c>
      <c r="H1129" s="60">
        <f ca="1">INDEX(INDIRECT($C1129),1,H$12+1)*$T1129</f>
        <v>0</v>
      </c>
      <c r="I1129" s="60">
        <f ca="1">(L1129+M1129+N1129)</f>
        <v>69979</v>
      </c>
      <c r="L1129" s="60">
        <f ca="1">INDEX(INDIRECT($C1129),1,L$12+1)*$T1129</f>
        <v>0</v>
      </c>
      <c r="M1129" s="60"/>
      <c r="N1129" s="60">
        <f ca="1">SUM(O1129:Q1129)</f>
        <v>69979</v>
      </c>
      <c r="O1129" s="60">
        <f t="shared" ca="1" si="366"/>
        <v>21835.223526183934</v>
      </c>
      <c r="P1129" s="60">
        <f t="shared" ca="1" si="366"/>
        <v>48143.776473816062</v>
      </c>
      <c r="Q1129" s="60">
        <f t="shared" ca="1" si="366"/>
        <v>0</v>
      </c>
      <c r="T1129" s="293">
        <f>'AFUDC Depr AccDepr'!G49</f>
        <v>69979</v>
      </c>
      <c r="U1129" s="50"/>
      <c r="V1129" s="50" t="s">
        <v>448</v>
      </c>
      <c r="W1129" s="50"/>
    </row>
    <row r="1130" spans="1:27" x14ac:dyDescent="0.2">
      <c r="A1130" s="60">
        <v>12</v>
      </c>
      <c r="B1130" s="48" t="s">
        <v>119</v>
      </c>
      <c r="D1130" s="66">
        <f ca="1">SUM(F1130:I1130)+K1130</f>
        <v>17327419.289999999</v>
      </c>
      <c r="F1130" s="60">
        <f ca="1">SUM(F1127:F1129)</f>
        <v>14936093.920667784</v>
      </c>
      <c r="H1130" s="60">
        <f ca="1">SUM(H1127:H1129)</f>
        <v>877174.75441612129</v>
      </c>
      <c r="I1130" s="60">
        <f ca="1">(L1130+M1130+N1130)</f>
        <v>1514150.6149160948</v>
      </c>
      <c r="L1130" s="60">
        <f ca="1">SUM(L1127:L1129)</f>
        <v>132.0614963300967</v>
      </c>
      <c r="M1130" s="60"/>
      <c r="N1130" s="60">
        <f ca="1">SUM(O1130:Q1130)</f>
        <v>1514018.5534197646</v>
      </c>
      <c r="O1130" s="60">
        <f ca="1">SUM(O1127:O1129)</f>
        <v>472412.20275668718</v>
      </c>
      <c r="P1130" s="60">
        <f ca="1">SUM(P1127:P1129)</f>
        <v>1041606.3506630773</v>
      </c>
      <c r="Q1130" s="60">
        <f ca="1">SUM(Q1127:Q1129)</f>
        <v>0</v>
      </c>
      <c r="T1130" s="340">
        <v>17327419.289999999</v>
      </c>
      <c r="V1130" s="100" t="s">
        <v>449</v>
      </c>
      <c r="W1130" s="50"/>
    </row>
    <row r="1131" spans="1:27" x14ac:dyDescent="0.2">
      <c r="A1131" s="60"/>
      <c r="B1131" s="48"/>
      <c r="D1131" s="66"/>
      <c r="F1131" s="60"/>
      <c r="H1131" s="60"/>
      <c r="I1131" s="60"/>
      <c r="L1131" s="60"/>
      <c r="M1131" s="60"/>
      <c r="N1131" s="60"/>
      <c r="O1131" s="60"/>
      <c r="P1131" s="60"/>
      <c r="Q1131" s="60"/>
      <c r="T1131" s="34"/>
      <c r="V1131" s="100"/>
      <c r="W1131" s="50"/>
    </row>
    <row r="1132" spans="1:27" x14ac:dyDescent="0.2">
      <c r="A1132" s="60">
        <v>13</v>
      </c>
      <c r="B1132" s="48" t="s">
        <v>120</v>
      </c>
      <c r="D1132" s="66">
        <f ca="1">SUM(F1132:I1132)+K1132</f>
        <v>132309492.33</v>
      </c>
      <c r="F1132" s="60">
        <f ca="1">F1118+F1124+F1130</f>
        <v>113432763.00801355</v>
      </c>
      <c r="H1132" s="60">
        <f ca="1">H1118+H1124+H1130</f>
        <v>6821079.7782917302</v>
      </c>
      <c r="I1132" s="60">
        <f ca="1">(L1132+M1132+N1132)</f>
        <v>12055649.543694716</v>
      </c>
      <c r="L1132" s="60">
        <f ca="1">L1118+L1124+L1130</f>
        <v>1002.9463188475827</v>
      </c>
      <c r="M1132" s="60"/>
      <c r="N1132" s="60">
        <f ca="1">SUM(O1132:Q1132)</f>
        <v>12054646.597375868</v>
      </c>
      <c r="O1132" s="60">
        <f ca="1">O1118+O1124+O1130</f>
        <v>3761355.5921469964</v>
      </c>
      <c r="P1132" s="60">
        <f ca="1">P1118+P1124+P1130</f>
        <v>8293291.0052288715</v>
      </c>
      <c r="Q1132" s="60">
        <f ca="1">Q1118+Q1124+Q1130</f>
        <v>0</v>
      </c>
      <c r="T1132" s="34"/>
      <c r="W1132" s="50"/>
    </row>
    <row r="1133" spans="1:27" x14ac:dyDescent="0.2">
      <c r="T1133" s="34"/>
      <c r="W1133" s="50"/>
    </row>
    <row r="1134" spans="1:27" x14ac:dyDescent="0.2">
      <c r="B1134" s="48" t="s">
        <v>121</v>
      </c>
      <c r="T1134" s="34"/>
      <c r="W1134" s="50"/>
    </row>
    <row r="1135" spans="1:27" x14ac:dyDescent="0.2">
      <c r="A1135" s="60">
        <v>14</v>
      </c>
      <c r="B1135" s="48" t="s">
        <v>82</v>
      </c>
      <c r="C1135" s="51" t="s">
        <v>1031</v>
      </c>
      <c r="D1135" s="66">
        <f ca="1">SUM(F1135:I1135)+K1135</f>
        <v>10659467.670000002</v>
      </c>
      <c r="F1135" s="60">
        <f ca="1">INDEX(INDIRECT($C1135),1,F$12+1)*$T1135</f>
        <v>9156938.1887477003</v>
      </c>
      <c r="H1135" s="60">
        <f ca="1">INDEX(INDIRECT($C1135),1,H$12+1)*$T1135</f>
        <v>558454.49687392567</v>
      </c>
      <c r="I1135" s="60">
        <f ca="1">(L1135+M1135+N1135)</f>
        <v>944074.98437837441</v>
      </c>
      <c r="L1135" s="60">
        <f ca="1">INDEX(INDIRECT($C1135),1,L$12+1)*$T1135</f>
        <v>80.963534738817515</v>
      </c>
      <c r="M1135" s="60"/>
      <c r="N1135" s="60">
        <f ca="1">SUM(O1135:Q1135)</f>
        <v>943994.02084363555</v>
      </c>
      <c r="O1135" s="60">
        <f t="shared" ref="O1135:Q1138" ca="1" si="367">INDEX(INDIRECT($C1135),1,O$12+1)*$T1135</f>
        <v>294550.08577576012</v>
      </c>
      <c r="P1135" s="60">
        <f t="shared" ca="1" si="367"/>
        <v>649443.93506787543</v>
      </c>
      <c r="Q1135" s="60">
        <f t="shared" ca="1" si="367"/>
        <v>0</v>
      </c>
      <c r="T1135" s="85">
        <f>T1139-T1136-T1137-T1138</f>
        <v>10659467.67</v>
      </c>
      <c r="U1135" s="50"/>
      <c r="V1135" s="100" t="s">
        <v>453</v>
      </c>
      <c r="W1135" s="50"/>
      <c r="X1135" s="50"/>
      <c r="Y1135" s="50"/>
      <c r="Z1135" s="50"/>
      <c r="AA1135" s="50"/>
    </row>
    <row r="1136" spans="1:27" x14ac:dyDescent="0.2">
      <c r="A1136" s="60">
        <v>15</v>
      </c>
      <c r="B1136" s="48" t="s">
        <v>84</v>
      </c>
      <c r="C1136" s="51" t="s">
        <v>1072</v>
      </c>
      <c r="D1136" s="66">
        <f ca="1">SUM(F1136:I1136)+K1136</f>
        <v>937292.57</v>
      </c>
      <c r="F1136" s="60">
        <f ca="1">INDEX(INDIRECT($C1136),1,F$12+1)*$T1136</f>
        <v>133400.89352070799</v>
      </c>
      <c r="H1136" s="60">
        <f ca="1">INDEX(INDIRECT($C1136),1,H$12+1)*$T1136</f>
        <v>790912.88213294395</v>
      </c>
      <c r="I1136" s="60">
        <f ca="1">(L1136+M1136+N1136)</f>
        <v>12978.794346347986</v>
      </c>
      <c r="L1136" s="60">
        <f ca="1">INDEX(INDIRECT($C1136),1,L$12+1)*$T1136</f>
        <v>1.1794999217123932</v>
      </c>
      <c r="M1136" s="60"/>
      <c r="N1136" s="60">
        <f ca="1">SUM(O1136:Q1136)</f>
        <v>12977.614846426273</v>
      </c>
      <c r="O1136" s="60">
        <f t="shared" ca="1" si="367"/>
        <v>4049.3451036516794</v>
      </c>
      <c r="P1136" s="60">
        <f t="shared" ca="1" si="367"/>
        <v>8928.2697427745934</v>
      </c>
      <c r="Q1136" s="60">
        <f t="shared" ca="1" si="367"/>
        <v>0</v>
      </c>
      <c r="T1136" s="340">
        <v>937292.57</v>
      </c>
      <c r="U1136" s="50"/>
      <c r="V1136" s="100" t="s">
        <v>449</v>
      </c>
      <c r="W1136" s="50"/>
    </row>
    <row r="1137" spans="1:28" x14ac:dyDescent="0.2">
      <c r="A1137" s="60">
        <v>17</v>
      </c>
      <c r="B1137" s="48" t="s">
        <v>76</v>
      </c>
      <c r="C1137" s="51" t="s">
        <v>631</v>
      </c>
      <c r="D1137" s="66">
        <f ca="1">SUM(F1137:I1137)+K1137</f>
        <v>56872.999999999993</v>
      </c>
      <c r="F1137" s="60">
        <f ca="1">INDEX(INDIRECT($C1137),1,F$12+1)*$T1137</f>
        <v>0</v>
      </c>
      <c r="H1137" s="60">
        <f ca="1">INDEX(INDIRECT($C1137),1,H$12+1)*$T1137</f>
        <v>21492.009436396773</v>
      </c>
      <c r="I1137" s="60">
        <f ca="1">(L1137+M1137+N1137)</f>
        <v>35380.99056360322</v>
      </c>
      <c r="L1137" s="60">
        <f ca="1">INDEX(INDIRECT($C1137),1,L$12+1)*$T1137</f>
        <v>0</v>
      </c>
      <c r="M1137" s="60"/>
      <c r="N1137" s="60">
        <f ca="1">SUM(O1137:Q1137)</f>
        <v>35380.99056360322</v>
      </c>
      <c r="O1137" s="60">
        <f t="shared" ca="1" si="367"/>
        <v>11039.766751941024</v>
      </c>
      <c r="P1137" s="60">
        <f t="shared" ca="1" si="367"/>
        <v>24341.223811662199</v>
      </c>
      <c r="Q1137" s="60">
        <f t="shared" ca="1" si="367"/>
        <v>0</v>
      </c>
      <c r="T1137" s="293">
        <f>'AFUDC Depr AccDepr'!F54</f>
        <v>56873</v>
      </c>
      <c r="U1137" s="50"/>
      <c r="V1137" s="50" t="s">
        <v>448</v>
      </c>
      <c r="W1137" s="50"/>
      <c r="X1137" s="50"/>
      <c r="Y1137" s="50"/>
    </row>
    <row r="1138" spans="1:28" x14ac:dyDescent="0.2">
      <c r="A1138" s="60">
        <v>18</v>
      </c>
      <c r="B1138" s="48" t="s">
        <v>77</v>
      </c>
      <c r="C1138" s="51" t="s">
        <v>633</v>
      </c>
      <c r="D1138" s="66">
        <f ca="1">SUM(F1138:I1138)+K1138</f>
        <v>25527.499999999996</v>
      </c>
      <c r="F1138" s="60">
        <f ca="1">INDEX(INDIRECT($C1138),1,F$12+1)*$T1138</f>
        <v>0</v>
      </c>
      <c r="H1138" s="60">
        <f ca="1">INDEX(INDIRECT($C1138),1,H$12+1)*$T1138</f>
        <v>0</v>
      </c>
      <c r="I1138" s="60">
        <f ca="1">(L1138+M1138+N1138)</f>
        <v>25527.499999999996</v>
      </c>
      <c r="L1138" s="60">
        <f ca="1">INDEX(INDIRECT($C1138),1,L$12+1)*$T1138</f>
        <v>0</v>
      </c>
      <c r="M1138" s="60"/>
      <c r="N1138" s="60">
        <f ca="1">SUM(O1138:Q1138)</f>
        <v>25527.499999999996</v>
      </c>
      <c r="O1138" s="60">
        <f t="shared" ca="1" si="367"/>
        <v>7965.2276906594898</v>
      </c>
      <c r="P1138" s="60">
        <f t="shared" ca="1" si="367"/>
        <v>17562.272309340507</v>
      </c>
      <c r="Q1138" s="60">
        <f t="shared" ca="1" si="367"/>
        <v>0</v>
      </c>
      <c r="T1138" s="293">
        <f>'AFUDC Depr AccDepr'!G54</f>
        <v>25527.5</v>
      </c>
      <c r="U1138" s="50"/>
      <c r="V1138" s="50" t="s">
        <v>448</v>
      </c>
      <c r="W1138" s="50"/>
    </row>
    <row r="1139" spans="1:28" x14ac:dyDescent="0.2">
      <c r="A1139" s="60">
        <v>19</v>
      </c>
      <c r="B1139" s="48" t="s">
        <v>122</v>
      </c>
      <c r="D1139" s="66">
        <f ca="1">SUM(F1139:I1139)+K1139</f>
        <v>11679160.74</v>
      </c>
      <c r="F1139" s="60">
        <f ca="1">SUM(F1135:F1138)</f>
        <v>9290339.0822684076</v>
      </c>
      <c r="H1139" s="60">
        <f ca="1">SUM(H1135:H1138)</f>
        <v>1370859.3884432665</v>
      </c>
      <c r="I1139" s="60">
        <f ca="1">(L1139+M1139+N1139)</f>
        <v>1017962.2692883254</v>
      </c>
      <c r="L1139" s="60">
        <f ca="1">SUM(L1135:L1138)</f>
        <v>82.143034660529906</v>
      </c>
      <c r="M1139" s="60"/>
      <c r="N1139" s="60">
        <f ca="1">SUM(O1139:Q1139)</f>
        <v>1017880.126253665</v>
      </c>
      <c r="O1139" s="60">
        <f ca="1">SUM(O1135:O1138)</f>
        <v>317604.42532201228</v>
      </c>
      <c r="P1139" s="60">
        <f ca="1">SUM(P1135:P1138)</f>
        <v>700275.70093165268</v>
      </c>
      <c r="Q1139" s="60">
        <f ca="1">SUM(Q1135:Q1138)</f>
        <v>0</v>
      </c>
      <c r="T1139" s="340">
        <v>11679160.74</v>
      </c>
      <c r="V1139" s="100" t="s">
        <v>449</v>
      </c>
      <c r="W1139" s="50"/>
    </row>
    <row r="1140" spans="1:28" x14ac:dyDescent="0.2">
      <c r="W1140" s="50"/>
    </row>
    <row r="1141" spans="1:28" x14ac:dyDescent="0.2">
      <c r="B1141" s="48" t="s">
        <v>325</v>
      </c>
      <c r="W1141" s="50"/>
    </row>
    <row r="1142" spans="1:28" x14ac:dyDescent="0.2">
      <c r="A1142" s="60">
        <v>20</v>
      </c>
      <c r="B1142" s="70" t="s">
        <v>64</v>
      </c>
      <c r="C1142" s="51" t="s">
        <v>1109</v>
      </c>
      <c r="D1142" s="66">
        <f ca="1">SUM(F1142:I1142)+K1142</f>
        <v>32848142.370000005</v>
      </c>
      <c r="F1142" s="60">
        <f ca="1">INDEX(INDIRECT($C1142),1,F$12+1)*$T1142</f>
        <v>32743234.033906706</v>
      </c>
      <c r="H1142" s="60">
        <f ca="1">INDEX(INDIRECT($C1142),1,H$12+1)*$T1142</f>
        <v>0</v>
      </c>
      <c r="I1142" s="60">
        <f ca="1">(L1142+M1142+N1142)</f>
        <v>104908.33609329831</v>
      </c>
      <c r="L1142" s="60">
        <f ca="1">INDEX(INDIRECT($C1142),1,L$12+1)*$T1142</f>
        <v>0</v>
      </c>
      <c r="M1142" s="60"/>
      <c r="N1142" s="60">
        <f ca="1">SUM(O1142:Q1142)</f>
        <v>104908.33609329831</v>
      </c>
      <c r="O1142" s="60">
        <f t="shared" ref="O1142:Q1144" ca="1" si="368">INDEX(INDIRECT($C1142),1,O$12+1)*$T1142</f>
        <v>90152.054576849579</v>
      </c>
      <c r="P1142" s="60">
        <f t="shared" ca="1" si="368"/>
        <v>14756.281516448727</v>
      </c>
      <c r="Q1142" s="60">
        <f t="shared" ca="1" si="368"/>
        <v>0</v>
      </c>
      <c r="T1142" s="340">
        <v>32848142.370000001</v>
      </c>
      <c r="U1142" s="50"/>
      <c r="V1142" s="100" t="s">
        <v>449</v>
      </c>
      <c r="W1142" s="50"/>
    </row>
    <row r="1143" spans="1:28" x14ac:dyDescent="0.2">
      <c r="A1143" s="60">
        <v>21</v>
      </c>
      <c r="B1143" s="70" t="s">
        <v>65</v>
      </c>
      <c r="C1143" s="51" t="s">
        <v>1111</v>
      </c>
      <c r="D1143" s="66">
        <f ca="1">SUM(F1143:I1143)+K1143</f>
        <v>1439882.38</v>
      </c>
      <c r="F1143" s="60">
        <f ca="1">INDEX(INDIRECT($C1143),1,F$12+1)*$T1143</f>
        <v>0</v>
      </c>
      <c r="H1143" s="60">
        <f ca="1">INDEX(INDIRECT($C1143),1,H$12+1)*$T1143</f>
        <v>1439882.38</v>
      </c>
      <c r="I1143" s="60">
        <f ca="1">(L1143+M1143+N1143)</f>
        <v>0</v>
      </c>
      <c r="L1143" s="60">
        <f ca="1">INDEX(INDIRECT($C1143),1,L$12+1)*$T1143</f>
        <v>0</v>
      </c>
      <c r="M1143" s="60"/>
      <c r="N1143" s="60">
        <f ca="1">SUM(O1143:Q1143)</f>
        <v>0</v>
      </c>
      <c r="O1143" s="60">
        <f t="shared" ca="1" si="368"/>
        <v>0</v>
      </c>
      <c r="P1143" s="60">
        <f t="shared" ca="1" si="368"/>
        <v>0</v>
      </c>
      <c r="Q1143" s="60">
        <f t="shared" ca="1" si="368"/>
        <v>0</v>
      </c>
      <c r="T1143" s="340">
        <v>1439882.38</v>
      </c>
      <c r="U1143" s="50"/>
      <c r="V1143" s="100" t="s">
        <v>449</v>
      </c>
      <c r="W1143" s="50"/>
      <c r="Y1143" s="425"/>
      <c r="Z1143" s="423"/>
      <c r="AA1143" s="297"/>
      <c r="AB1143" s="297"/>
    </row>
    <row r="1144" spans="1:28" x14ac:dyDescent="0.2">
      <c r="A1144" s="60">
        <v>22</v>
      </c>
      <c r="B1144" s="70" t="s">
        <v>66</v>
      </c>
      <c r="C1144" s="51" t="s">
        <v>1113</v>
      </c>
      <c r="D1144" s="66">
        <f ca="1">SUM(F1144:I1144)+K1144</f>
        <v>2258.17</v>
      </c>
      <c r="F1144" s="60">
        <f ca="1">INDEX(INDIRECT($C1144),1,F$12+1)*$T1144</f>
        <v>0</v>
      </c>
      <c r="H1144" s="60">
        <f ca="1">INDEX(INDIRECT($C1144),1,H$12+1)*$T1144</f>
        <v>0</v>
      </c>
      <c r="I1144" s="60">
        <f ca="1">(L1144+M1144+N1144)</f>
        <v>2258.17</v>
      </c>
      <c r="L1144" s="60">
        <f ca="1">INDEX(INDIRECT($C1144),1,L$12+1)*$T1144</f>
        <v>2258.17</v>
      </c>
      <c r="M1144" s="60"/>
      <c r="N1144" s="60">
        <f ca="1">SUM(O1144:Q1144)</f>
        <v>0</v>
      </c>
      <c r="O1144" s="60">
        <f t="shared" ca="1" si="368"/>
        <v>0</v>
      </c>
      <c r="P1144" s="60">
        <f t="shared" ca="1" si="368"/>
        <v>0</v>
      </c>
      <c r="Q1144" s="60">
        <f t="shared" ca="1" si="368"/>
        <v>0</v>
      </c>
      <c r="T1144" s="340">
        <v>2258.17</v>
      </c>
      <c r="U1144" s="50"/>
      <c r="V1144" s="100" t="s">
        <v>449</v>
      </c>
      <c r="W1144" s="50"/>
      <c r="X1144" s="50"/>
      <c r="Y1144" s="425"/>
      <c r="Z1144" s="423"/>
      <c r="AA1144" s="297"/>
      <c r="AB1144" s="297"/>
    </row>
    <row r="1145" spans="1:28" x14ac:dyDescent="0.2">
      <c r="A1145" s="60">
        <v>23</v>
      </c>
      <c r="B1145" s="48" t="s">
        <v>123</v>
      </c>
      <c r="C1145" s="58"/>
      <c r="D1145" s="66">
        <f ca="1">SUM(F1145:I1145)+K1145</f>
        <v>34290282.920000009</v>
      </c>
      <c r="F1145" s="60">
        <f ca="1">F1142+F1143+F1144</f>
        <v>32743234.033906706</v>
      </c>
      <c r="H1145" s="60">
        <f ca="1">H1142+H1143+H1144</f>
        <v>1439882.38</v>
      </c>
      <c r="I1145" s="60">
        <f ca="1">(L1145+M1145+N1145)</f>
        <v>107166.5060932983</v>
      </c>
      <c r="L1145" s="60">
        <f ca="1">L1142+L1143+L1144</f>
        <v>2258.17</v>
      </c>
      <c r="M1145" s="60"/>
      <c r="N1145" s="60">
        <f ca="1">SUM(O1145:Q1145)</f>
        <v>104908.33609329831</v>
      </c>
      <c r="O1145" s="60">
        <f ca="1">O1142+O1143+O1144</f>
        <v>90152.054576849579</v>
      </c>
      <c r="P1145" s="60">
        <f ca="1">P1142+P1143+P1144</f>
        <v>14756.281516448727</v>
      </c>
      <c r="Q1145" s="60">
        <f ca="1">Q1142+Q1143+Q1144</f>
        <v>0</v>
      </c>
      <c r="T1145" s="34">
        <f>SUM(T1142:T1144)</f>
        <v>34290282.920000002</v>
      </c>
      <c r="V1145" s="100" t="s">
        <v>449</v>
      </c>
      <c r="W1145" s="50"/>
      <c r="Y1145" s="425"/>
      <c r="Z1145" s="424"/>
      <c r="AA1145" s="297"/>
      <c r="AB1145" s="297"/>
    </row>
    <row r="1146" spans="1:28" x14ac:dyDescent="0.2">
      <c r="C1146" s="58"/>
      <c r="T1146" s="34"/>
      <c r="W1146" s="50"/>
      <c r="Y1146" s="425"/>
      <c r="Z1146" s="424"/>
      <c r="AA1146" s="297"/>
      <c r="AB1146" s="297"/>
    </row>
    <row r="1147" spans="1:28" x14ac:dyDescent="0.2">
      <c r="A1147" s="60">
        <v>24</v>
      </c>
      <c r="B1147" s="48" t="s">
        <v>124</v>
      </c>
      <c r="C1147" s="51" t="s">
        <v>1041</v>
      </c>
      <c r="D1147" s="66">
        <f ca="1">SUM(F1147:I1147)+K1147</f>
        <v>6408657.6599999992</v>
      </c>
      <c r="F1147" s="60">
        <f ca="1">INDEX(INDIRECT($C1147),1,F$12+1)*$T1147</f>
        <v>5699724.4260474555</v>
      </c>
      <c r="H1147" s="60">
        <f ca="1">INDEX(INDIRECT($C1147),1,H$12+1)*$T1147</f>
        <v>351149.48903322767</v>
      </c>
      <c r="I1147" s="60">
        <f ca="1">(L1147+M1147+N1147)</f>
        <v>357783.74491931632</v>
      </c>
      <c r="L1147" s="60">
        <f ca="1">INDEX(INDIRECT($C1147),1,L$12+1)*$T1147</f>
        <v>196.73701544464225</v>
      </c>
      <c r="M1147" s="60"/>
      <c r="N1147" s="60">
        <f ca="1">SUM(O1147:Q1147)</f>
        <v>357587.00790387165</v>
      </c>
      <c r="O1147" s="60">
        <f ca="1">INDEX(INDIRECT($C1147),1,O$12+1)*$T1147</f>
        <v>116166.63208117895</v>
      </c>
      <c r="P1147" s="60">
        <f ca="1">INDEX(INDIRECT($C1147),1,P$12+1)*$T1147</f>
        <v>241420.3758226927</v>
      </c>
      <c r="Q1147" s="60">
        <f ca="1">INDEX(INDIRECT($C1147),1,Q$12+1)*$T1147</f>
        <v>4.01041600827548E-13</v>
      </c>
      <c r="T1147" s="340">
        <v>6408657.6600000001</v>
      </c>
      <c r="U1147" s="50"/>
      <c r="V1147" s="100" t="s">
        <v>449</v>
      </c>
      <c r="W1147" s="50"/>
      <c r="X1147" s="50"/>
      <c r="Y1147" s="425"/>
      <c r="Z1147" s="424"/>
      <c r="AA1147" s="297"/>
      <c r="AB1147" s="297"/>
    </row>
    <row r="1148" spans="1:28" x14ac:dyDescent="0.2">
      <c r="T1148" s="34"/>
      <c r="W1148" s="50"/>
      <c r="Y1148" s="425"/>
      <c r="Z1148" s="424"/>
      <c r="AA1148" s="297"/>
      <c r="AB1148" s="297"/>
    </row>
    <row r="1149" spans="1:28" x14ac:dyDescent="0.2">
      <c r="A1149" s="60">
        <v>25</v>
      </c>
      <c r="B1149" s="70" t="s">
        <v>750</v>
      </c>
      <c r="C1149" s="56" t="s">
        <v>1319</v>
      </c>
      <c r="D1149" s="66">
        <f ca="1">SUM(F1149:I1149)+K1149</f>
        <v>7505149.4400000013</v>
      </c>
      <c r="F1149" s="60">
        <f ca="1">INDEX(INDIRECT($C1149),1,F$12+1)*$T1149</f>
        <v>6534688.0920223221</v>
      </c>
      <c r="H1149" s="60">
        <f ca="1">INDEX(INDIRECT($C1149),1,H$12+1)*$T1149</f>
        <v>445764.85214159515</v>
      </c>
      <c r="I1149" s="60">
        <f ca="1">(L1149+M1149+N1149)</f>
        <v>524696.49583608343</v>
      </c>
      <c r="L1149" s="60">
        <f ca="1">INDEX(INDIRECT($C1149),1,L$12+1)*$T1149</f>
        <v>236.65505629880028</v>
      </c>
      <c r="M1149" s="60"/>
      <c r="N1149" s="60">
        <f ca="1">SUM(O1149:Q1149)</f>
        <v>524459.8407797846</v>
      </c>
      <c r="O1149" s="60">
        <f ca="1">INDEX(INDIRECT($C1149),1,O$12+1)*$T1149</f>
        <v>166521.86764483288</v>
      </c>
      <c r="P1149" s="60">
        <f ca="1">INDEX(INDIRECT($C1149),1,P$12+1)*$T1149</f>
        <v>357937.97313495172</v>
      </c>
      <c r="Q1149" s="60">
        <f ca="1">INDEX(INDIRECT($C1149),1,Q$12+1)*$T1149</f>
        <v>1.0228976989095669E-14</v>
      </c>
      <c r="T1149" s="340">
        <v>7505149.4400000004</v>
      </c>
      <c r="U1149" s="50"/>
      <c r="V1149" s="100" t="s">
        <v>449</v>
      </c>
      <c r="W1149" s="50"/>
      <c r="X1149" s="50"/>
      <c r="Y1149" s="297"/>
      <c r="Z1149" s="423"/>
      <c r="AA1149" s="297"/>
      <c r="AB1149" s="297"/>
    </row>
    <row r="1150" spans="1:28" x14ac:dyDescent="0.2">
      <c r="T1150" s="34"/>
      <c r="W1150" s="50"/>
      <c r="Y1150" s="297"/>
      <c r="Z1150" s="423"/>
      <c r="AA1150" s="297"/>
      <c r="AB1150" s="297"/>
    </row>
    <row r="1151" spans="1:28" x14ac:dyDescent="0.2">
      <c r="A1151" s="60">
        <v>26</v>
      </c>
      <c r="B1151" s="70" t="s">
        <v>749</v>
      </c>
      <c r="C1151" s="56" t="s">
        <v>1318</v>
      </c>
      <c r="D1151" s="66">
        <f ca="1">SUM(F1151:I1151)+K1151</f>
        <v>0</v>
      </c>
      <c r="F1151" s="60">
        <f ca="1">INDEX(INDIRECT($C1151),1,F$12+1)*$T1151</f>
        <v>0</v>
      </c>
      <c r="H1151" s="60">
        <f ca="1">INDEX(INDIRECT($C1151),1,H$12+1)*$T1151</f>
        <v>0</v>
      </c>
      <c r="I1151" s="60">
        <f ca="1">(L1151+M1151+N1151)</f>
        <v>0</v>
      </c>
      <c r="L1151" s="60">
        <f ca="1">INDEX(INDIRECT($C1151),1,L$12+1)*$T1151</f>
        <v>0</v>
      </c>
      <c r="M1151" s="60"/>
      <c r="N1151" s="60">
        <f ca="1">SUM(O1151:Q1151)</f>
        <v>0</v>
      </c>
      <c r="O1151" s="60">
        <f ca="1">INDEX(INDIRECT($C1151),1,O$12+1)*$T1151</f>
        <v>0</v>
      </c>
      <c r="P1151" s="60">
        <f ca="1">INDEX(INDIRECT($C1151),1,P$12+1)*$T1151</f>
        <v>0</v>
      </c>
      <c r="Q1151" s="60">
        <f ca="1">INDEX(INDIRECT($C1151),1,Q$12+1)*$T1151</f>
        <v>0</v>
      </c>
      <c r="T1151" s="340">
        <v>0</v>
      </c>
      <c r="U1151" s="50"/>
      <c r="V1151" s="100" t="s">
        <v>449</v>
      </c>
      <c r="W1151" s="50"/>
      <c r="X1151" s="50"/>
      <c r="Y1151" s="50"/>
    </row>
    <row r="1152" spans="1:28" x14ac:dyDescent="0.2">
      <c r="C1152" s="58"/>
      <c r="T1152" s="50"/>
      <c r="U1152" s="50"/>
      <c r="W1152" s="50"/>
      <c r="Y1152" s="89" t="s">
        <v>458</v>
      </c>
      <c r="Z1152" s="89" t="s">
        <v>459</v>
      </c>
      <c r="AA1152" s="89"/>
      <c r="AB1152" s="40"/>
    </row>
    <row r="1153" spans="1:29" x14ac:dyDescent="0.2">
      <c r="A1153" s="60">
        <v>27</v>
      </c>
      <c r="B1153" s="48" t="s">
        <v>328</v>
      </c>
      <c r="C1153" s="58"/>
      <c r="D1153" s="66">
        <f ca="1">SUM(F1153:I1153)+K1153</f>
        <v>192192743.09</v>
      </c>
      <c r="F1153" s="60">
        <f ca="1">F1132+F1139+F1145+F1149+F1151+F1147</f>
        <v>167700748.64225844</v>
      </c>
      <c r="H1153" s="60">
        <f ca="1">H1132+H1139+H1145+H1149+H1151+H1147</f>
        <v>10428735.887909818</v>
      </c>
      <c r="I1153" s="60">
        <f ca="1">(L1153+M1153+N1153)</f>
        <v>14063258.55983174</v>
      </c>
      <c r="L1153" s="60">
        <f ca="1">L1132+L1139+L1145+L1149+L1151+L1147</f>
        <v>3776.6514252515553</v>
      </c>
      <c r="M1153" s="60"/>
      <c r="N1153" s="60">
        <f ca="1">SUM(O1153:Q1153)</f>
        <v>14059481.908406489</v>
      </c>
      <c r="O1153" s="60">
        <f ca="1">O1132+O1139+O1145+O1149+O1151+O1147</f>
        <v>4451800.5717718694</v>
      </c>
      <c r="P1153" s="60">
        <f ca="1">P1132+P1139+P1145+P1149+P1151+P1147</f>
        <v>9607681.3366346192</v>
      </c>
      <c r="Q1153" s="60">
        <f ca="1">Q1132+Q1139+Q1145+Q1149+Q1151</f>
        <v>1.0228976989095669E-14</v>
      </c>
      <c r="T1153" s="50"/>
      <c r="U1153" s="50"/>
      <c r="W1153" s="50"/>
      <c r="Y1153" s="339">
        <v>184687593.56</v>
      </c>
      <c r="Z1153" s="339">
        <v>7505149.4400000004</v>
      </c>
      <c r="AA1153" s="40">
        <f>Y1153+Z1153</f>
        <v>192192743</v>
      </c>
      <c r="AB1153" s="331">
        <f ca="1">AA1153-D1153</f>
        <v>-9.0000003576278687E-2</v>
      </c>
      <c r="AC1153" s="100"/>
    </row>
    <row r="1154" spans="1:29" x14ac:dyDescent="0.2">
      <c r="A1154" s="60"/>
      <c r="B1154" s="48"/>
      <c r="C1154" s="58"/>
      <c r="D1154" s="66"/>
      <c r="F1154" s="60"/>
      <c r="H1154" s="60"/>
      <c r="I1154" s="60"/>
      <c r="L1154" s="60"/>
      <c r="M1154" s="60"/>
      <c r="N1154" s="60"/>
      <c r="O1154" s="60"/>
      <c r="P1154" s="60"/>
      <c r="Q1154" s="60"/>
      <c r="T1154" s="58"/>
      <c r="U1154" s="50"/>
      <c r="W1154" s="50"/>
    </row>
    <row r="1155" spans="1:29" x14ac:dyDescent="0.2">
      <c r="A1155" s="60"/>
      <c r="B1155" s="48"/>
      <c r="C1155" s="58"/>
      <c r="D1155" s="66"/>
      <c r="F1155" s="60"/>
      <c r="H1155" s="60"/>
      <c r="I1155" s="60"/>
      <c r="L1155" s="60"/>
      <c r="M1155" s="60"/>
      <c r="N1155" s="60"/>
      <c r="O1155" s="60"/>
      <c r="P1155" s="60"/>
      <c r="Q1155" s="60"/>
      <c r="T1155" s="58"/>
      <c r="U1155" s="50"/>
      <c r="W1155" s="50"/>
    </row>
    <row r="1156" spans="1:29" x14ac:dyDescent="0.2">
      <c r="A1156" s="60"/>
      <c r="B1156" s="63" t="s">
        <v>89</v>
      </c>
      <c r="C1156" s="58"/>
      <c r="D1156" s="66"/>
      <c r="F1156" s="60"/>
      <c r="H1156" s="60"/>
      <c r="I1156" s="60"/>
      <c r="L1156" s="60"/>
      <c r="M1156" s="60"/>
      <c r="N1156" s="60"/>
      <c r="O1156" s="60"/>
      <c r="P1156" s="60"/>
      <c r="Q1156" s="60"/>
      <c r="T1156" s="58"/>
      <c r="U1156" s="50"/>
      <c r="W1156" s="50"/>
    </row>
    <row r="1157" spans="1:29" x14ac:dyDescent="0.2">
      <c r="A1157" s="60"/>
      <c r="B1157" s="48"/>
      <c r="C1157" s="58"/>
      <c r="D1157" s="66"/>
      <c r="F1157" s="60"/>
      <c r="H1157" s="60"/>
      <c r="I1157" s="60"/>
      <c r="L1157" s="60"/>
      <c r="M1157" s="60"/>
      <c r="N1157" s="60"/>
      <c r="O1157" s="60"/>
      <c r="P1157" s="60"/>
      <c r="Q1157" s="60"/>
      <c r="T1157" s="58"/>
      <c r="U1157" s="50"/>
      <c r="W1157" s="50"/>
      <c r="AB1157" s="119"/>
    </row>
    <row r="1158" spans="1:29" x14ac:dyDescent="0.2">
      <c r="A1158" s="60"/>
      <c r="B1158" s="48" t="s">
        <v>88</v>
      </c>
      <c r="C1158" s="58"/>
      <c r="D1158" s="66"/>
      <c r="F1158" s="60"/>
      <c r="H1158" s="60"/>
      <c r="I1158" s="60"/>
      <c r="L1158" s="60"/>
      <c r="M1158" s="60"/>
      <c r="N1158" s="60"/>
      <c r="O1158" s="60"/>
      <c r="P1158" s="60"/>
      <c r="Q1158" s="60"/>
      <c r="T1158" s="58"/>
      <c r="U1158" s="50"/>
      <c r="W1158" s="50"/>
    </row>
    <row r="1159" spans="1:29" x14ac:dyDescent="0.2">
      <c r="A1159" s="60"/>
      <c r="B1159" s="48"/>
      <c r="C1159" s="58"/>
      <c r="D1159" s="66"/>
      <c r="F1159" s="60"/>
      <c r="H1159" s="60"/>
      <c r="I1159" s="60"/>
      <c r="L1159" s="60"/>
      <c r="M1159" s="60"/>
      <c r="N1159" s="60"/>
      <c r="O1159" s="60"/>
      <c r="P1159" s="60"/>
      <c r="Q1159" s="60"/>
      <c r="T1159" s="58"/>
      <c r="U1159" s="50"/>
      <c r="W1159" s="50"/>
    </row>
    <row r="1160" spans="1:29" x14ac:dyDescent="0.2">
      <c r="B1160" s="48" t="s">
        <v>110</v>
      </c>
      <c r="C1160" s="58"/>
      <c r="T1160" s="58"/>
      <c r="U1160" s="50"/>
      <c r="W1160" s="50"/>
      <c r="Y1160" s="34" t="s">
        <v>1353</v>
      </c>
      <c r="Z1160" s="34" t="s">
        <v>1354</v>
      </c>
    </row>
    <row r="1161" spans="1:29" x14ac:dyDescent="0.2">
      <c r="A1161" s="33">
        <v>1</v>
      </c>
      <c r="B1161" s="48" t="s">
        <v>111</v>
      </c>
      <c r="C1161" s="51" t="s">
        <v>732</v>
      </c>
      <c r="D1161" s="66">
        <f ca="1">SUM(F1161:I1161)+K1161</f>
        <v>-5958724.4499999993</v>
      </c>
      <c r="F1161" s="60">
        <f ca="1">INDEX(INDIRECT($C1161),1,F$12+1)*$T1161</f>
        <v>-5157217.45593879</v>
      </c>
      <c r="H1161" s="60">
        <f ca="1">INDEX(INDIRECT($C1161),1,H$12+1)*$T1161</f>
        <v>-302868.07214557612</v>
      </c>
      <c r="I1161" s="60">
        <f ca="1">(L1161+M1161+N1161)</f>
        <v>-498638.92191563314</v>
      </c>
      <c r="L1161" s="60">
        <f ca="1">INDEX(INDIRECT($C1161),1,L$12+1)*$T1161</f>
        <v>-45.598926851185801</v>
      </c>
      <c r="M1161" s="60"/>
      <c r="N1161" s="60">
        <f ca="1">SUM(O1161:Q1161)</f>
        <v>-498593.32298878196</v>
      </c>
      <c r="O1161" s="60">
        <f t="shared" ref="O1161:Q1163" ca="1" si="369">INDEX(INDIRECT($C1161),1,O$12+1)*$T1161</f>
        <v>-155573.76721763494</v>
      </c>
      <c r="P1161" s="60">
        <f t="shared" ca="1" si="369"/>
        <v>-343019.55577114702</v>
      </c>
      <c r="Q1161" s="60">
        <f t="shared" ca="1" si="369"/>
        <v>0</v>
      </c>
      <c r="T1161" s="60">
        <f>Y1161+Z1161</f>
        <v>-5958724.4499999993</v>
      </c>
      <c r="U1161" s="50"/>
      <c r="V1161" s="75" t="s">
        <v>638</v>
      </c>
      <c r="W1161" s="50"/>
      <c r="Y1161" s="338">
        <v>-2899712.88</v>
      </c>
      <c r="Z1161" s="338">
        <v>-3059011.57</v>
      </c>
    </row>
    <row r="1162" spans="1:29" x14ac:dyDescent="0.2">
      <c r="A1162" s="33">
        <v>2</v>
      </c>
      <c r="B1162" s="48" t="s">
        <v>116</v>
      </c>
      <c r="C1162" s="51" t="s">
        <v>1027</v>
      </c>
      <c r="D1162" s="66">
        <f ca="1">SUM(F1162:I1162)+K1162</f>
        <v>0</v>
      </c>
      <c r="F1162" s="60">
        <f ca="1">INDEX(INDIRECT($C1162),1,F$12+1)*$T1162</f>
        <v>0</v>
      </c>
      <c r="H1162" s="60">
        <f ca="1">INDEX(INDIRECT($C1162),1,H$12+1)*$T1162</f>
        <v>0</v>
      </c>
      <c r="I1162" s="60">
        <f ca="1">(L1162+M1162+N1162)</f>
        <v>0</v>
      </c>
      <c r="L1162" s="60">
        <f ca="1">INDEX(INDIRECT($C1162),1,L$12+1)*$T1162</f>
        <v>0</v>
      </c>
      <c r="M1162" s="60"/>
      <c r="N1162" s="60">
        <f ca="1">SUM(O1162:Q1162)</f>
        <v>0</v>
      </c>
      <c r="O1162" s="60">
        <f t="shared" ca="1" si="369"/>
        <v>0</v>
      </c>
      <c r="P1162" s="60">
        <f t="shared" ca="1" si="369"/>
        <v>0</v>
      </c>
      <c r="Q1162" s="60">
        <f t="shared" ca="1" si="369"/>
        <v>0</v>
      </c>
      <c r="T1162" s="58"/>
      <c r="U1162" s="50"/>
      <c r="W1162" s="50"/>
    </row>
    <row r="1163" spans="1:29" x14ac:dyDescent="0.2">
      <c r="A1163" s="33">
        <v>3</v>
      </c>
      <c r="B1163" s="48" t="s">
        <v>118</v>
      </c>
      <c r="C1163" s="51" t="s">
        <v>1029</v>
      </c>
      <c r="D1163" s="66">
        <f ca="1">SUM(F1163:I1163)+K1163</f>
        <v>0</v>
      </c>
      <c r="F1163" s="60">
        <f ca="1">INDEX(INDIRECT($C1163),1,F$12+1)*$T1163</f>
        <v>0</v>
      </c>
      <c r="H1163" s="60">
        <f ca="1">INDEX(INDIRECT($C1163),1,H$12+1)*$T1163</f>
        <v>0</v>
      </c>
      <c r="I1163" s="60">
        <f ca="1">(L1163+M1163+N1163)</f>
        <v>0</v>
      </c>
      <c r="L1163" s="60">
        <f ca="1">INDEX(INDIRECT($C1163),1,L$12+1)*$T1163</f>
        <v>0</v>
      </c>
      <c r="M1163" s="60"/>
      <c r="N1163" s="60">
        <f ca="1">SUM(O1163:Q1163)</f>
        <v>0</v>
      </c>
      <c r="O1163" s="60">
        <f t="shared" ca="1" si="369"/>
        <v>0</v>
      </c>
      <c r="P1163" s="60">
        <f t="shared" ca="1" si="369"/>
        <v>0</v>
      </c>
      <c r="Q1163" s="60">
        <f t="shared" ca="1" si="369"/>
        <v>0</v>
      </c>
      <c r="T1163" s="58"/>
      <c r="U1163" s="50"/>
      <c r="W1163" s="50"/>
    </row>
    <row r="1164" spans="1:29" x14ac:dyDescent="0.2">
      <c r="B1164" s="48"/>
      <c r="C1164" s="51"/>
      <c r="D1164" s="66"/>
      <c r="F1164" s="60"/>
      <c r="H1164" s="60"/>
      <c r="I1164" s="60"/>
      <c r="L1164" s="60"/>
      <c r="M1164" s="60"/>
      <c r="N1164" s="60"/>
      <c r="O1164" s="60"/>
      <c r="P1164" s="60"/>
      <c r="Q1164" s="60"/>
      <c r="T1164" s="58"/>
      <c r="U1164" s="50"/>
      <c r="W1164" s="50"/>
    </row>
    <row r="1165" spans="1:29" x14ac:dyDescent="0.2">
      <c r="A1165" s="33">
        <v>4</v>
      </c>
      <c r="B1165" s="48" t="s">
        <v>120</v>
      </c>
      <c r="D1165" s="66">
        <f ca="1">SUM(F1165:I1165)+K1165</f>
        <v>-5958724.4499999993</v>
      </c>
      <c r="F1165" s="60">
        <f ca="1">SUM(F1161:F1163)</f>
        <v>-5157217.45593879</v>
      </c>
      <c r="H1165" s="60">
        <f ca="1">SUM(H1161:H1163)</f>
        <v>-302868.07214557612</v>
      </c>
      <c r="I1165" s="60">
        <f ca="1">(L1165+M1165+N1165)</f>
        <v>-498638.92191563314</v>
      </c>
      <c r="L1165" s="60">
        <f ca="1">SUM(L1161:L1163)</f>
        <v>-45.598926851185801</v>
      </c>
      <c r="M1165" s="60"/>
      <c r="N1165" s="60">
        <f ca="1">SUM(O1165:Q1165)</f>
        <v>-498593.32298878196</v>
      </c>
      <c r="O1165" s="60">
        <f ca="1">SUM(O1161:O1163)</f>
        <v>-155573.76721763494</v>
      </c>
      <c r="P1165" s="60">
        <f ca="1">SUM(P1161:P1163)</f>
        <v>-343019.55577114702</v>
      </c>
      <c r="Q1165" s="60">
        <f ca="1">SUM(Q1161:Q1163)</f>
        <v>0</v>
      </c>
      <c r="T1165" s="58"/>
      <c r="U1165" s="50"/>
      <c r="W1165" s="50"/>
    </row>
    <row r="1166" spans="1:29" x14ac:dyDescent="0.2">
      <c r="B1166" s="48"/>
      <c r="D1166" s="66"/>
      <c r="F1166" s="60"/>
      <c r="H1166" s="60"/>
      <c r="I1166" s="60"/>
      <c r="L1166" s="60"/>
      <c r="M1166" s="60"/>
      <c r="N1166" s="60"/>
      <c r="O1166" s="60"/>
      <c r="P1166" s="60"/>
      <c r="Q1166" s="60"/>
      <c r="T1166" s="58"/>
      <c r="U1166" s="50"/>
      <c r="W1166" s="50"/>
    </row>
    <row r="1167" spans="1:29" x14ac:dyDescent="0.2">
      <c r="B1167" s="48" t="s">
        <v>121</v>
      </c>
      <c r="D1167" s="66"/>
      <c r="F1167" s="60"/>
      <c r="H1167" s="60"/>
      <c r="I1167" s="60"/>
      <c r="L1167" s="60"/>
      <c r="M1167" s="60"/>
      <c r="N1167" s="60"/>
      <c r="O1167" s="60"/>
      <c r="P1167" s="60"/>
      <c r="Q1167" s="60"/>
      <c r="T1167" s="58"/>
      <c r="U1167" s="50"/>
      <c r="W1167" s="50"/>
    </row>
    <row r="1168" spans="1:29" x14ac:dyDescent="0.2">
      <c r="A1168" s="33">
        <v>5</v>
      </c>
      <c r="B1168" s="48" t="s">
        <v>82</v>
      </c>
      <c r="C1168" s="51" t="s">
        <v>1031</v>
      </c>
      <c r="D1168" s="66">
        <f ca="1">SUM(F1168:I1168)+K1168</f>
        <v>-17452.169999999998</v>
      </c>
      <c r="F1168" s="60">
        <f ca="1">INDEX(INDIRECT($C1168),1,F$12+1)*$T1168</f>
        <v>-14992.1597303852</v>
      </c>
      <c r="H1168" s="60">
        <f ca="1">INDEX(INDIRECT($C1168),1,H$12+1)*$T1168</f>
        <v>-914.3273490230697</v>
      </c>
      <c r="I1168" s="60">
        <f ca="1">(L1168+M1168+N1168)</f>
        <v>-1545.6829205917309</v>
      </c>
      <c r="L1168" s="60">
        <f ca="1">INDEX(INDIRECT($C1168),1,L$12+1)*$T1168</f>
        <v>-0.13255721728388606</v>
      </c>
      <c r="M1168" s="60"/>
      <c r="N1168" s="60">
        <f ca="1">SUM(O1168:Q1168)</f>
        <v>-1545.550363374447</v>
      </c>
      <c r="O1168" s="60">
        <f t="shared" ref="O1168:Q1169" ca="1" si="370">INDEX(INDIRECT($C1168),1,O$12+1)*$T1168</f>
        <v>-482.25092749618955</v>
      </c>
      <c r="P1168" s="60">
        <f t="shared" ca="1" si="370"/>
        <v>-1063.2994358782576</v>
      </c>
      <c r="Q1168" s="60">
        <f t="shared" ca="1" si="370"/>
        <v>0</v>
      </c>
      <c r="T1168" s="60">
        <f>Y1168+Z1168</f>
        <v>-17452.169999999998</v>
      </c>
      <c r="U1168" s="50"/>
      <c r="V1168" s="75" t="s">
        <v>638</v>
      </c>
      <c r="W1168" s="50"/>
      <c r="Y1168" s="338">
        <v>-11161.9</v>
      </c>
      <c r="Z1168" s="338">
        <v>-6290.27</v>
      </c>
    </row>
    <row r="1169" spans="1:26" x14ac:dyDescent="0.2">
      <c r="A1169" s="33">
        <v>6</v>
      </c>
      <c r="B1169" s="48" t="s">
        <v>84</v>
      </c>
      <c r="C1169" s="51" t="s">
        <v>1072</v>
      </c>
      <c r="D1169" s="66">
        <f ca="1">SUM(F1169:I1169)+K1169</f>
        <v>0</v>
      </c>
      <c r="F1169" s="60">
        <f ca="1">INDEX(INDIRECT($C1169),1,F$12+1)*$T1169</f>
        <v>0</v>
      </c>
      <c r="H1169" s="60">
        <f ca="1">INDEX(INDIRECT($C1169),1,H$12+1)*$T1169</f>
        <v>0</v>
      </c>
      <c r="I1169" s="60">
        <f ca="1">(L1169+M1169+N1169)</f>
        <v>0</v>
      </c>
      <c r="L1169" s="60">
        <f ca="1">INDEX(INDIRECT($C1169),1,L$12+1)*$T1169</f>
        <v>0</v>
      </c>
      <c r="M1169" s="60"/>
      <c r="N1169" s="60">
        <f ca="1">SUM(O1169:Q1169)</f>
        <v>0</v>
      </c>
      <c r="O1169" s="60">
        <f t="shared" ca="1" si="370"/>
        <v>0</v>
      </c>
      <c r="P1169" s="60">
        <f t="shared" ca="1" si="370"/>
        <v>0</v>
      </c>
      <c r="Q1169" s="60">
        <f t="shared" ca="1" si="370"/>
        <v>0</v>
      </c>
      <c r="T1169" s="58"/>
      <c r="U1169" s="50"/>
      <c r="W1169" s="50"/>
    </row>
    <row r="1170" spans="1:26" x14ac:dyDescent="0.2">
      <c r="B1170" s="48"/>
      <c r="C1170" s="58"/>
      <c r="T1170" s="58"/>
      <c r="U1170" s="50"/>
      <c r="W1170" s="50"/>
    </row>
    <row r="1171" spans="1:26" x14ac:dyDescent="0.2">
      <c r="A1171" s="33">
        <v>7</v>
      </c>
      <c r="B1171" s="48" t="s">
        <v>122</v>
      </c>
      <c r="C1171" s="58"/>
      <c r="D1171" s="66">
        <f ca="1">SUM(F1171:I1171)+K1171</f>
        <v>-17452.169999999998</v>
      </c>
      <c r="F1171" s="33">
        <f ca="1">F1168+F1169</f>
        <v>-14992.1597303852</v>
      </c>
      <c r="H1171" s="33">
        <f ca="1">H1168+H1169</f>
        <v>-914.3273490230697</v>
      </c>
      <c r="I1171" s="60">
        <f ca="1">(L1171+M1171+N1171)</f>
        <v>-1545.6829205917309</v>
      </c>
      <c r="L1171" s="33">
        <f ca="1">L1168+L1169</f>
        <v>-0.13255721728388606</v>
      </c>
      <c r="N1171" s="60">
        <f ca="1">SUM(O1171:Q1171)</f>
        <v>-1545.550363374447</v>
      </c>
      <c r="O1171" s="33">
        <f ca="1">O1168+O1169</f>
        <v>-482.25092749618955</v>
      </c>
      <c r="P1171" s="33">
        <f ca="1">P1168+P1169</f>
        <v>-1063.2994358782576</v>
      </c>
      <c r="Q1171" s="33">
        <f ca="1">Q1168+Q1169</f>
        <v>0</v>
      </c>
      <c r="T1171" s="58"/>
      <c r="U1171" s="50"/>
      <c r="W1171" s="50"/>
    </row>
    <row r="1172" spans="1:26" x14ac:dyDescent="0.2">
      <c r="B1172" s="48"/>
      <c r="C1172" s="58"/>
      <c r="T1172" s="58"/>
      <c r="U1172" s="50"/>
      <c r="W1172" s="50"/>
    </row>
    <row r="1173" spans="1:26" x14ac:dyDescent="0.2">
      <c r="B1173" s="48" t="s">
        <v>325</v>
      </c>
      <c r="D1173" s="66"/>
      <c r="F1173" s="60"/>
      <c r="H1173" s="60"/>
      <c r="I1173" s="60"/>
      <c r="L1173" s="60"/>
      <c r="M1173" s="60"/>
      <c r="N1173" s="60"/>
      <c r="O1173" s="60"/>
      <c r="P1173" s="60"/>
      <c r="Q1173" s="60"/>
      <c r="T1173" s="58"/>
      <c r="U1173" s="50"/>
      <c r="W1173" s="50"/>
    </row>
    <row r="1174" spans="1:26" x14ac:dyDescent="0.2">
      <c r="A1174" s="33">
        <v>8</v>
      </c>
      <c r="B1174" s="48" t="s">
        <v>1205</v>
      </c>
      <c r="C1174" s="51" t="s">
        <v>1109</v>
      </c>
      <c r="D1174" s="66">
        <f ca="1">SUM(F1174:I1174)+K1174</f>
        <v>-35677.80000000001</v>
      </c>
      <c r="F1174" s="60">
        <f ca="1">INDEX(INDIRECT($C1174),1,F$12+1)*$T1174</f>
        <v>-35563.85448091069</v>
      </c>
      <c r="H1174" s="60">
        <f ca="1">INDEX(INDIRECT($C1174),1,H$12+1)*$T1174</f>
        <v>0</v>
      </c>
      <c r="I1174" s="60">
        <f ca="1">(L1174+M1174+N1174)</f>
        <v>-113.94551908931825</v>
      </c>
      <c r="L1174" s="60">
        <f ca="1">INDEX(INDIRECT($C1174),1,L$12+1)*$T1174</f>
        <v>0</v>
      </c>
      <c r="M1174" s="60"/>
      <c r="N1174" s="60">
        <f ca="1">SUM(O1174:Q1174)</f>
        <v>-113.94551908931825</v>
      </c>
      <c r="O1174" s="60">
        <f t="shared" ref="O1174:Q1175" ca="1" si="371">INDEX(INDIRECT($C1174),1,O$12+1)*$T1174</f>
        <v>-97.918078183911746</v>
      </c>
      <c r="P1174" s="60">
        <f t="shared" ca="1" si="371"/>
        <v>-16.0274409054065</v>
      </c>
      <c r="Q1174" s="60">
        <f t="shared" ca="1" si="371"/>
        <v>0</v>
      </c>
      <c r="T1174" s="60">
        <f>Y1174+Z1174</f>
        <v>-35677.800000000003</v>
      </c>
      <c r="U1174" s="50"/>
      <c r="V1174" s="75" t="s">
        <v>638</v>
      </c>
      <c r="W1174" s="50"/>
      <c r="Y1174" s="338">
        <v>-23233.87</v>
      </c>
      <c r="Z1174" s="338">
        <v>-12443.93</v>
      </c>
    </row>
    <row r="1175" spans="1:26" x14ac:dyDescent="0.2">
      <c r="A1175" s="33">
        <v>9</v>
      </c>
      <c r="B1175" s="48" t="s">
        <v>1206</v>
      </c>
      <c r="C1175" s="51" t="s">
        <v>1111</v>
      </c>
      <c r="D1175" s="66">
        <f ca="1">SUM(F1175:I1175)+K1175</f>
        <v>0</v>
      </c>
      <c r="F1175" s="60">
        <f ca="1">INDEX(INDIRECT($C1175),1,F$12+1)*$T1175</f>
        <v>0</v>
      </c>
      <c r="H1175" s="60">
        <f ca="1">INDEX(INDIRECT($C1175),1,H$12+1)*$T1175</f>
        <v>0</v>
      </c>
      <c r="I1175" s="60">
        <f ca="1">(L1175+M1175+N1175)</f>
        <v>0</v>
      </c>
      <c r="L1175" s="60">
        <f ca="1">INDEX(INDIRECT($C1175),1,L$12+1)*$T1175</f>
        <v>0</v>
      </c>
      <c r="M1175" s="60"/>
      <c r="N1175" s="60">
        <f ca="1">SUM(O1175:Q1175)</f>
        <v>0</v>
      </c>
      <c r="O1175" s="60">
        <f t="shared" ca="1" si="371"/>
        <v>0</v>
      </c>
      <c r="P1175" s="60">
        <f t="shared" ca="1" si="371"/>
        <v>0</v>
      </c>
      <c r="Q1175" s="60">
        <f t="shared" ca="1" si="371"/>
        <v>0</v>
      </c>
      <c r="T1175" s="58"/>
      <c r="U1175" s="50"/>
      <c r="W1175" s="50"/>
    </row>
    <row r="1176" spans="1:26" x14ac:dyDescent="0.2">
      <c r="B1176" s="48"/>
      <c r="C1176" s="58"/>
      <c r="T1176" s="58"/>
      <c r="U1176" s="50"/>
      <c r="W1176" s="50"/>
    </row>
    <row r="1177" spans="1:26" x14ac:dyDescent="0.2">
      <c r="A1177" s="33">
        <v>10</v>
      </c>
      <c r="B1177" s="48" t="s">
        <v>123</v>
      </c>
      <c r="C1177" s="58"/>
      <c r="D1177" s="66">
        <f ca="1">SUM(F1177:I1177)+K1177</f>
        <v>-35677.80000000001</v>
      </c>
      <c r="F1177" s="33">
        <f ca="1">F1174+F1175</f>
        <v>-35563.85448091069</v>
      </c>
      <c r="H1177" s="33">
        <f ca="1">H1174+H1175</f>
        <v>0</v>
      </c>
      <c r="I1177" s="60">
        <f ca="1">(L1177+M1177+N1177)</f>
        <v>-113.94551908931825</v>
      </c>
      <c r="L1177" s="33">
        <f ca="1">L1174+L1175</f>
        <v>0</v>
      </c>
      <c r="N1177" s="60">
        <f ca="1">SUM(O1177:Q1177)</f>
        <v>-113.94551908931825</v>
      </c>
      <c r="O1177" s="33">
        <f ca="1">O1174+O1175</f>
        <v>-97.918078183911746</v>
      </c>
      <c r="P1177" s="33">
        <f ca="1">P1174+P1175</f>
        <v>-16.0274409054065</v>
      </c>
      <c r="Q1177" s="33">
        <f ca="1">Q1174+Q1175</f>
        <v>0</v>
      </c>
      <c r="T1177" s="58"/>
      <c r="U1177" s="50"/>
      <c r="W1177" s="50"/>
    </row>
    <row r="1178" spans="1:26" x14ac:dyDescent="0.2">
      <c r="B1178" s="48"/>
      <c r="C1178" s="58"/>
      <c r="T1178" s="58"/>
      <c r="U1178" s="50"/>
      <c r="W1178" s="50"/>
    </row>
    <row r="1179" spans="1:26" x14ac:dyDescent="0.2">
      <c r="A1179" s="33">
        <v>11</v>
      </c>
      <c r="B1179" s="48" t="s">
        <v>91</v>
      </c>
      <c r="C1179" s="58"/>
      <c r="D1179" s="66">
        <f ca="1">SUM(F1179:I1179)+K1179</f>
        <v>-6011854.4199999999</v>
      </c>
      <c r="F1179" s="33">
        <f ca="1">F1177+F1171+F1165</f>
        <v>-5207773.4701500861</v>
      </c>
      <c r="H1179" s="33">
        <f ca="1">H1177+H1171+H1165</f>
        <v>-303782.3994945992</v>
      </c>
      <c r="I1179" s="60">
        <f ca="1">(L1179+M1179+N1179)</f>
        <v>-500298.55035531416</v>
      </c>
      <c r="L1179" s="33">
        <f ca="1">L1177+L1171+L1165</f>
        <v>-45.73148406846969</v>
      </c>
      <c r="N1179" s="60">
        <f ca="1">SUM(O1179:Q1179)</f>
        <v>-500252.81887124572</v>
      </c>
      <c r="O1179" s="33">
        <f ca="1">O1177+O1171+O1165</f>
        <v>-156153.93622331505</v>
      </c>
      <c r="P1179" s="33">
        <f ca="1">P1177+P1171+P1165</f>
        <v>-344098.8826479307</v>
      </c>
      <c r="Q1179" s="33">
        <f ca="1">Q1177+Q1171+Q1165</f>
        <v>0</v>
      </c>
      <c r="T1179" s="58"/>
      <c r="U1179" s="50"/>
      <c r="W1179" s="50"/>
    </row>
    <row r="1180" spans="1:26" x14ac:dyDescent="0.2">
      <c r="B1180" s="48"/>
      <c r="C1180" s="58"/>
      <c r="T1180" s="58"/>
      <c r="U1180" s="50"/>
      <c r="W1180" s="50"/>
    </row>
    <row r="1181" spans="1:26" x14ac:dyDescent="0.2">
      <c r="A1181" s="60"/>
      <c r="B1181" s="48" t="s">
        <v>90</v>
      </c>
      <c r="C1181" s="58"/>
      <c r="D1181" s="66"/>
      <c r="F1181" s="60"/>
      <c r="H1181" s="60"/>
      <c r="I1181" s="60"/>
      <c r="L1181" s="60"/>
      <c r="M1181" s="60"/>
      <c r="N1181" s="60"/>
      <c r="O1181" s="60"/>
      <c r="P1181" s="60"/>
      <c r="Q1181" s="60"/>
      <c r="T1181" s="58"/>
      <c r="U1181" s="50"/>
      <c r="W1181" s="50"/>
    </row>
    <row r="1182" spans="1:26" x14ac:dyDescent="0.2">
      <c r="A1182" s="60"/>
      <c r="B1182" s="48"/>
      <c r="C1182" s="58"/>
      <c r="D1182" s="66"/>
      <c r="F1182" s="60"/>
      <c r="H1182" s="60"/>
      <c r="I1182" s="60"/>
      <c r="L1182" s="60"/>
      <c r="M1182" s="60"/>
      <c r="N1182" s="60"/>
      <c r="O1182" s="60"/>
      <c r="P1182" s="60"/>
      <c r="Q1182" s="60"/>
      <c r="T1182" s="58"/>
      <c r="U1182" s="50"/>
      <c r="W1182" s="50"/>
    </row>
    <row r="1183" spans="1:26" x14ac:dyDescent="0.2">
      <c r="B1183" s="48" t="s">
        <v>110</v>
      </c>
      <c r="C1183" s="58"/>
      <c r="T1183" s="58"/>
      <c r="U1183" s="50"/>
      <c r="W1183" s="50"/>
    </row>
    <row r="1184" spans="1:26" x14ac:dyDescent="0.2">
      <c r="A1184" s="33">
        <v>12</v>
      </c>
      <c r="B1184" s="48" t="s">
        <v>111</v>
      </c>
      <c r="C1184" s="51" t="s">
        <v>732</v>
      </c>
      <c r="D1184" s="66">
        <f ca="1">SUM(F1184:I1184)+K1184</f>
        <v>2899712.8799999994</v>
      </c>
      <c r="F1184" s="60">
        <f ca="1">INDEX(INDIRECT($C1184),1,F$12+1)*$T1184</f>
        <v>2509673.0025746603</v>
      </c>
      <c r="H1184" s="60">
        <f ca="1">INDEX(INDIRECT($C1184),1,H$12+1)*$T1184</f>
        <v>147385.64555394003</v>
      </c>
      <c r="I1184" s="60">
        <f ca="1">(L1184+M1184+N1184)</f>
        <v>242654.23187139924</v>
      </c>
      <c r="L1184" s="60">
        <f ca="1">INDEX(INDIRECT($C1184),1,L$12+1)*$T1184</f>
        <v>22.189949646784108</v>
      </c>
      <c r="M1184" s="60"/>
      <c r="N1184" s="60">
        <f ca="1">SUM(O1184:Q1184)</f>
        <v>242632.04192175245</v>
      </c>
      <c r="O1184" s="60">
        <f t="shared" ref="O1184:Q1186" ca="1" si="372">INDEX(INDIRECT($C1184),1,O$12+1)*$T1184</f>
        <v>75707.353205617328</v>
      </c>
      <c r="P1184" s="60">
        <f t="shared" ca="1" si="372"/>
        <v>166924.6887161351</v>
      </c>
      <c r="Q1184" s="60">
        <f t="shared" ca="1" si="372"/>
        <v>0</v>
      </c>
      <c r="T1184" s="338">
        <v>2899712.88</v>
      </c>
      <c r="U1184" s="50"/>
      <c r="V1184" s="151" t="s">
        <v>783</v>
      </c>
      <c r="W1184" s="50"/>
    </row>
    <row r="1185" spans="1:26" x14ac:dyDescent="0.2">
      <c r="A1185" s="33">
        <v>13</v>
      </c>
      <c r="B1185" s="48" t="s">
        <v>116</v>
      </c>
      <c r="C1185" s="51" t="s">
        <v>1027</v>
      </c>
      <c r="D1185" s="66">
        <f ca="1">SUM(F1185:I1185)+K1185</f>
        <v>0</v>
      </c>
      <c r="F1185" s="60">
        <f ca="1">INDEX(INDIRECT($C1185),1,F$12+1)*$T1185</f>
        <v>0</v>
      </c>
      <c r="H1185" s="60">
        <f ca="1">INDEX(INDIRECT($C1185),1,H$12+1)*$T1185</f>
        <v>0</v>
      </c>
      <c r="I1185" s="60">
        <f ca="1">(L1185+M1185+N1185)</f>
        <v>0</v>
      </c>
      <c r="L1185" s="60">
        <f ca="1">INDEX(INDIRECT($C1185),1,L$12+1)*$T1185</f>
        <v>0</v>
      </c>
      <c r="M1185" s="60"/>
      <c r="N1185" s="60">
        <f ca="1">SUM(O1185:Q1185)</f>
        <v>0</v>
      </c>
      <c r="O1185" s="60">
        <f t="shared" ca="1" si="372"/>
        <v>0</v>
      </c>
      <c r="P1185" s="60">
        <f t="shared" ca="1" si="372"/>
        <v>0</v>
      </c>
      <c r="Q1185" s="60">
        <f t="shared" ca="1" si="372"/>
        <v>0</v>
      </c>
      <c r="T1185" s="34"/>
      <c r="U1185" s="50"/>
      <c r="W1185" s="50"/>
    </row>
    <row r="1186" spans="1:26" x14ac:dyDescent="0.2">
      <c r="A1186" s="33">
        <v>14</v>
      </c>
      <c r="B1186" s="48" t="s">
        <v>118</v>
      </c>
      <c r="C1186" s="51" t="s">
        <v>1029</v>
      </c>
      <c r="D1186" s="66">
        <f ca="1">SUM(F1186:I1186)+K1186</f>
        <v>0</v>
      </c>
      <c r="F1186" s="60">
        <f ca="1">INDEX(INDIRECT($C1186),1,F$12+1)*$T1186</f>
        <v>0</v>
      </c>
      <c r="H1186" s="60">
        <f ca="1">INDEX(INDIRECT($C1186),1,H$12+1)*$T1186</f>
        <v>0</v>
      </c>
      <c r="I1186" s="60">
        <f ca="1">(L1186+M1186+N1186)</f>
        <v>0</v>
      </c>
      <c r="L1186" s="60">
        <f ca="1">INDEX(INDIRECT($C1186),1,L$12+1)*$T1186</f>
        <v>0</v>
      </c>
      <c r="M1186" s="60"/>
      <c r="N1186" s="60">
        <f ca="1">SUM(O1186:Q1186)</f>
        <v>0</v>
      </c>
      <c r="O1186" s="60">
        <f t="shared" ca="1" si="372"/>
        <v>0</v>
      </c>
      <c r="P1186" s="60">
        <f t="shared" ca="1" si="372"/>
        <v>0</v>
      </c>
      <c r="Q1186" s="60">
        <f t="shared" ca="1" si="372"/>
        <v>0</v>
      </c>
      <c r="T1186" s="34"/>
      <c r="U1186" s="50"/>
      <c r="W1186" s="50"/>
    </row>
    <row r="1187" spans="1:26" x14ac:dyDescent="0.2">
      <c r="B1187" s="48"/>
      <c r="C1187" s="51"/>
      <c r="D1187" s="66"/>
      <c r="F1187" s="60"/>
      <c r="H1187" s="60"/>
      <c r="I1187" s="60"/>
      <c r="L1187" s="60"/>
      <c r="M1187" s="60"/>
      <c r="N1187" s="60"/>
      <c r="O1187" s="60"/>
      <c r="P1187" s="60"/>
      <c r="Q1187" s="60"/>
      <c r="T1187" s="34"/>
      <c r="U1187" s="50"/>
      <c r="W1187" s="50"/>
    </row>
    <row r="1188" spans="1:26" x14ac:dyDescent="0.2">
      <c r="A1188" s="33">
        <v>15</v>
      </c>
      <c r="B1188" s="48" t="s">
        <v>120</v>
      </c>
      <c r="D1188" s="66">
        <f ca="1">SUM(F1188:I1188)+K1188</f>
        <v>2899712.8799999994</v>
      </c>
      <c r="F1188" s="60">
        <f ca="1">SUM(F1184:F1186)</f>
        <v>2509673.0025746603</v>
      </c>
      <c r="H1188" s="60">
        <f ca="1">SUM(H1184:H1186)</f>
        <v>147385.64555394003</v>
      </c>
      <c r="I1188" s="60">
        <f ca="1">(L1188+M1188+N1188)</f>
        <v>242654.23187139924</v>
      </c>
      <c r="L1188" s="60">
        <f ca="1">SUM(L1184:L1186)</f>
        <v>22.189949646784108</v>
      </c>
      <c r="M1188" s="60"/>
      <c r="N1188" s="60">
        <f ca="1">SUM(O1188:Q1188)</f>
        <v>242632.04192175245</v>
      </c>
      <c r="O1188" s="60">
        <f ca="1">SUM(O1184:O1186)</f>
        <v>75707.353205617328</v>
      </c>
      <c r="P1188" s="60">
        <f ca="1">SUM(P1184:P1186)</f>
        <v>166924.6887161351</v>
      </c>
      <c r="Q1188" s="60">
        <f ca="1">SUM(Q1184:Q1186)</f>
        <v>0</v>
      </c>
      <c r="T1188" s="34"/>
      <c r="U1188" s="50"/>
      <c r="W1188" s="50"/>
    </row>
    <row r="1189" spans="1:26" x14ac:dyDescent="0.2">
      <c r="B1189" s="48"/>
      <c r="D1189" s="66"/>
      <c r="F1189" s="60"/>
      <c r="H1189" s="60"/>
      <c r="I1189" s="60"/>
      <c r="L1189" s="60"/>
      <c r="M1189" s="60"/>
      <c r="N1189" s="60"/>
      <c r="O1189" s="60"/>
      <c r="P1189" s="60"/>
      <c r="Q1189" s="60"/>
      <c r="T1189" s="34"/>
      <c r="U1189" s="50"/>
      <c r="W1189" s="50"/>
    </row>
    <row r="1190" spans="1:26" x14ac:dyDescent="0.2">
      <c r="B1190" s="48" t="s">
        <v>121</v>
      </c>
      <c r="D1190" s="66"/>
      <c r="F1190" s="60"/>
      <c r="H1190" s="60"/>
      <c r="I1190" s="60"/>
      <c r="L1190" s="60"/>
      <c r="M1190" s="60"/>
      <c r="N1190" s="60"/>
      <c r="O1190" s="60"/>
      <c r="P1190" s="60"/>
      <c r="Q1190" s="60"/>
      <c r="T1190" s="34"/>
      <c r="U1190" s="50"/>
      <c r="W1190" s="50"/>
    </row>
    <row r="1191" spans="1:26" x14ac:dyDescent="0.2">
      <c r="A1191" s="33">
        <v>16</v>
      </c>
      <c r="B1191" s="48" t="s">
        <v>82</v>
      </c>
      <c r="C1191" s="51" t="s">
        <v>1031</v>
      </c>
      <c r="D1191" s="66">
        <f ca="1">SUM(F1191:I1191)+K1191</f>
        <v>11161.900000000001</v>
      </c>
      <c r="F1191" s="60">
        <f ca="1">INDEX(INDIRECT($C1191),1,F$12+1)*$T1191</f>
        <v>9588.5490282633382</v>
      </c>
      <c r="H1191" s="60">
        <f ca="1">INDEX(INDIRECT($C1191),1,H$12+1)*$T1191</f>
        <v>584.77716164010565</v>
      </c>
      <c r="I1191" s="60">
        <f ca="1">(L1191+M1191+N1191)</f>
        <v>988.57381009655785</v>
      </c>
      <c r="L1191" s="60">
        <f ca="1">INDEX(INDIRECT($C1191),1,L$12+1)*$T1191</f>
        <v>8.4779738198803231E-2</v>
      </c>
      <c r="M1191" s="60"/>
      <c r="N1191" s="60">
        <f ca="1">SUM(O1191:Q1191)</f>
        <v>988.48903035835906</v>
      </c>
      <c r="O1191" s="60">
        <f t="shared" ref="O1191:Q1192" ca="1" si="373">INDEX(INDIRECT($C1191),1,O$12+1)*$T1191</f>
        <v>308.43365768381346</v>
      </c>
      <c r="P1191" s="60">
        <f t="shared" ca="1" si="373"/>
        <v>680.05537267454554</v>
      </c>
      <c r="Q1191" s="60">
        <f t="shared" ca="1" si="373"/>
        <v>0</v>
      </c>
      <c r="T1191" s="338">
        <v>11161.9</v>
      </c>
      <c r="U1191" s="50"/>
      <c r="V1191" s="151" t="s">
        <v>783</v>
      </c>
      <c r="W1191" s="50"/>
    </row>
    <row r="1192" spans="1:26" x14ac:dyDescent="0.2">
      <c r="A1192" s="33">
        <v>17</v>
      </c>
      <c r="B1192" s="48" t="s">
        <v>84</v>
      </c>
      <c r="C1192" s="51" t="s">
        <v>1072</v>
      </c>
      <c r="D1192" s="66">
        <f ca="1">SUM(F1192:I1192)+K1192</f>
        <v>0</v>
      </c>
      <c r="F1192" s="60">
        <f ca="1">INDEX(INDIRECT($C1192),1,F$12+1)*$T1192</f>
        <v>0</v>
      </c>
      <c r="H1192" s="60">
        <f ca="1">INDEX(INDIRECT($C1192),1,H$12+1)*$T1192</f>
        <v>0</v>
      </c>
      <c r="I1192" s="60">
        <f ca="1">(L1192+M1192+N1192)</f>
        <v>0</v>
      </c>
      <c r="L1192" s="60">
        <f ca="1">INDEX(INDIRECT($C1192),1,L$12+1)*$T1192</f>
        <v>0</v>
      </c>
      <c r="M1192" s="60"/>
      <c r="N1192" s="60">
        <f ca="1">SUM(O1192:Q1192)</f>
        <v>0</v>
      </c>
      <c r="O1192" s="60">
        <f t="shared" ca="1" si="373"/>
        <v>0</v>
      </c>
      <c r="P1192" s="60">
        <f t="shared" ca="1" si="373"/>
        <v>0</v>
      </c>
      <c r="Q1192" s="60">
        <f t="shared" ca="1" si="373"/>
        <v>0</v>
      </c>
      <c r="T1192" s="34"/>
      <c r="U1192" s="50"/>
      <c r="W1192" s="50"/>
    </row>
    <row r="1193" spans="1:26" x14ac:dyDescent="0.2">
      <c r="B1193" s="48"/>
      <c r="C1193" s="58"/>
      <c r="T1193" s="34"/>
      <c r="U1193" s="50"/>
      <c r="W1193" s="104"/>
      <c r="X1193" s="104"/>
    </row>
    <row r="1194" spans="1:26" x14ac:dyDescent="0.2">
      <c r="A1194" s="33">
        <v>18</v>
      </c>
      <c r="B1194" s="48" t="s">
        <v>122</v>
      </c>
      <c r="C1194" s="58"/>
      <c r="D1194" s="66">
        <f ca="1">SUM(F1194:I1194)+K1194</f>
        <v>11161.900000000001</v>
      </c>
      <c r="F1194" s="33">
        <f ca="1">F1191+F1192</f>
        <v>9588.5490282633382</v>
      </c>
      <c r="H1194" s="33">
        <f ca="1">H1191+H1192</f>
        <v>584.77716164010565</v>
      </c>
      <c r="I1194" s="60">
        <f ca="1">(L1194+M1194+N1194)</f>
        <v>988.57381009655785</v>
      </c>
      <c r="L1194" s="33">
        <f ca="1">L1191+L1192</f>
        <v>8.4779738198803231E-2</v>
      </c>
      <c r="N1194" s="60">
        <f ca="1">SUM(O1194:Q1194)</f>
        <v>988.48903035835906</v>
      </c>
      <c r="O1194" s="33">
        <f ca="1">O1191+O1192</f>
        <v>308.43365768381346</v>
      </c>
      <c r="P1194" s="33">
        <f ca="1">P1191+P1192</f>
        <v>680.05537267454554</v>
      </c>
      <c r="Q1194" s="33">
        <f ca="1">Q1191+Q1192</f>
        <v>0</v>
      </c>
      <c r="T1194" s="34"/>
      <c r="U1194" s="50"/>
      <c r="W1194" s="89"/>
      <c r="X1194" s="89"/>
      <c r="Y1194" s="89"/>
      <c r="Z1194" s="105"/>
    </row>
    <row r="1195" spans="1:26" x14ac:dyDescent="0.2">
      <c r="B1195" s="48"/>
      <c r="C1195" s="58"/>
      <c r="T1195" s="34"/>
      <c r="U1195" s="50"/>
      <c r="W1195" s="50"/>
    </row>
    <row r="1196" spans="1:26" x14ac:dyDescent="0.2">
      <c r="B1196" s="48" t="s">
        <v>85</v>
      </c>
      <c r="D1196" s="66"/>
      <c r="F1196" s="60"/>
      <c r="H1196" s="60"/>
      <c r="I1196" s="60"/>
      <c r="L1196" s="60"/>
      <c r="M1196" s="60"/>
      <c r="N1196" s="60"/>
      <c r="O1196" s="60"/>
      <c r="P1196" s="60"/>
      <c r="Q1196" s="60"/>
      <c r="T1196" s="34"/>
      <c r="U1196" s="50"/>
      <c r="W1196" s="50"/>
    </row>
    <row r="1197" spans="1:26" x14ac:dyDescent="0.2">
      <c r="A1197" s="33">
        <v>19</v>
      </c>
      <c r="B1197" s="48" t="s">
        <v>82</v>
      </c>
      <c r="C1197" s="51" t="s">
        <v>1109</v>
      </c>
      <c r="D1197" s="66">
        <f ca="1">SUM(F1197:I1197)+K1197</f>
        <v>23233.87</v>
      </c>
      <c r="F1197" s="60">
        <f ca="1">INDEX(INDIRECT($C1197),1,F$12+1)*$T1197</f>
        <v>23159.667123768737</v>
      </c>
      <c r="H1197" s="60">
        <f ca="1">INDEX(INDIRECT($C1197),1,H$12+1)*$T1197</f>
        <v>0</v>
      </c>
      <c r="I1197" s="60">
        <f ca="1">(L1197+M1197+N1197)</f>
        <v>74.202876231262536</v>
      </c>
      <c r="L1197" s="60">
        <f ca="1">INDEX(INDIRECT($C1197),1,L$12+1)*$T1197</f>
        <v>0</v>
      </c>
      <c r="M1197" s="60"/>
      <c r="N1197" s="60">
        <f ca="1">SUM(O1197:Q1197)</f>
        <v>74.202876231262536</v>
      </c>
      <c r="O1197" s="60">
        <f t="shared" ref="O1197:Q1198" ca="1" si="374">INDEX(INDIRECT($C1197),1,O$12+1)*$T1197</f>
        <v>63.76558810170026</v>
      </c>
      <c r="P1197" s="60">
        <f t="shared" ca="1" si="374"/>
        <v>10.437288129562274</v>
      </c>
      <c r="Q1197" s="60">
        <f t="shared" ca="1" si="374"/>
        <v>0</v>
      </c>
      <c r="T1197" s="338">
        <v>23233.87</v>
      </c>
      <c r="U1197" s="50"/>
      <c r="V1197" s="151" t="s">
        <v>783</v>
      </c>
      <c r="W1197" s="50"/>
    </row>
    <row r="1198" spans="1:26" x14ac:dyDescent="0.2">
      <c r="A1198" s="33">
        <v>20</v>
      </c>
      <c r="B1198" s="48" t="s">
        <v>84</v>
      </c>
      <c r="C1198" s="51" t="s">
        <v>1169</v>
      </c>
      <c r="D1198" s="66">
        <f ca="1">SUM(F1198:I1198)+K1198</f>
        <v>0</v>
      </c>
      <c r="F1198" s="60">
        <f ca="1">INDEX(INDIRECT($C1198),1,F$12+1)*$T1198</f>
        <v>0</v>
      </c>
      <c r="H1198" s="60">
        <f ca="1">INDEX(INDIRECT($C1198),1,H$12+1)*$T1198</f>
        <v>0</v>
      </c>
      <c r="I1198" s="60">
        <f ca="1">(L1198+M1198+N1198)</f>
        <v>0</v>
      </c>
      <c r="L1198" s="60">
        <f ca="1">INDEX(INDIRECT($C1198),1,L$12+1)*$T1198</f>
        <v>0</v>
      </c>
      <c r="M1198" s="60"/>
      <c r="N1198" s="60">
        <f ca="1">SUM(O1198:Q1198)</f>
        <v>0</v>
      </c>
      <c r="O1198" s="60">
        <f t="shared" ca="1" si="374"/>
        <v>0</v>
      </c>
      <c r="P1198" s="60">
        <f t="shared" ca="1" si="374"/>
        <v>0</v>
      </c>
      <c r="Q1198" s="60">
        <f t="shared" ca="1" si="374"/>
        <v>0</v>
      </c>
      <c r="T1198" s="34"/>
      <c r="U1198" s="50"/>
      <c r="W1198" s="50"/>
    </row>
    <row r="1199" spans="1:26" x14ac:dyDescent="0.2">
      <c r="B1199" s="48"/>
      <c r="C1199" s="58"/>
      <c r="T1199" s="58"/>
      <c r="U1199" s="50"/>
      <c r="W1199" s="104" t="s">
        <v>460</v>
      </c>
      <c r="X1199" s="104" t="s">
        <v>461</v>
      </c>
    </row>
    <row r="1200" spans="1:26" x14ac:dyDescent="0.2">
      <c r="A1200" s="33">
        <v>21</v>
      </c>
      <c r="B1200" s="48" t="s">
        <v>123</v>
      </c>
      <c r="C1200" s="58"/>
      <c r="D1200" s="66">
        <f ca="1">SUM(F1200:I1200)+K1200</f>
        <v>23233.87</v>
      </c>
      <c r="F1200" s="33">
        <f ca="1">F1197+F1198</f>
        <v>23159.667123768737</v>
      </c>
      <c r="H1200" s="33">
        <f ca="1">H1197+H1198</f>
        <v>0</v>
      </c>
      <c r="I1200" s="60">
        <f ca="1">(L1200+M1200+N1200)</f>
        <v>74.202876231262536</v>
      </c>
      <c r="L1200" s="33">
        <f ca="1">L1197+L1198</f>
        <v>0</v>
      </c>
      <c r="N1200" s="60">
        <f ca="1">SUM(O1200:Q1200)</f>
        <v>74.202876231262536</v>
      </c>
      <c r="O1200" s="33">
        <f ca="1">O1197+O1198</f>
        <v>63.76558810170026</v>
      </c>
      <c r="P1200" s="33">
        <f ca="1">P1197+P1198</f>
        <v>10.437288129562274</v>
      </c>
      <c r="Q1200" s="33">
        <f ca="1">Q1197+Q1198</f>
        <v>0</v>
      </c>
      <c r="T1200" s="58"/>
      <c r="U1200" s="50"/>
      <c r="W1200" s="339">
        <v>-6011854.4199999999</v>
      </c>
      <c r="X1200" s="339">
        <v>2934108.65</v>
      </c>
      <c r="Y1200" s="40">
        <f>W1200+X1200</f>
        <v>-3077745.77</v>
      </c>
      <c r="Z1200" s="331">
        <f ca="1">Y1200-(D1194+D1188+D1200+D1179)</f>
        <v>0</v>
      </c>
    </row>
    <row r="1201" spans="1:25" x14ac:dyDescent="0.2">
      <c r="B1201" s="48"/>
      <c r="C1201" s="58"/>
      <c r="T1201" s="58"/>
      <c r="U1201" s="50"/>
      <c r="W1201" s="50"/>
    </row>
    <row r="1202" spans="1:25" x14ac:dyDescent="0.2">
      <c r="A1202" s="33">
        <v>22</v>
      </c>
      <c r="B1202" s="48" t="s">
        <v>92</v>
      </c>
      <c r="C1202" s="58"/>
      <c r="D1202" s="66">
        <f ca="1">SUM(F1202:I1202)+K1202</f>
        <v>2934108.65</v>
      </c>
      <c r="F1202" s="33">
        <f ca="1">F1194+F1188+F1200</f>
        <v>2542421.2187266927</v>
      </c>
      <c r="H1202" s="33">
        <f ca="1">H1194+H1188+H1200</f>
        <v>147970.42271558015</v>
      </c>
      <c r="I1202" s="60">
        <f ca="1">(L1202+M1202+N1202)</f>
        <v>243717.00855772704</v>
      </c>
      <c r="L1202" s="33">
        <f ca="1">L1194+L1188+L1200</f>
        <v>22.274729384982912</v>
      </c>
      <c r="N1202" s="60">
        <f ca="1">SUM(O1202:Q1202)</f>
        <v>243694.73382834205</v>
      </c>
      <c r="O1202" s="33">
        <f ca="1">O1194+O1188+O1200</f>
        <v>76079.552451402837</v>
      </c>
      <c r="P1202" s="33">
        <f ca="1">P1194+P1188+P1200</f>
        <v>167615.1813769392</v>
      </c>
      <c r="Q1202" s="33">
        <f ca="1">Q1194+Q1188+Q1200</f>
        <v>0</v>
      </c>
      <c r="T1202" s="58"/>
      <c r="U1202" s="50"/>
      <c r="W1202" s="50"/>
    </row>
    <row r="1203" spans="1:25" x14ac:dyDescent="0.2">
      <c r="B1203" s="48"/>
      <c r="C1203" s="58"/>
      <c r="T1203" s="58"/>
      <c r="U1203" s="50"/>
      <c r="W1203" s="50"/>
    </row>
    <row r="1204" spans="1:25" x14ac:dyDescent="0.2">
      <c r="B1204" s="64" t="s">
        <v>329</v>
      </c>
      <c r="C1204" s="58"/>
      <c r="T1204" s="58"/>
      <c r="U1204" s="50"/>
      <c r="W1204" s="50"/>
    </row>
    <row r="1205" spans="1:25" x14ac:dyDescent="0.2">
      <c r="C1205" s="58"/>
      <c r="W1205" s="50"/>
    </row>
    <row r="1206" spans="1:25" x14ac:dyDescent="0.2">
      <c r="B1206" s="48" t="s">
        <v>330</v>
      </c>
      <c r="C1206" s="58"/>
      <c r="V1206" s="34" t="s">
        <v>1543</v>
      </c>
      <c r="W1206" s="50"/>
    </row>
    <row r="1207" spans="1:25" x14ac:dyDescent="0.2">
      <c r="A1207" s="60">
        <v>1</v>
      </c>
      <c r="B1207" s="48" t="s">
        <v>331</v>
      </c>
      <c r="C1207" s="51" t="s">
        <v>1115</v>
      </c>
      <c r="D1207" s="66">
        <f t="shared" ref="D1207:D1213" ca="1" si="375">SUM(F1207:I1207)+K1207</f>
        <v>19442861.000000004</v>
      </c>
      <c r="F1207" s="60">
        <f t="shared" ref="F1207:F1212" ca="1" si="376">INDEX(INDIRECT($C1207),1,F$12+1)*$T1207</f>
        <v>17000077.441468615</v>
      </c>
      <c r="H1207" s="60">
        <f t="shared" ref="H1207:H1212" ca="1" si="377">INDEX(INDIRECT($C1207),1,H$12+1)*$T1207</f>
        <v>1078544.268135082</v>
      </c>
      <c r="I1207" s="60">
        <f t="shared" ref="I1207:I1213" ca="1" si="378">(L1207+M1207+N1207)</f>
        <v>1364239.2903963062</v>
      </c>
      <c r="L1207" s="60">
        <f t="shared" ref="L1207:L1212" ca="1" si="379">INDEX(INDIRECT($C1207),1,L$12+1)*$T1207</f>
        <v>228.57349742926326</v>
      </c>
      <c r="M1207" s="60"/>
      <c r="N1207" s="60">
        <f t="shared" ref="N1207:N1213" ca="1" si="380">SUM(O1207:Q1207)</f>
        <v>1364010.7168988769</v>
      </c>
      <c r="O1207" s="60">
        <f t="shared" ref="O1207:Q1212" ca="1" si="381">INDEX(INDIRECT($C1207),1,O$12+1)*$T1207</f>
        <v>432862.21178259875</v>
      </c>
      <c r="P1207" s="60">
        <f t="shared" ca="1" si="381"/>
        <v>931148.50511627819</v>
      </c>
      <c r="Q1207" s="60">
        <f t="shared" ca="1" si="381"/>
        <v>2.5504543515245031E-14</v>
      </c>
      <c r="T1207" s="325">
        <v>19442861</v>
      </c>
      <c r="U1207" s="50"/>
      <c r="V1207" s="50" t="s">
        <v>450</v>
      </c>
      <c r="W1207" s="50"/>
      <c r="X1207" s="50"/>
      <c r="Y1207" s="50"/>
    </row>
    <row r="1208" spans="1:25" x14ac:dyDescent="0.2">
      <c r="A1208" s="60">
        <v>2</v>
      </c>
      <c r="B1208" s="48" t="s">
        <v>332</v>
      </c>
      <c r="C1208" s="56" t="s">
        <v>1409</v>
      </c>
      <c r="D1208" s="66">
        <f t="shared" ca="1" si="375"/>
        <v>1985993.81</v>
      </c>
      <c r="F1208" s="60">
        <f t="shared" ca="1" si="376"/>
        <v>1985993.81</v>
      </c>
      <c r="H1208" s="60">
        <f t="shared" ca="1" si="377"/>
        <v>0</v>
      </c>
      <c r="I1208" s="60">
        <f t="shared" ca="1" si="378"/>
        <v>0</v>
      </c>
      <c r="L1208" s="60">
        <f t="shared" ca="1" si="379"/>
        <v>0</v>
      </c>
      <c r="M1208" s="60"/>
      <c r="N1208" s="60">
        <f t="shared" ca="1" si="380"/>
        <v>0</v>
      </c>
      <c r="O1208" s="60">
        <f t="shared" ca="1" si="381"/>
        <v>0</v>
      </c>
      <c r="P1208" s="60">
        <f t="shared" ca="1" si="381"/>
        <v>0</v>
      </c>
      <c r="Q1208" s="60">
        <f t="shared" ca="1" si="381"/>
        <v>0</v>
      </c>
      <c r="T1208" s="325">
        <v>1985993.81</v>
      </c>
      <c r="U1208" s="50"/>
      <c r="V1208" s="50"/>
      <c r="W1208" s="50"/>
      <c r="X1208" s="50"/>
      <c r="Y1208" s="50"/>
    </row>
    <row r="1209" spans="1:25" x14ac:dyDescent="0.2">
      <c r="A1209" s="60">
        <v>3</v>
      </c>
      <c r="B1209" s="48" t="s">
        <v>333</v>
      </c>
      <c r="C1209" s="51" t="s">
        <v>1101</v>
      </c>
      <c r="D1209" s="66">
        <f t="shared" ca="1" si="375"/>
        <v>0</v>
      </c>
      <c r="F1209" s="60">
        <f t="shared" ca="1" si="376"/>
        <v>0</v>
      </c>
      <c r="H1209" s="60">
        <f t="shared" ca="1" si="377"/>
        <v>0</v>
      </c>
      <c r="I1209" s="60">
        <f t="shared" ca="1" si="378"/>
        <v>0</v>
      </c>
      <c r="L1209" s="60">
        <f t="shared" ca="1" si="379"/>
        <v>0</v>
      </c>
      <c r="M1209" s="60"/>
      <c r="N1209" s="60">
        <f t="shared" ca="1" si="380"/>
        <v>0</v>
      </c>
      <c r="O1209" s="60">
        <f t="shared" ca="1" si="381"/>
        <v>0</v>
      </c>
      <c r="P1209" s="60">
        <f t="shared" ca="1" si="381"/>
        <v>0</v>
      </c>
      <c r="Q1209" s="60">
        <f t="shared" ca="1" si="381"/>
        <v>0</v>
      </c>
      <c r="T1209" s="325"/>
      <c r="U1209" s="50"/>
      <c r="V1209" s="50"/>
      <c r="W1209" s="50"/>
      <c r="X1209" s="50"/>
      <c r="Y1209" s="50"/>
    </row>
    <row r="1210" spans="1:25" x14ac:dyDescent="0.2">
      <c r="A1210" s="60">
        <v>4</v>
      </c>
      <c r="B1210" s="48" t="s">
        <v>334</v>
      </c>
      <c r="C1210" s="51" t="s">
        <v>730</v>
      </c>
      <c r="D1210" s="66">
        <f t="shared" ca="1" si="375"/>
        <v>247951.03</v>
      </c>
      <c r="F1210" s="60">
        <f t="shared" ca="1" si="376"/>
        <v>220522.39597311013</v>
      </c>
      <c r="H1210" s="60">
        <f t="shared" ca="1" si="377"/>
        <v>13585.977299614797</v>
      </c>
      <c r="I1210" s="60">
        <f t="shared" ca="1" si="378"/>
        <v>13842.656727275042</v>
      </c>
      <c r="L1210" s="60">
        <f t="shared" ca="1" si="379"/>
        <v>7.6117571270962445</v>
      </c>
      <c r="M1210" s="60"/>
      <c r="N1210" s="60">
        <f t="shared" ca="1" si="380"/>
        <v>13835.044970147945</v>
      </c>
      <c r="O1210" s="60">
        <f t="shared" ca="1" si="381"/>
        <v>4494.4881758841448</v>
      </c>
      <c r="P1210" s="60">
        <f t="shared" ca="1" si="381"/>
        <v>9340.556794263799</v>
      </c>
      <c r="Q1210" s="60">
        <f t="shared" ca="1" si="381"/>
        <v>1.5516303612017147E-14</v>
      </c>
      <c r="T1210" s="325">
        <v>247951.03</v>
      </c>
      <c r="U1210" s="50"/>
      <c r="W1210" s="50"/>
    </row>
    <row r="1211" spans="1:25" x14ac:dyDescent="0.2">
      <c r="A1211" s="60">
        <v>5</v>
      </c>
      <c r="B1211" s="48" t="s">
        <v>335</v>
      </c>
      <c r="C1211" s="51" t="s">
        <v>730</v>
      </c>
      <c r="D1211" s="66">
        <f t="shared" ca="1" si="375"/>
        <v>7372339</v>
      </c>
      <c r="F1211" s="60">
        <f t="shared" ca="1" si="376"/>
        <v>6556802.2048789347</v>
      </c>
      <c r="H1211" s="60">
        <f t="shared" ca="1" si="377"/>
        <v>403952.46714266465</v>
      </c>
      <c r="I1211" s="60">
        <f t="shared" ca="1" si="378"/>
        <v>411584.32797840022</v>
      </c>
      <c r="L1211" s="60">
        <f t="shared" ca="1" si="379"/>
        <v>226.32071311266421</v>
      </c>
      <c r="M1211" s="60"/>
      <c r="N1211" s="60">
        <f t="shared" ca="1" si="380"/>
        <v>411358.00726528757</v>
      </c>
      <c r="O1211" s="60">
        <f t="shared" ca="1" si="381"/>
        <v>133634.81677857737</v>
      </c>
      <c r="P1211" s="60">
        <f t="shared" ca="1" si="381"/>
        <v>277723.19048671017</v>
      </c>
      <c r="Q1211" s="60">
        <f t="shared" ca="1" si="381"/>
        <v>4.6134694522025134E-13</v>
      </c>
      <c r="T1211" s="325">
        <v>7372339</v>
      </c>
      <c r="U1211" s="50"/>
      <c r="V1211" s="50"/>
      <c r="W1211" s="50"/>
      <c r="X1211" s="50"/>
      <c r="Y1211" s="50"/>
    </row>
    <row r="1212" spans="1:25" x14ac:dyDescent="0.2">
      <c r="A1212" s="60">
        <v>6</v>
      </c>
      <c r="B1212" s="48" t="s">
        <v>336</v>
      </c>
      <c r="C1212" s="51" t="s">
        <v>1075</v>
      </c>
      <c r="D1212" s="66">
        <f t="shared" ca="1" si="375"/>
        <v>94929.1</v>
      </c>
      <c r="F1212" s="60">
        <f t="shared" ca="1" si="376"/>
        <v>82654.297261459738</v>
      </c>
      <c r="H1212" s="60">
        <f t="shared" ca="1" si="377"/>
        <v>5638.2210782685461</v>
      </c>
      <c r="I1212" s="60">
        <f t="shared" ca="1" si="378"/>
        <v>6636.5816602717277</v>
      </c>
      <c r="L1212" s="60">
        <f t="shared" ca="1" si="379"/>
        <v>2.9933125509834637</v>
      </c>
      <c r="M1212" s="60"/>
      <c r="N1212" s="60">
        <f t="shared" ca="1" si="380"/>
        <v>6633.5883477207444</v>
      </c>
      <c r="O1212" s="60">
        <f t="shared" ca="1" si="381"/>
        <v>2106.2385238249076</v>
      </c>
      <c r="P1212" s="60">
        <f t="shared" ca="1" si="381"/>
        <v>4527.3498238958364</v>
      </c>
      <c r="Q1212" s="60">
        <f t="shared" ca="1" si="381"/>
        <v>1.2938039729234526E-16</v>
      </c>
      <c r="T1212" s="325">
        <v>94929.1</v>
      </c>
      <c r="U1212" s="50"/>
      <c r="V1212" s="50"/>
      <c r="W1212" s="50"/>
      <c r="X1212" s="50"/>
      <c r="Y1212" s="50"/>
    </row>
    <row r="1213" spans="1:25" x14ac:dyDescent="0.2">
      <c r="A1213" s="60">
        <v>7</v>
      </c>
      <c r="B1213" s="48" t="s">
        <v>337</v>
      </c>
      <c r="C1213" s="58"/>
      <c r="D1213" s="66">
        <f t="shared" ca="1" si="375"/>
        <v>29144073.939999998</v>
      </c>
      <c r="F1213" s="60">
        <f ca="1">SUM(F1207:F1212)</f>
        <v>25846050.149582114</v>
      </c>
      <c r="H1213" s="60">
        <f ca="1">SUM(H1207:H1212)</f>
        <v>1501720.9336556299</v>
      </c>
      <c r="I1213" s="60">
        <f t="shared" ca="1" si="378"/>
        <v>1796302.8567622532</v>
      </c>
      <c r="L1213" s="60">
        <f ca="1">SUM(L1207:L1212)</f>
        <v>465.49928022000717</v>
      </c>
      <c r="M1213" s="60"/>
      <c r="N1213" s="60">
        <f t="shared" ca="1" si="380"/>
        <v>1795837.3574820333</v>
      </c>
      <c r="O1213" s="60">
        <f ca="1">SUM(O1207:O1212)</f>
        <v>573097.75526088523</v>
      </c>
      <c r="P1213" s="60">
        <f ca="1">SUM(P1207:P1212)</f>
        <v>1222739.6022211481</v>
      </c>
      <c r="Q1213" s="60">
        <f ca="1">SUM(Q1207:Q1212)</f>
        <v>5.0249717274480587E-13</v>
      </c>
      <c r="T1213" s="58"/>
      <c r="W1213" s="50"/>
    </row>
    <row r="1214" spans="1:25" x14ac:dyDescent="0.2">
      <c r="C1214" s="58"/>
      <c r="W1214" s="50"/>
    </row>
    <row r="1215" spans="1:25" x14ac:dyDescent="0.2">
      <c r="A1215" s="60">
        <v>8</v>
      </c>
      <c r="B1215" s="48" t="s">
        <v>338</v>
      </c>
      <c r="C1215" s="51" t="s">
        <v>614</v>
      </c>
      <c r="D1215" s="66">
        <f ca="1">SUM(F1215:I1215)+K1215</f>
        <v>-886.52</v>
      </c>
      <c r="F1215" s="60">
        <f ca="1">INDEX(INDIRECT($C1215),1,F$12+1)*$T1215</f>
        <v>-767.27434829426568</v>
      </c>
      <c r="H1215" s="60">
        <f ca="1">INDEX(INDIRECT($C1215),1,H$12+1)*$T1215</f>
        <v>-45.059744844972002</v>
      </c>
      <c r="I1215" s="60">
        <f ca="1">(L1215+M1215+N1215)</f>
        <v>-74.185906860762316</v>
      </c>
      <c r="L1215" s="60">
        <f ca="1">INDEX(INDIRECT($C1215),1,L$12+1)*$T1215</f>
        <v>-6.7840627589539305E-3</v>
      </c>
      <c r="M1215" s="60"/>
      <c r="N1215" s="60">
        <f ca="1">SUM(O1215:Q1215)</f>
        <v>-74.179122798003363</v>
      </c>
      <c r="O1215" s="60">
        <f ca="1">INDEX(INDIRECT($C1215),1,O$12+1)*$T1215</f>
        <v>-23.145768405816746</v>
      </c>
      <c r="P1215" s="60">
        <f ca="1">INDEX(INDIRECT($C1215),1,P$12+1)*$T1215</f>
        <v>-51.033354392186617</v>
      </c>
      <c r="Q1215" s="60">
        <f ca="1">INDEX(INDIRECT($C1215),1,Q$12+1)*$T1215</f>
        <v>0</v>
      </c>
      <c r="T1215" s="325">
        <v>-886.52</v>
      </c>
      <c r="U1215" s="50"/>
      <c r="V1215" s="50" t="s">
        <v>451</v>
      </c>
      <c r="W1215" s="50"/>
      <c r="X1215" s="50" t="s">
        <v>148</v>
      </c>
      <c r="Y1215" s="50"/>
    </row>
    <row r="1216" spans="1:25" x14ac:dyDescent="0.2">
      <c r="A1216" s="60">
        <v>9</v>
      </c>
      <c r="B1216" s="217" t="s">
        <v>70</v>
      </c>
      <c r="C1216" s="51" t="s">
        <v>1075</v>
      </c>
      <c r="D1216" s="66">
        <f>T1216</f>
        <v>-44239.442779999998</v>
      </c>
      <c r="F1216" s="60">
        <v>0</v>
      </c>
      <c r="H1216" s="60">
        <f ca="1">INDEX(INDIRECT($C1216),1,H$12+1)*$T1216</f>
        <v>-2627.5584491273084</v>
      </c>
      <c r="I1216" s="60">
        <f>(L1216+M1216+N1216)</f>
        <v>0</v>
      </c>
      <c r="L1216" s="60">
        <v>0</v>
      </c>
      <c r="M1216" s="60"/>
      <c r="N1216" s="60">
        <f>SUM(O1216:Q1216)</f>
        <v>0</v>
      </c>
      <c r="O1216" s="60">
        <v>0</v>
      </c>
      <c r="P1216" s="60">
        <v>0</v>
      </c>
      <c r="Q1216" s="60">
        <v>0</v>
      </c>
      <c r="T1216" s="85">
        <f>-Y1216</f>
        <v>-44239.442779999998</v>
      </c>
      <c r="U1216" s="50"/>
      <c r="V1216" s="84" t="s">
        <v>1355</v>
      </c>
      <c r="W1216" s="50"/>
      <c r="X1216" s="335">
        <f>74006.62-1601.64</f>
        <v>72404.98</v>
      </c>
      <c r="Y1216" s="34">
        <f>X1216*0.611</f>
        <v>44239.442779999998</v>
      </c>
    </row>
    <row r="1217" spans="1:26" x14ac:dyDescent="0.2">
      <c r="A1217" s="60">
        <v>10</v>
      </c>
      <c r="B1217" s="217" t="s">
        <v>67</v>
      </c>
      <c r="C1217" s="51" t="s">
        <v>730</v>
      </c>
      <c r="D1217" s="66">
        <f>Y1218</f>
        <v>734837.09506999992</v>
      </c>
      <c r="F1217" s="60">
        <v>0</v>
      </c>
      <c r="H1217" s="60">
        <f ca="1">INDEX(INDIRECT($C1217),1,H$12+1)*$T1217</f>
        <v>20131.95930772278</v>
      </c>
      <c r="I1217" s="60">
        <f>(L1217+M1217+N1217)</f>
        <v>0</v>
      </c>
      <c r="L1217" s="60">
        <v>0</v>
      </c>
      <c r="M1217" s="60"/>
      <c r="N1217" s="60">
        <f>SUM(O1217:Q1217)</f>
        <v>0</v>
      </c>
      <c r="O1217" s="60">
        <v>0</v>
      </c>
      <c r="P1217" s="60">
        <v>0</v>
      </c>
      <c r="Q1217" s="60">
        <v>0</v>
      </c>
      <c r="T1217" s="85">
        <f>Z1218</f>
        <v>367418.54753499996</v>
      </c>
      <c r="U1217" s="50" t="s">
        <v>865</v>
      </c>
      <c r="V1217" s="50" t="s">
        <v>146</v>
      </c>
      <c r="X1217" s="84" t="s">
        <v>1359</v>
      </c>
      <c r="Y1217" s="50" t="s">
        <v>147</v>
      </c>
      <c r="Z1217" s="50" t="s">
        <v>866</v>
      </c>
    </row>
    <row r="1218" spans="1:26" x14ac:dyDescent="0.2">
      <c r="T1218" s="33">
        <f ca="1">Y1218-H1217</f>
        <v>714705.13576227718</v>
      </c>
      <c r="U1218" s="50" t="s">
        <v>772</v>
      </c>
      <c r="V1218" s="84"/>
      <c r="X1218" s="335">
        <f>1179760.45+22918.92</f>
        <v>1202679.3699999999</v>
      </c>
      <c r="Y1218" s="34">
        <f>X1218*0.611</f>
        <v>734837.09506999992</v>
      </c>
      <c r="Z1218" s="34">
        <f>Y1218*0.5</f>
        <v>367418.54753499996</v>
      </c>
    </row>
    <row r="1219" spans="1:26" x14ac:dyDescent="0.2">
      <c r="B1219" s="48" t="s">
        <v>339</v>
      </c>
      <c r="C1219" s="58"/>
      <c r="W1219" s="50"/>
      <c r="Y1219" s="34">
        <f ca="1">T1218+H1217</f>
        <v>734837.09506999992</v>
      </c>
    </row>
    <row r="1220" spans="1:26" x14ac:dyDescent="0.2">
      <c r="A1220" s="60">
        <v>11</v>
      </c>
      <c r="B1220" s="48" t="s">
        <v>340</v>
      </c>
      <c r="C1220" s="51" t="s">
        <v>1044</v>
      </c>
      <c r="D1220" s="66">
        <f ca="1">SUM(F1220:I1220)+K1220</f>
        <v>-853975</v>
      </c>
      <c r="F1220" s="60">
        <f ca="1">INDEX(INDIRECT($C1220),1,F$12+1)*$T1220</f>
        <v>-739106.97060934384</v>
      </c>
      <c r="H1220" s="60">
        <f ca="1">INDEX(INDIRECT($C1220),1,H$12+1)*$T1220</f>
        <v>-43405.558367532554</v>
      </c>
      <c r="I1220" s="60">
        <f ca="1">(L1220+M1220+N1220)</f>
        <v>-71462.471023123551</v>
      </c>
      <c r="L1220" s="60">
        <f ca="1">INDEX(INDIRECT($C1220),1,L$12+1)*$T1220</f>
        <v>-6.5350133043560019</v>
      </c>
      <c r="M1220" s="60"/>
      <c r="N1220" s="60">
        <f ca="1">SUM(O1220:Q1220)</f>
        <v>-71455.936009819197</v>
      </c>
      <c r="O1220" s="60">
        <f ca="1">INDEX(INDIRECT($C1220),1,O$12+1)*$T1220</f>
        <v>-22296.065034468884</v>
      </c>
      <c r="P1220" s="60">
        <f ca="1">INDEX(INDIRECT($C1220),1,P$12+1)*$T1220</f>
        <v>-49159.870975350314</v>
      </c>
      <c r="Q1220" s="60">
        <f ca="1">INDEX(INDIRECT($C1220),1,Q$12+1)*$T1220</f>
        <v>0</v>
      </c>
      <c r="T1220" s="338">
        <v>-853975</v>
      </c>
      <c r="U1220" s="50"/>
      <c r="V1220" s="50" t="s">
        <v>452</v>
      </c>
      <c r="W1220" s="50"/>
      <c r="X1220" s="50"/>
      <c r="Y1220" s="50"/>
    </row>
    <row r="1221" spans="1:26" x14ac:dyDescent="0.2">
      <c r="W1221" s="50"/>
    </row>
    <row r="1222" spans="1:26" x14ac:dyDescent="0.2">
      <c r="B1222" s="48" t="s">
        <v>341</v>
      </c>
      <c r="W1222" s="50"/>
    </row>
    <row r="1223" spans="1:26" x14ac:dyDescent="0.2">
      <c r="A1223" s="60">
        <v>12</v>
      </c>
      <c r="B1223" s="48" t="s">
        <v>342</v>
      </c>
      <c r="C1223" s="51" t="s">
        <v>1031</v>
      </c>
      <c r="D1223" s="66">
        <f ca="1">SUM(F1223:I1223)+K1223</f>
        <v>-97112.000000000015</v>
      </c>
      <c r="F1223" s="60">
        <f ca="1">INDEX(INDIRECT($C1223),1,F$12+1)*$T1223</f>
        <v>-83423.357424158006</v>
      </c>
      <c r="H1223" s="60">
        <f ca="1">INDEX(INDIRECT($C1223),1,H$12+1)*$T1223</f>
        <v>-5087.7431011919061</v>
      </c>
      <c r="I1223" s="60">
        <f ca="1">(L1223+M1223+N1223)</f>
        <v>-8600.8994746500975</v>
      </c>
      <c r="L1223" s="60">
        <f ca="1">INDEX(INDIRECT($C1223),1,L$12+1)*$T1223</f>
        <v>-0.7376100785674643</v>
      </c>
      <c r="M1223" s="60"/>
      <c r="N1223" s="60">
        <f ca="1">SUM(O1223:Q1223)</f>
        <v>-8600.1618645715298</v>
      </c>
      <c r="O1223" s="60">
        <f t="shared" ref="O1223:Q1224" ca="1" si="382">INDEX(INDIRECT($C1223),1,O$12+1)*$T1223</f>
        <v>-2683.4687073876753</v>
      </c>
      <c r="P1223" s="60">
        <f t="shared" ca="1" si="382"/>
        <v>-5916.6931571838541</v>
      </c>
      <c r="Q1223" s="60">
        <f t="shared" ca="1" si="382"/>
        <v>0</v>
      </c>
      <c r="T1223" s="325">
        <v>-97112</v>
      </c>
      <c r="U1223" s="50"/>
      <c r="V1223" s="50" t="s">
        <v>452</v>
      </c>
      <c r="W1223" s="50"/>
      <c r="X1223" s="50"/>
      <c r="Y1223" s="50"/>
    </row>
    <row r="1224" spans="1:26" x14ac:dyDescent="0.2">
      <c r="A1224" s="60">
        <v>13</v>
      </c>
      <c r="B1224" s="48" t="s">
        <v>343</v>
      </c>
      <c r="C1224" s="51" t="s">
        <v>1072</v>
      </c>
      <c r="D1224" s="66">
        <f ca="1">SUM(F1224:I1224)+K1224</f>
        <v>-7904.0000000000009</v>
      </c>
      <c r="F1224" s="60">
        <f ca="1">INDEX(INDIRECT($C1224),1,F$12+1)*$T1224</f>
        <v>-1124.9429432558886</v>
      </c>
      <c r="H1224" s="60">
        <f ca="1">INDEX(INDIRECT($C1224),1,H$12+1)*$T1224</f>
        <v>-6669.6094906404624</v>
      </c>
      <c r="I1224" s="60">
        <f ca="1">(L1224+M1224+N1224)</f>
        <v>-109.44756610364946</v>
      </c>
      <c r="L1224" s="60">
        <f ca="1">INDEX(INDIRECT($C1224),1,L$12+1)*$T1224</f>
        <v>-9.9464859528490181E-3</v>
      </c>
      <c r="M1224" s="60"/>
      <c r="N1224" s="60">
        <f ca="1">SUM(O1224:Q1224)</f>
        <v>-109.43761961769661</v>
      </c>
      <c r="O1224" s="60">
        <f t="shared" ca="1" si="382"/>
        <v>-34.147314001713333</v>
      </c>
      <c r="P1224" s="60">
        <f t="shared" ca="1" si="382"/>
        <v>-75.290305615983272</v>
      </c>
      <c r="Q1224" s="60">
        <f t="shared" ca="1" si="382"/>
        <v>0</v>
      </c>
      <c r="T1224" s="325">
        <v>-7904</v>
      </c>
      <c r="U1224" s="50"/>
      <c r="V1224" s="50"/>
      <c r="W1224" s="50"/>
      <c r="X1224" s="50"/>
      <c r="Y1224" s="50"/>
    </row>
    <row r="1225" spans="1:26" x14ac:dyDescent="0.2">
      <c r="A1225" s="60">
        <v>14</v>
      </c>
      <c r="B1225" s="48" t="s">
        <v>344</v>
      </c>
      <c r="D1225" s="66">
        <f ca="1">SUM(F1225:I1225)+K1225</f>
        <v>-105016</v>
      </c>
      <c r="F1225" s="60">
        <f ca="1">SUM(F1223:F1224)</f>
        <v>-84548.300367413889</v>
      </c>
      <c r="H1225" s="60">
        <f ca="1">SUM(H1223:H1224)</f>
        <v>-11757.352591832368</v>
      </c>
      <c r="I1225" s="60">
        <f ca="1">(L1225+M1225+N1225)</f>
        <v>-8710.3470407537461</v>
      </c>
      <c r="L1225" s="60">
        <f ca="1">SUM(L1223:L1224)</f>
        <v>-0.74755656452031327</v>
      </c>
      <c r="M1225" s="60"/>
      <c r="N1225" s="60">
        <f ca="1">SUM(O1225:Q1225)</f>
        <v>-8709.5994841892261</v>
      </c>
      <c r="O1225" s="60">
        <f ca="1">SUM(O1223:O1224)</f>
        <v>-2717.6160213893886</v>
      </c>
      <c r="P1225" s="60">
        <f ca="1">SUM(P1223:P1224)</f>
        <v>-5991.9834627998371</v>
      </c>
      <c r="Q1225" s="60">
        <f ca="1">SUM(Q1223:Q1224)</f>
        <v>0</v>
      </c>
      <c r="W1225" s="50"/>
    </row>
    <row r="1226" spans="1:26" x14ac:dyDescent="0.2">
      <c r="W1226" s="50"/>
    </row>
    <row r="1227" spans="1:26" x14ac:dyDescent="0.2">
      <c r="A1227" s="60">
        <v>15</v>
      </c>
      <c r="B1227" s="48" t="s">
        <v>173</v>
      </c>
      <c r="C1227" s="51" t="s">
        <v>680</v>
      </c>
      <c r="D1227" s="66">
        <f ca="1">SUM(F1227:I1227)+K1227</f>
        <v>-13424</v>
      </c>
      <c r="F1227" s="60">
        <f ca="1">INDEX(INDIRECT($C1227),1,F$12+1)*$T1227</f>
        <v>0</v>
      </c>
      <c r="H1227" s="60">
        <f ca="1">INDEX(INDIRECT($C1227),1,H$12+1)*$T1227</f>
        <v>-13424</v>
      </c>
      <c r="I1227" s="60">
        <f ca="1">(L1227+M1227+N1227)</f>
        <v>0</v>
      </c>
      <c r="L1227" s="60">
        <f ca="1">INDEX(INDIRECT($C1227),1,L$12+1)*$T1227</f>
        <v>0</v>
      </c>
      <c r="M1227" s="60"/>
      <c r="N1227" s="60">
        <f ca="1">SUM(O1227:Q1227)</f>
        <v>0</v>
      </c>
      <c r="O1227" s="60">
        <f t="shared" ref="O1227:Q1229" ca="1" si="383">INDEX(INDIRECT($C1227),1,O$12+1)*$T1227</f>
        <v>0</v>
      </c>
      <c r="P1227" s="60">
        <f t="shared" ca="1" si="383"/>
        <v>0</v>
      </c>
      <c r="Q1227" s="60">
        <f t="shared" ca="1" si="383"/>
        <v>0</v>
      </c>
      <c r="T1227" s="325">
        <v>-13424</v>
      </c>
      <c r="U1227" s="50"/>
      <c r="V1227" s="50" t="s">
        <v>452</v>
      </c>
      <c r="W1227" s="50"/>
      <c r="X1227" s="50"/>
      <c r="Y1227" s="50"/>
    </row>
    <row r="1228" spans="1:26" x14ac:dyDescent="0.2">
      <c r="A1228" s="60">
        <v>16</v>
      </c>
      <c r="B1228" s="48" t="s">
        <v>174</v>
      </c>
      <c r="C1228" s="51" t="s">
        <v>1169</v>
      </c>
      <c r="D1228" s="66">
        <f ca="1">SUM(F1228:I1228)+K1228</f>
        <v>-257793</v>
      </c>
      <c r="F1228" s="60">
        <f ca="1">INDEX(INDIRECT($C1228),1,F$12+1)*$T1228</f>
        <v>-256938.91062202168</v>
      </c>
      <c r="H1228" s="60">
        <f ca="1">INDEX(INDIRECT($C1228),1,H$12+1)*$T1228</f>
        <v>0</v>
      </c>
      <c r="I1228" s="60">
        <f ca="1">(L1228+M1228+N1228)</f>
        <v>-854.08937797833312</v>
      </c>
      <c r="L1228" s="60">
        <f ca="1">INDEX(INDIRECT($C1228),1,L$12+1)*$T1228</f>
        <v>-30.864843619016277</v>
      </c>
      <c r="M1228" s="60"/>
      <c r="N1228" s="60">
        <f ca="1">SUM(O1228:Q1228)</f>
        <v>-823.22453435931686</v>
      </c>
      <c r="O1228" s="60">
        <f t="shared" ca="1" si="383"/>
        <v>-707.43075254344535</v>
      </c>
      <c r="P1228" s="60">
        <f t="shared" ca="1" si="383"/>
        <v>-115.79378181587147</v>
      </c>
      <c r="Q1228" s="60">
        <f t="shared" ca="1" si="383"/>
        <v>0</v>
      </c>
      <c r="T1228" s="325">
        <v>-257793</v>
      </c>
      <c r="U1228" s="50"/>
      <c r="V1228" s="50"/>
      <c r="W1228" s="50"/>
      <c r="X1228" s="50"/>
      <c r="Y1228" s="50"/>
    </row>
    <row r="1229" spans="1:26" x14ac:dyDescent="0.2">
      <c r="A1229" s="60">
        <v>17</v>
      </c>
      <c r="B1229" s="48" t="s">
        <v>175</v>
      </c>
      <c r="C1229" s="51" t="s">
        <v>1041</v>
      </c>
      <c r="D1229" s="66">
        <f ca="1">SUM(F1229:I1229)+K1229</f>
        <v>-26348.999999999996</v>
      </c>
      <c r="F1229" s="60">
        <f ca="1">INDEX(INDIRECT($C1229),1,F$12+1)*$T1229</f>
        <v>-23434.242686934911</v>
      </c>
      <c r="H1229" s="60">
        <f ca="1">INDEX(INDIRECT($C1229),1,H$12+1)*$T1229</f>
        <v>-1443.7403864285234</v>
      </c>
      <c r="I1229" s="60">
        <f ca="1">(L1229+M1229+N1229)</f>
        <v>-1471.0169266365626</v>
      </c>
      <c r="L1229" s="60">
        <f ca="1">INDEX(INDIRECT($C1229),1,L$12+1)*$T1229</f>
        <v>-0.80887822301790391</v>
      </c>
      <c r="M1229" s="60"/>
      <c r="N1229" s="60">
        <f ca="1">SUM(O1229:Q1229)</f>
        <v>-1470.2080484135447</v>
      </c>
      <c r="O1229" s="60">
        <f t="shared" ca="1" si="383"/>
        <v>-477.61555556502981</v>
      </c>
      <c r="P1229" s="60">
        <f t="shared" ca="1" si="383"/>
        <v>-992.59249284851489</v>
      </c>
      <c r="Q1229" s="60">
        <f t="shared" ca="1" si="383"/>
        <v>-1.6488702784297363E-15</v>
      </c>
      <c r="T1229" s="325">
        <v>-26349</v>
      </c>
      <c r="U1229" s="50"/>
      <c r="V1229" s="50"/>
      <c r="W1229" s="50"/>
      <c r="X1229" s="50"/>
      <c r="Y1229" s="50"/>
    </row>
    <row r="1230" spans="1:26" x14ac:dyDescent="0.2">
      <c r="A1230" s="60">
        <v>18</v>
      </c>
      <c r="B1230" s="48" t="s">
        <v>1120</v>
      </c>
      <c r="C1230" s="58"/>
      <c r="D1230" s="66">
        <f ca="1">SUM(F1230:I1230)+K1230</f>
        <v>-1256557</v>
      </c>
      <c r="F1230" s="60">
        <f ca="1">F1220+F1225+F1227+F1228+F1229</f>
        <v>-1104028.4242857145</v>
      </c>
      <c r="H1230" s="60">
        <f ca="1">H1220+H1225+H1227+H1228+H1229</f>
        <v>-70030.651345793449</v>
      </c>
      <c r="I1230" s="60">
        <f ca="1">(L1230+M1230+N1230)</f>
        <v>-82497.924368492197</v>
      </c>
      <c r="L1230" s="60">
        <f ca="1">L1220+L1225+L1227+L1228+L1229</f>
        <v>-38.956291710910499</v>
      </c>
      <c r="M1230" s="60"/>
      <c r="N1230" s="60">
        <f ca="1">SUM(O1230:Q1230)</f>
        <v>-82458.968076781282</v>
      </c>
      <c r="O1230" s="60">
        <f ca="1">O1220+O1225+O1227+O1228+O1229</f>
        <v>-26198.727363966747</v>
      </c>
      <c r="P1230" s="60">
        <f ca="1">P1220+P1225+P1227+P1228+P1229</f>
        <v>-56260.240712814535</v>
      </c>
      <c r="Q1230" s="60">
        <f ca="1">Q1220+Q1225+Q1227+Q1228+Q1229</f>
        <v>-1.6488702784297363E-15</v>
      </c>
      <c r="T1230" s="58"/>
      <c r="W1230" s="50"/>
    </row>
    <row r="1231" spans="1:26" x14ac:dyDescent="0.2">
      <c r="C1231" s="58"/>
      <c r="W1231" s="50"/>
    </row>
    <row r="1232" spans="1:26" x14ac:dyDescent="0.2">
      <c r="B1232" s="48" t="s">
        <v>345</v>
      </c>
      <c r="C1232" s="58"/>
      <c r="V1232" s="34" t="s">
        <v>586</v>
      </c>
      <c r="W1232" s="50"/>
    </row>
    <row r="1233" spans="1:25" x14ac:dyDescent="0.2">
      <c r="A1233" s="60">
        <v>19</v>
      </c>
      <c r="B1233" s="48" t="s">
        <v>170</v>
      </c>
      <c r="C1233" s="51" t="s">
        <v>1046</v>
      </c>
      <c r="D1233" s="66">
        <f t="shared" ref="D1233:D1239" ca="1" si="384">SUM(F1233:I1233)+K1233</f>
        <v>0</v>
      </c>
      <c r="F1233" s="60">
        <f t="shared" ref="F1233:F1238" ca="1" si="385">INDEX(INDIRECT($C1233),1,F$12+1)*$T1233</f>
        <v>0</v>
      </c>
      <c r="H1233" s="60">
        <f t="shared" ref="H1233:H1238" ca="1" si="386">INDEX(INDIRECT($C1233),1,H$12+1)*$T1233</f>
        <v>0</v>
      </c>
      <c r="I1233" s="60">
        <f t="shared" ref="I1233:I1239" ca="1" si="387">(L1233+M1233+N1233)</f>
        <v>0</v>
      </c>
      <c r="L1233" s="60">
        <f t="shared" ref="L1233:L1238" ca="1" si="388">INDEX(INDIRECT($C1233),1,L$12+1)*$T1233</f>
        <v>0</v>
      </c>
      <c r="M1233" s="60"/>
      <c r="N1233" s="60">
        <f t="shared" ref="N1233:N1239" ca="1" si="389">SUM(O1233:Q1233)</f>
        <v>0</v>
      </c>
      <c r="O1233" s="60">
        <f t="shared" ref="O1233:Q1238" ca="1" si="390">INDEX(INDIRECT($C1233),1,O$12+1)*$T1233</f>
        <v>0</v>
      </c>
      <c r="P1233" s="60">
        <f t="shared" ca="1" si="390"/>
        <v>0</v>
      </c>
      <c r="Q1233" s="60">
        <f t="shared" ca="1" si="390"/>
        <v>0</v>
      </c>
      <c r="T1233" s="338"/>
      <c r="U1233" s="50"/>
      <c r="V1233" s="50" t="s">
        <v>452</v>
      </c>
      <c r="W1233" s="50"/>
      <c r="X1233" s="50"/>
      <c r="Y1233" s="50"/>
    </row>
    <row r="1234" spans="1:25" x14ac:dyDescent="0.2">
      <c r="A1234" s="60">
        <v>20</v>
      </c>
      <c r="B1234" s="48" t="s">
        <v>171</v>
      </c>
      <c r="C1234" s="51" t="s">
        <v>1070</v>
      </c>
      <c r="D1234" s="66">
        <f t="shared" ca="1" si="384"/>
        <v>0</v>
      </c>
      <c r="F1234" s="60">
        <f t="shared" ca="1" si="385"/>
        <v>0</v>
      </c>
      <c r="H1234" s="60">
        <f t="shared" ca="1" si="386"/>
        <v>0</v>
      </c>
      <c r="I1234" s="60">
        <f t="shared" ca="1" si="387"/>
        <v>0</v>
      </c>
      <c r="L1234" s="60">
        <f t="shared" ca="1" si="388"/>
        <v>0</v>
      </c>
      <c r="M1234" s="60"/>
      <c r="N1234" s="60">
        <f t="shared" ca="1" si="389"/>
        <v>0</v>
      </c>
      <c r="O1234" s="60">
        <f t="shared" ca="1" si="390"/>
        <v>0</v>
      </c>
      <c r="P1234" s="60">
        <f t="shared" ca="1" si="390"/>
        <v>0</v>
      </c>
      <c r="Q1234" s="60">
        <f t="shared" ca="1" si="390"/>
        <v>0</v>
      </c>
      <c r="T1234" s="338">
        <v>0</v>
      </c>
      <c r="U1234" s="50"/>
      <c r="V1234" s="50"/>
      <c r="W1234" s="50"/>
      <c r="X1234" s="50"/>
      <c r="Y1234" s="50"/>
    </row>
    <row r="1235" spans="1:25" x14ac:dyDescent="0.2">
      <c r="A1235" s="60">
        <v>21</v>
      </c>
      <c r="B1235" s="48" t="s">
        <v>172</v>
      </c>
      <c r="C1235" s="51" t="s">
        <v>1072</v>
      </c>
      <c r="D1235" s="66">
        <f t="shared" ca="1" si="384"/>
        <v>0</v>
      </c>
      <c r="F1235" s="60">
        <f t="shared" ca="1" si="385"/>
        <v>0</v>
      </c>
      <c r="H1235" s="60">
        <f t="shared" ca="1" si="386"/>
        <v>0</v>
      </c>
      <c r="I1235" s="60">
        <f t="shared" ca="1" si="387"/>
        <v>0</v>
      </c>
      <c r="L1235" s="60">
        <f t="shared" ca="1" si="388"/>
        <v>0</v>
      </c>
      <c r="M1235" s="60"/>
      <c r="N1235" s="60">
        <f t="shared" ca="1" si="389"/>
        <v>0</v>
      </c>
      <c r="O1235" s="60">
        <f t="shared" ca="1" si="390"/>
        <v>0</v>
      </c>
      <c r="P1235" s="60">
        <f t="shared" ca="1" si="390"/>
        <v>0</v>
      </c>
      <c r="Q1235" s="60">
        <f t="shared" ca="1" si="390"/>
        <v>0</v>
      </c>
      <c r="T1235" s="338">
        <v>0</v>
      </c>
      <c r="U1235" s="50"/>
      <c r="V1235" s="50"/>
      <c r="W1235" s="50"/>
      <c r="X1235" s="50"/>
      <c r="Y1235" s="50"/>
    </row>
    <row r="1236" spans="1:25" x14ac:dyDescent="0.2">
      <c r="A1236" s="60">
        <v>22</v>
      </c>
      <c r="B1236" s="48" t="s">
        <v>346</v>
      </c>
      <c r="C1236" s="51" t="s">
        <v>682</v>
      </c>
      <c r="D1236" s="66">
        <f t="shared" ca="1" si="384"/>
        <v>0</v>
      </c>
      <c r="F1236" s="60">
        <f t="shared" ca="1" si="385"/>
        <v>0</v>
      </c>
      <c r="H1236" s="60">
        <f t="shared" ca="1" si="386"/>
        <v>0</v>
      </c>
      <c r="I1236" s="60">
        <f t="shared" ca="1" si="387"/>
        <v>0</v>
      </c>
      <c r="L1236" s="60">
        <f t="shared" ca="1" si="388"/>
        <v>0</v>
      </c>
      <c r="M1236" s="60"/>
      <c r="N1236" s="60">
        <f t="shared" ca="1" si="389"/>
        <v>0</v>
      </c>
      <c r="O1236" s="60">
        <f t="shared" ca="1" si="390"/>
        <v>0</v>
      </c>
      <c r="P1236" s="60">
        <f t="shared" ca="1" si="390"/>
        <v>0</v>
      </c>
      <c r="Q1236" s="60">
        <f t="shared" ca="1" si="390"/>
        <v>0</v>
      </c>
      <c r="T1236" s="338">
        <v>0</v>
      </c>
      <c r="U1236" s="50"/>
      <c r="V1236" s="50"/>
      <c r="W1236" s="50"/>
      <c r="X1236" s="50"/>
      <c r="Y1236" s="50"/>
    </row>
    <row r="1237" spans="1:25" x14ac:dyDescent="0.2">
      <c r="A1237" s="60">
        <v>23</v>
      </c>
      <c r="B1237" s="48" t="s">
        <v>174</v>
      </c>
      <c r="C1237" s="51" t="s">
        <v>1169</v>
      </c>
      <c r="D1237" s="66">
        <f t="shared" ca="1" si="384"/>
        <v>0</v>
      </c>
      <c r="F1237" s="60">
        <f t="shared" ca="1" si="385"/>
        <v>0</v>
      </c>
      <c r="H1237" s="60">
        <f t="shared" ca="1" si="386"/>
        <v>0</v>
      </c>
      <c r="I1237" s="60">
        <f t="shared" ca="1" si="387"/>
        <v>0</v>
      </c>
      <c r="L1237" s="60">
        <f t="shared" ca="1" si="388"/>
        <v>0</v>
      </c>
      <c r="M1237" s="60"/>
      <c r="N1237" s="60">
        <f t="shared" ca="1" si="389"/>
        <v>0</v>
      </c>
      <c r="O1237" s="60">
        <f t="shared" ca="1" si="390"/>
        <v>0</v>
      </c>
      <c r="P1237" s="60">
        <f t="shared" ca="1" si="390"/>
        <v>0</v>
      </c>
      <c r="Q1237" s="60">
        <f t="shared" ca="1" si="390"/>
        <v>0</v>
      </c>
      <c r="T1237" s="338">
        <v>0</v>
      </c>
      <c r="U1237" s="50"/>
      <c r="V1237" s="50"/>
      <c r="W1237" s="50"/>
      <c r="X1237" s="50"/>
      <c r="Y1237" s="50"/>
    </row>
    <row r="1238" spans="1:25" x14ac:dyDescent="0.2">
      <c r="A1238" s="60">
        <v>24</v>
      </c>
      <c r="B1238" s="48" t="s">
        <v>175</v>
      </c>
      <c r="C1238" s="51" t="s">
        <v>1041</v>
      </c>
      <c r="D1238" s="66">
        <f t="shared" ca="1" si="384"/>
        <v>0</v>
      </c>
      <c r="F1238" s="60">
        <f t="shared" ca="1" si="385"/>
        <v>0</v>
      </c>
      <c r="H1238" s="60">
        <f t="shared" ca="1" si="386"/>
        <v>0</v>
      </c>
      <c r="I1238" s="60">
        <f t="shared" ca="1" si="387"/>
        <v>0</v>
      </c>
      <c r="L1238" s="60">
        <f t="shared" ca="1" si="388"/>
        <v>0</v>
      </c>
      <c r="M1238" s="60"/>
      <c r="N1238" s="60">
        <f t="shared" ca="1" si="389"/>
        <v>0</v>
      </c>
      <c r="O1238" s="60">
        <f t="shared" ca="1" si="390"/>
        <v>0</v>
      </c>
      <c r="P1238" s="60">
        <f t="shared" ca="1" si="390"/>
        <v>0</v>
      </c>
      <c r="Q1238" s="60">
        <f t="shared" ca="1" si="390"/>
        <v>0</v>
      </c>
      <c r="T1238" s="338">
        <v>0</v>
      </c>
      <c r="U1238" s="50"/>
      <c r="V1238" s="50"/>
      <c r="W1238" s="50"/>
      <c r="X1238" s="50"/>
      <c r="Y1238" s="50"/>
    </row>
    <row r="1239" spans="1:25" x14ac:dyDescent="0.2">
      <c r="A1239" s="60">
        <v>25</v>
      </c>
      <c r="B1239" s="48" t="s">
        <v>347</v>
      </c>
      <c r="C1239" s="58"/>
      <c r="D1239" s="66">
        <f t="shared" ca="1" si="384"/>
        <v>0</v>
      </c>
      <c r="F1239" s="60">
        <f ca="1">SUM(F1233:F1238)</f>
        <v>0</v>
      </c>
      <c r="H1239" s="60">
        <f ca="1">SUM(H1233:H1238)</f>
        <v>0</v>
      </c>
      <c r="I1239" s="60">
        <f t="shared" ca="1" si="387"/>
        <v>0</v>
      </c>
      <c r="L1239" s="60">
        <f ca="1">SUM(L1233:L1238)</f>
        <v>0</v>
      </c>
      <c r="M1239" s="60"/>
      <c r="N1239" s="60">
        <f t="shared" ca="1" si="389"/>
        <v>0</v>
      </c>
      <c r="O1239" s="60">
        <f ca="1">SUM(O1233:O1238)</f>
        <v>0</v>
      </c>
      <c r="P1239" s="60">
        <f ca="1">SUM(P1233:P1238)</f>
        <v>0</v>
      </c>
      <c r="Q1239" s="60">
        <f ca="1">SUM(Q1233:Q1238)</f>
        <v>0</v>
      </c>
      <c r="W1239" s="50"/>
    </row>
    <row r="1240" spans="1:25" x14ac:dyDescent="0.2">
      <c r="C1240" s="58"/>
      <c r="W1240" s="50"/>
    </row>
    <row r="1241" spans="1:25" x14ac:dyDescent="0.2">
      <c r="A1241" s="60">
        <v>26</v>
      </c>
      <c r="B1241" s="48" t="s">
        <v>348</v>
      </c>
      <c r="C1241" s="58"/>
      <c r="D1241" s="66">
        <f ca="1">SUM(F1241:I1241)+K1241</f>
        <v>1199119574.1400001</v>
      </c>
      <c r="F1241" s="60">
        <f ca="1">F1105+F1153+F1179+F1202+F1213+F1215</f>
        <v>1049668662.0726219</v>
      </c>
      <c r="H1241" s="60">
        <f ca="1">H1105+H1153+H1179+H1202+H1213+H1215+H1239</f>
        <v>61073343.37865071</v>
      </c>
      <c r="I1241" s="60">
        <f ca="1">(L1241+M1241+N1241)</f>
        <v>88377568.688727304</v>
      </c>
      <c r="L1241" s="60">
        <f ca="1">L1105+L1153+L1179+L1202+L1213+L1215+L1239</f>
        <v>18468.677935451145</v>
      </c>
      <c r="M1241" s="60"/>
      <c r="N1241" s="60">
        <f ca="1">SUM(O1241:Q1241)</f>
        <v>88359100.010791853</v>
      </c>
      <c r="O1241" s="60">
        <f ca="1">O1105+O1153+O1179+O1202+O1213+O1215+O1239</f>
        <v>28602472.274503522</v>
      </c>
      <c r="P1241" s="60">
        <f ca="1">P1105+P1153+P1179+P1202+P1213+P1215+P1239</f>
        <v>59756627.736288331</v>
      </c>
      <c r="Q1241" s="60">
        <f ca="1">Q1105+Q1153+Q1179+Q1202+Q1213+Q1215+Q1239</f>
        <v>5.404608213951669E-12</v>
      </c>
      <c r="W1241" s="50"/>
    </row>
    <row r="1242" spans="1:25" x14ac:dyDescent="0.2">
      <c r="W1242" s="50"/>
    </row>
    <row r="1243" spans="1:25" x14ac:dyDescent="0.2">
      <c r="C1243" s="58"/>
      <c r="T1243" s="58"/>
      <c r="U1243" s="50"/>
      <c r="V1243" s="50"/>
      <c r="W1243" s="50"/>
      <c r="X1243" s="50"/>
      <c r="Y1243" s="50"/>
    </row>
    <row r="1244" spans="1:25" x14ac:dyDescent="0.2">
      <c r="C1244" s="58"/>
      <c r="W1244" s="50"/>
    </row>
    <row r="1245" spans="1:25" x14ac:dyDescent="0.2">
      <c r="C1245" s="58"/>
      <c r="T1245" s="58"/>
      <c r="U1245" s="50"/>
      <c r="V1245" s="50"/>
      <c r="W1245" s="50"/>
      <c r="X1245" s="50"/>
      <c r="Y1245" s="50"/>
    </row>
    <row r="1246" spans="1:25" x14ac:dyDescent="0.2">
      <c r="C1246" s="58"/>
      <c r="W1246" s="50"/>
    </row>
    <row r="1247" spans="1:25" x14ac:dyDescent="0.2">
      <c r="C1247" s="58"/>
      <c r="T1247" s="58"/>
      <c r="U1247" s="50"/>
      <c r="V1247" s="50"/>
      <c r="W1247" s="50"/>
      <c r="X1247" s="50"/>
      <c r="Y1247" s="50"/>
    </row>
    <row r="1248" spans="1:25" x14ac:dyDescent="0.2">
      <c r="C1248" s="58"/>
      <c r="W1248" s="50"/>
    </row>
    <row r="1249" spans="1:27" x14ac:dyDescent="0.2">
      <c r="W1249" s="50"/>
    </row>
    <row r="1250" spans="1:27" x14ac:dyDescent="0.2">
      <c r="B1250" s="64" t="s">
        <v>349</v>
      </c>
      <c r="C1250" s="58"/>
      <c r="W1250" s="50"/>
    </row>
    <row r="1251" spans="1:27" x14ac:dyDescent="0.2">
      <c r="C1251" s="58"/>
      <c r="W1251" s="50"/>
    </row>
    <row r="1252" spans="1:27" x14ac:dyDescent="0.2">
      <c r="A1252" s="60">
        <v>1</v>
      </c>
      <c r="B1252" s="48" t="s">
        <v>350</v>
      </c>
      <c r="C1252" s="51"/>
      <c r="D1252" s="66">
        <f ca="1">ROUND(SUM(F1252:I1252)+K1252,0)</f>
        <v>322916383</v>
      </c>
      <c r="F1252" s="60">
        <f ca="1">F932-F1241</f>
        <v>292408257.49282849</v>
      </c>
      <c r="H1252" s="60">
        <f ca="1">H932-H1241</f>
        <v>14743215.97138834</v>
      </c>
      <c r="I1252" s="60">
        <f ca="1">(L1252+M1252+N1252)</f>
        <v>15764909.135783214</v>
      </c>
      <c r="L1252" s="60">
        <f ca="1">L932-L1241</f>
        <v>-11805.596104313612</v>
      </c>
      <c r="M1252" s="60"/>
      <c r="N1252" s="60">
        <f ca="1">SUM(O1252:Q1252)</f>
        <v>15776714.731887527</v>
      </c>
      <c r="O1252" s="60">
        <f ca="1">O932-O1241</f>
        <v>5051969.7762059718</v>
      </c>
      <c r="P1252" s="60">
        <f ca="1">P932-P1241</f>
        <v>10724744.955681555</v>
      </c>
      <c r="Q1252" s="60">
        <f ca="1">Q932-Q1241</f>
        <v>-5.404608213951669E-12</v>
      </c>
      <c r="T1252" s="338">
        <v>322916383</v>
      </c>
      <c r="U1252" s="34" t="str">
        <f ca="1">IF(T1252=ROUND(D932-D1241,0),"ok","err")</f>
        <v>ok</v>
      </c>
      <c r="W1252" s="379">
        <f ca="1">T1252-D1252</f>
        <v>0</v>
      </c>
    </row>
    <row r="1253" spans="1:27" x14ac:dyDescent="0.2">
      <c r="C1253" s="58"/>
      <c r="T1253" s="169"/>
      <c r="V1253" s="50"/>
      <c r="W1253" s="50"/>
    </row>
    <row r="1254" spans="1:27" x14ac:dyDescent="0.2">
      <c r="B1254" s="48" t="s">
        <v>351</v>
      </c>
      <c r="C1254" s="58"/>
      <c r="W1254" s="50"/>
    </row>
    <row r="1255" spans="1:27" x14ac:dyDescent="0.2">
      <c r="B1255" s="48" t="s">
        <v>352</v>
      </c>
      <c r="C1255" s="58"/>
      <c r="W1255" s="50"/>
    </row>
    <row r="1256" spans="1:27" x14ac:dyDescent="0.2">
      <c r="A1256" s="60">
        <v>2</v>
      </c>
      <c r="D1256" s="66"/>
      <c r="W1256" s="50"/>
    </row>
    <row r="1257" spans="1:27" x14ac:dyDescent="0.2">
      <c r="A1257" s="60">
        <v>3</v>
      </c>
      <c r="D1257" s="66"/>
      <c r="W1257" s="50"/>
    </row>
    <row r="1258" spans="1:27" x14ac:dyDescent="0.2">
      <c r="A1258" s="60">
        <v>4</v>
      </c>
      <c r="B1258" s="48" t="s">
        <v>353</v>
      </c>
      <c r="C1258" s="58"/>
      <c r="D1258" s="66">
        <f>SUM(F1258:I1258)+K1258</f>
        <v>0</v>
      </c>
      <c r="F1258" s="60">
        <f>F1257+F1256</f>
        <v>0</v>
      </c>
      <c r="H1258" s="60">
        <f>H1257+H1256</f>
        <v>0</v>
      </c>
      <c r="I1258" s="60">
        <f>(L1258+M1258+N1258)</f>
        <v>0</v>
      </c>
      <c r="L1258" s="60">
        <f>L1257+L1256</f>
        <v>0</v>
      </c>
      <c r="M1258" s="60"/>
      <c r="N1258" s="60">
        <f>SUM(O1258:Q1258)</f>
        <v>0</v>
      </c>
      <c r="O1258" s="60">
        <f>O1257+O1256</f>
        <v>0</v>
      </c>
      <c r="P1258" s="60">
        <f>P1257+P1256</f>
        <v>0</v>
      </c>
      <c r="Q1258" s="60">
        <f>Q1257+Q1256</f>
        <v>0</v>
      </c>
      <c r="T1258" s="139"/>
      <c r="W1258" s="50"/>
    </row>
    <row r="1259" spans="1:27" x14ac:dyDescent="0.2">
      <c r="C1259" s="58"/>
      <c r="W1259" s="50"/>
    </row>
    <row r="1260" spans="1:27" x14ac:dyDescent="0.2">
      <c r="B1260" s="48" t="s">
        <v>415</v>
      </c>
      <c r="C1260" s="58"/>
      <c r="W1260" s="50"/>
    </row>
    <row r="1261" spans="1:27" x14ac:dyDescent="0.2">
      <c r="B1261" s="48" t="s">
        <v>416</v>
      </c>
      <c r="C1261" s="58"/>
      <c r="W1261" s="50"/>
      <c r="Z1261" s="50"/>
      <c r="AA1261" s="50"/>
    </row>
    <row r="1262" spans="1:27" x14ac:dyDescent="0.2">
      <c r="A1262" s="60">
        <v>5</v>
      </c>
      <c r="B1262" s="48" t="s">
        <v>417</v>
      </c>
      <c r="C1262" s="51" t="s">
        <v>1117</v>
      </c>
      <c r="D1262" s="66">
        <f ca="1">SUM(F1262:I1262)+K1262</f>
        <v>68412281.090000018</v>
      </c>
      <c r="F1262" s="60">
        <f ca="1">INDEX(INDIRECT($C1262),1,F$12+1)*$T1262</f>
        <v>59882590.212777473</v>
      </c>
      <c r="H1262" s="60">
        <f ca="1">INDEX(INDIRECT($C1262),1,H$12+1)*$T1262</f>
        <v>3652286.9386506467</v>
      </c>
      <c r="I1262" s="60">
        <f ca="1">(L1262+M1262+N1262)</f>
        <v>4877403.9385718936</v>
      </c>
      <c r="L1262" s="60">
        <f ca="1">INDEX(INDIRECT($C1262),1,L$12+1)*$T1262</f>
        <v>638.31778416948544</v>
      </c>
      <c r="M1262" s="60"/>
      <c r="N1262" s="60">
        <f ca="1">SUM(O1262:Q1262)</f>
        <v>4876765.6207877239</v>
      </c>
      <c r="O1262" s="60">
        <f t="shared" ref="O1262:Q1264" ca="1" si="391">INDEX(INDIRECT($C1262),1,O$12+1)*$T1262</f>
        <v>1548863.1395702772</v>
      </c>
      <c r="P1262" s="60">
        <f t="shared" ca="1" si="391"/>
        <v>3327902.4812174467</v>
      </c>
      <c r="Q1262" s="60">
        <f t="shared" ca="1" si="391"/>
        <v>1.0709866629507657E-13</v>
      </c>
      <c r="T1262" s="325">
        <f>69943763-1373106-172268-T1264</f>
        <v>68412281.090000004</v>
      </c>
      <c r="U1262" s="50"/>
      <c r="V1262" s="50" t="s">
        <v>452</v>
      </c>
      <c r="W1262" s="50"/>
      <c r="X1262" s="50"/>
      <c r="Y1262" s="50"/>
    </row>
    <row r="1263" spans="1:27" x14ac:dyDescent="0.2">
      <c r="A1263" s="60">
        <v>6</v>
      </c>
      <c r="B1263" s="48" t="s">
        <v>418</v>
      </c>
      <c r="C1263" s="51" t="s">
        <v>746</v>
      </c>
      <c r="D1263" s="66">
        <v>0</v>
      </c>
      <c r="F1263" s="60">
        <f ca="1">INDEX(INDIRECT($C1263),1,F$12+1)*$T1263*0</f>
        <v>0</v>
      </c>
      <c r="H1263" s="60">
        <f ca="1">INDEX(INDIRECT($C1263),1,H$12+1)*$T1263</f>
        <v>1719.4505384607828</v>
      </c>
      <c r="I1263" s="60">
        <f ca="1">(L1263+M1263+N1263)</f>
        <v>0</v>
      </c>
      <c r="L1263" s="60">
        <f ca="1">INDEX(INDIRECT($C1263),1,L$12+1)*$T1263</f>
        <v>0</v>
      </c>
      <c r="M1263" s="60"/>
      <c r="N1263" s="60">
        <f ca="1">SUM(O1263:Q1263)</f>
        <v>0</v>
      </c>
      <c r="O1263" s="60">
        <f t="shared" ca="1" si="391"/>
        <v>0</v>
      </c>
      <c r="P1263" s="60">
        <f t="shared" ca="1" si="391"/>
        <v>0</v>
      </c>
      <c r="Q1263" s="60">
        <f t="shared" ca="1" si="391"/>
        <v>0</v>
      </c>
      <c r="T1263" s="325">
        <v>1373106</v>
      </c>
      <c r="U1263" s="50"/>
      <c r="V1263" s="50" t="s">
        <v>1310</v>
      </c>
      <c r="W1263" s="50"/>
      <c r="X1263" s="295"/>
      <c r="Y1263" s="296"/>
      <c r="Z1263" s="297"/>
    </row>
    <row r="1264" spans="1:27" x14ac:dyDescent="0.2">
      <c r="A1264" s="60">
        <v>7</v>
      </c>
      <c r="B1264" s="48" t="s">
        <v>419</v>
      </c>
      <c r="C1264" s="51" t="s">
        <v>1119</v>
      </c>
      <c r="D1264" s="66">
        <f ca="1">SUM(F1264:I1264)+K1264</f>
        <v>-13892.09</v>
      </c>
      <c r="F1264" s="60">
        <f ca="1">INDEX(INDIRECT($C1264),1,F$12+1)*$T1264</f>
        <v>0</v>
      </c>
      <c r="H1264" s="60">
        <f ca="1">INDEX(INDIRECT($C1264),1,H$12+1)*$T1264</f>
        <v>0</v>
      </c>
      <c r="I1264" s="60">
        <f ca="1">(L1264+M1264+N1264)</f>
        <v>-13892.09</v>
      </c>
      <c r="L1264" s="60">
        <f ca="1">INDEX(INDIRECT($C1264),1,L$12+1)*$T1264</f>
        <v>0</v>
      </c>
      <c r="M1264" s="60"/>
      <c r="N1264" s="60">
        <f ca="1">SUM(O1264:Q1264)</f>
        <v>-13892.09</v>
      </c>
      <c r="O1264" s="60">
        <f t="shared" ca="1" si="391"/>
        <v>-4334.6845538785155</v>
      </c>
      <c r="P1264" s="60">
        <f t="shared" ca="1" si="391"/>
        <v>-9557.4054461214855</v>
      </c>
      <c r="Q1264" s="60">
        <f t="shared" ca="1" si="391"/>
        <v>0</v>
      </c>
      <c r="T1264" s="325">
        <v>-13892.09</v>
      </c>
      <c r="U1264" s="50"/>
      <c r="V1264" s="50" t="s">
        <v>452</v>
      </c>
      <c r="W1264" s="50"/>
      <c r="X1264" s="296"/>
      <c r="Y1264" s="296"/>
      <c r="Z1264" s="105"/>
    </row>
    <row r="1265" spans="1:28" x14ac:dyDescent="0.2">
      <c r="A1265" s="60">
        <v>8</v>
      </c>
      <c r="B1265" s="48" t="s">
        <v>420</v>
      </c>
      <c r="C1265" s="58"/>
      <c r="D1265" s="60">
        <f ca="1">SUM(D1262:D1264)</f>
        <v>68398389.000000015</v>
      </c>
      <c r="F1265" s="60">
        <f ca="1">SUM(F1262:F1264)</f>
        <v>59882590.212777473</v>
      </c>
      <c r="H1265" s="60">
        <f ca="1">SUM(H1262:H1264)</f>
        <v>3654006.3891891073</v>
      </c>
      <c r="I1265" s="60">
        <f ca="1">(L1265+M1265+N1265)</f>
        <v>4863511.8485718938</v>
      </c>
      <c r="L1265" s="60">
        <f ca="1">SUM(L1262:L1264)</f>
        <v>638.31778416948544</v>
      </c>
      <c r="M1265" s="60"/>
      <c r="N1265" s="60">
        <f ca="1">SUM(O1265:Q1265)</f>
        <v>4862873.5307877241</v>
      </c>
      <c r="O1265" s="60">
        <f ca="1">SUM(O1262:O1264)</f>
        <v>1544528.4550163986</v>
      </c>
      <c r="P1265" s="60">
        <f ca="1">SUM(P1262:P1264)</f>
        <v>3318345.0757713253</v>
      </c>
      <c r="Q1265" s="60">
        <f ca="1">SUM(Q1262:Q1264)</f>
        <v>1.0709866629507657E-13</v>
      </c>
      <c r="T1265" s="50"/>
      <c r="U1265" s="50"/>
      <c r="V1265" s="50" t="s">
        <v>452</v>
      </c>
      <c r="W1265" s="50"/>
      <c r="X1265" s="296"/>
      <c r="Y1265" s="298"/>
      <c r="Z1265" s="105"/>
    </row>
    <row r="1266" spans="1:28" x14ac:dyDescent="0.2">
      <c r="C1266" s="58"/>
      <c r="T1266" s="50"/>
      <c r="U1266" s="50"/>
      <c r="W1266" s="50"/>
    </row>
    <row r="1267" spans="1:28" x14ac:dyDescent="0.2">
      <c r="B1267" s="48" t="s">
        <v>421</v>
      </c>
      <c r="C1267" s="58"/>
      <c r="T1267" s="50"/>
      <c r="U1267" s="50"/>
      <c r="W1267" s="50"/>
    </row>
    <row r="1268" spans="1:28" x14ac:dyDescent="0.2">
      <c r="A1268" s="60">
        <v>9</v>
      </c>
      <c r="B1268" s="70" t="s">
        <v>1361</v>
      </c>
      <c r="C1268" s="51" t="s">
        <v>732</v>
      </c>
      <c r="D1268" s="66">
        <f ca="1">SUM(F1268:I1268)+K1268</f>
        <v>-3773628</v>
      </c>
      <c r="F1268" s="60">
        <f ca="1">INDEX(INDIRECT($C1268),1,F$12+1)*$T1268</f>
        <v>-3266037.9510952863</v>
      </c>
      <c r="H1268" s="60">
        <f ca="1">INDEX(INDIRECT($C1268),1,H$12+1)*$T1268</f>
        <v>-191804.71373442453</v>
      </c>
      <c r="I1268" s="60">
        <f ca="1">(L1268+M1268+N1268)</f>
        <v>-315785.33517028921</v>
      </c>
      <c r="L1268" s="60">
        <f ca="1">INDEX(INDIRECT($C1268),1,L$12+1)*$T1268</f>
        <v>-28.877554010000679</v>
      </c>
      <c r="M1268" s="60"/>
      <c r="N1268" s="60">
        <f ca="1">SUM(O1268:Q1268)</f>
        <v>-315756.45761627919</v>
      </c>
      <c r="O1268" s="60">
        <f t="shared" ref="O1268:Q1271" ca="1" si="392">INDEX(INDIRECT($C1268),1,O$12+1)*$T1268</f>
        <v>-98524.02623483444</v>
      </c>
      <c r="P1268" s="60">
        <f t="shared" ca="1" si="392"/>
        <v>-217232.43138144474</v>
      </c>
      <c r="Q1268" s="60">
        <f t="shared" ca="1" si="392"/>
        <v>0</v>
      </c>
      <c r="T1268" s="325">
        <v>-3773628</v>
      </c>
      <c r="U1268" s="50"/>
      <c r="V1268" s="84" t="s">
        <v>1358</v>
      </c>
      <c r="W1268" s="50"/>
      <c r="Y1268" s="50"/>
    </row>
    <row r="1269" spans="1:28" x14ac:dyDescent="0.2">
      <c r="A1269" s="60">
        <v>10</v>
      </c>
      <c r="B1269" s="48" t="s">
        <v>151</v>
      </c>
      <c r="C1269" s="51" t="s">
        <v>616</v>
      </c>
      <c r="D1269" s="66">
        <f ca="1">SUM(F1269:I1269)+K1269</f>
        <v>219243</v>
      </c>
      <c r="F1269" s="60">
        <f ca="1">INDEX(INDIRECT($C1269),1,F$12+1)*$T1269</f>
        <v>0</v>
      </c>
      <c r="H1269" s="60">
        <f ca="1">INDEX(INDIRECT($C1269),1,H$12+1)*$T1269</f>
        <v>82850.783761432278</v>
      </c>
      <c r="I1269" s="60">
        <f ca="1">(L1269+M1269+N1269)</f>
        <v>136392.21623856772</v>
      </c>
      <c r="L1269" s="60">
        <f ca="1">INDEX(INDIRECT($C1269),1,L$12+1)*$T1269</f>
        <v>0</v>
      </c>
      <c r="M1269" s="60"/>
      <c r="N1269" s="60">
        <f ca="1">SUM(O1269:Q1269)</f>
        <v>136392.21623856772</v>
      </c>
      <c r="O1269" s="60">
        <f t="shared" ca="1" si="392"/>
        <v>42557.832046767464</v>
      </c>
      <c r="P1269" s="60">
        <f t="shared" ca="1" si="392"/>
        <v>93834.384191800244</v>
      </c>
      <c r="Q1269" s="60">
        <f t="shared" ca="1" si="392"/>
        <v>0</v>
      </c>
      <c r="T1269" s="325">
        <v>219243</v>
      </c>
      <c r="U1269" s="50"/>
      <c r="V1269" s="50" t="s">
        <v>452</v>
      </c>
      <c r="W1269" s="50"/>
      <c r="X1269" s="50"/>
      <c r="Y1269" s="50"/>
    </row>
    <row r="1270" spans="1:28" x14ac:dyDescent="0.2">
      <c r="A1270" s="60">
        <v>11</v>
      </c>
      <c r="B1270" s="48" t="s">
        <v>152</v>
      </c>
      <c r="C1270" s="51" t="s">
        <v>622</v>
      </c>
      <c r="D1270" s="66">
        <f ca="1">SUM(F1270:I1270)+K1270</f>
        <v>785219.99999999988</v>
      </c>
      <c r="F1270" s="60">
        <f ca="1">INDEX(INDIRECT($C1270),1,F$12+1)*$T1270</f>
        <v>0</v>
      </c>
      <c r="H1270" s="60">
        <f ca="1">INDEX(INDIRECT($C1270),1,H$12+1)*$T1270</f>
        <v>0</v>
      </c>
      <c r="I1270" s="60">
        <f ca="1">(L1270+M1270+N1270)</f>
        <v>785219.99999999988</v>
      </c>
      <c r="L1270" s="60">
        <f ca="1">INDEX(INDIRECT($C1270),1,L$12+1)*$T1270</f>
        <v>0</v>
      </c>
      <c r="M1270" s="60"/>
      <c r="N1270" s="60">
        <f ca="1">SUM(O1270:Q1270)</f>
        <v>785219.99999999988</v>
      </c>
      <c r="O1270" s="60">
        <f t="shared" ca="1" si="392"/>
        <v>245008.56281498951</v>
      </c>
      <c r="P1270" s="60">
        <f t="shared" ca="1" si="392"/>
        <v>540211.43718501041</v>
      </c>
      <c r="Q1270" s="60">
        <f t="shared" ca="1" si="392"/>
        <v>0</v>
      </c>
      <c r="T1270" s="325">
        <v>785220</v>
      </c>
      <c r="U1270" s="50"/>
      <c r="V1270" s="50" t="s">
        <v>452</v>
      </c>
      <c r="W1270" s="50"/>
      <c r="X1270" s="50"/>
      <c r="Y1270" s="50"/>
    </row>
    <row r="1271" spans="1:28" x14ac:dyDescent="0.2">
      <c r="A1271" s="60">
        <v>12</v>
      </c>
      <c r="B1271" s="48" t="s">
        <v>422</v>
      </c>
      <c r="C1271" s="51" t="s">
        <v>1117</v>
      </c>
      <c r="D1271" s="66">
        <f ca="1">SUM(F1271:I1271)+K1271</f>
        <v>137097</v>
      </c>
      <c r="F1271" s="60">
        <f ca="1">INDEX(INDIRECT($C1271),1,F$12+1)*$T1271</f>
        <v>120003.6505083177</v>
      </c>
      <c r="H1271" s="60">
        <f ca="1">INDEX(INDIRECT($C1271),1,H$12+1)*$T1271</f>
        <v>7319.1183578496239</v>
      </c>
      <c r="I1271" s="60">
        <f ca="1">(L1271+M1271+N1271)</f>
        <v>9774.2311338326836</v>
      </c>
      <c r="L1271" s="60">
        <f ca="1">INDEX(INDIRECT($C1271),1,L$12+1)*$T1271</f>
        <v>1.2791775374535159</v>
      </c>
      <c r="M1271" s="60"/>
      <c r="N1271" s="60">
        <f ca="1">SUM(O1271:Q1271)</f>
        <v>9772.95195629523</v>
      </c>
      <c r="O1271" s="60">
        <f t="shared" ca="1" si="392"/>
        <v>3103.8943076070773</v>
      </c>
      <c r="P1271" s="60">
        <f t="shared" ca="1" si="392"/>
        <v>6669.0576486881519</v>
      </c>
      <c r="Q1271" s="60">
        <f t="shared" ca="1" si="392"/>
        <v>2.1462383097180998E-16</v>
      </c>
      <c r="T1271" s="325">
        <v>137097</v>
      </c>
      <c r="U1271" s="50"/>
      <c r="V1271" s="50" t="s">
        <v>452</v>
      </c>
      <c r="W1271" s="50"/>
      <c r="X1271" s="50"/>
      <c r="Y1271" s="50"/>
    </row>
    <row r="1272" spans="1:28" x14ac:dyDescent="0.2">
      <c r="A1272" s="60">
        <v>13</v>
      </c>
      <c r="B1272" s="48" t="s">
        <v>423</v>
      </c>
      <c r="C1272" s="58"/>
      <c r="D1272" s="66">
        <f ca="1">SUM(F1272:I1272)+K1272</f>
        <v>-2632068</v>
      </c>
      <c r="F1272" s="60">
        <f ca="1">F1268+F1269+F1270+F1271</f>
        <v>-3146034.3005869687</v>
      </c>
      <c r="H1272" s="60">
        <f ca="1">H1268+H1269+H1270+H1271</f>
        <v>-101634.81161514262</v>
      </c>
      <c r="I1272" s="60">
        <f ca="1">(L1272+M1272+N1272)</f>
        <v>615601.11220211105</v>
      </c>
      <c r="L1272" s="60">
        <f ca="1">L1268+L1269+L1270+L1271</f>
        <v>-27.598376472547162</v>
      </c>
      <c r="M1272" s="60"/>
      <c r="N1272" s="60">
        <f ca="1">SUM(O1272:Q1272)</f>
        <v>615628.71057858365</v>
      </c>
      <c r="O1272" s="60">
        <f ca="1">O1268+O1269+O1270+O1271</f>
        <v>192146.26293452963</v>
      </c>
      <c r="P1272" s="60">
        <f ca="1">P1268+P1269+P1270+P1271</f>
        <v>423482.44764405407</v>
      </c>
      <c r="Q1272" s="60">
        <f ca="1">Q1268+Q1269+Q1270+Q1271</f>
        <v>2.1462383097180998E-16</v>
      </c>
      <c r="T1272" s="50"/>
    </row>
    <row r="1273" spans="1:28" x14ac:dyDescent="0.2">
      <c r="C1273" s="58"/>
      <c r="T1273" s="34"/>
      <c r="W1273" s="175" t="s">
        <v>1188</v>
      </c>
      <c r="X1273" s="168" t="s">
        <v>1189</v>
      </c>
      <c r="Y1273" s="168" t="s">
        <v>1190</v>
      </c>
      <c r="Z1273" s="168" t="s">
        <v>1191</v>
      </c>
      <c r="AA1273" s="40" t="s">
        <v>739</v>
      </c>
    </row>
    <row r="1274" spans="1:28" x14ac:dyDescent="0.2">
      <c r="A1274" s="60">
        <v>14</v>
      </c>
      <c r="B1274" s="70" t="s">
        <v>1360</v>
      </c>
      <c r="C1274" s="58"/>
      <c r="D1274" s="60">
        <f ca="1">ROUND(D1252+D1258-D1265+D1272,0)</f>
        <v>251885926</v>
      </c>
      <c r="F1274" s="60">
        <f ca="1">ROUND(F1252+F1258-F1265+F1272,0)</f>
        <v>229379633</v>
      </c>
      <c r="H1274" s="60">
        <f ca="1">ROUND(H1252+H1258-H1265+H1272,0)</f>
        <v>10987575</v>
      </c>
      <c r="I1274" s="60">
        <f ca="1">(L1274+M1274+N1274)</f>
        <v>11516998</v>
      </c>
      <c r="L1274" s="60">
        <f ca="1">ROUND(L1252+L1258-L1265+L1272,0)</f>
        <v>-12472</v>
      </c>
      <c r="M1274" s="60"/>
      <c r="N1274" s="60">
        <f ca="1">SUM(O1274:Q1274)</f>
        <v>11529470</v>
      </c>
      <c r="O1274" s="60">
        <f ca="1">ROUND(O1252+O1258-O1265+O1272,0)</f>
        <v>3699588</v>
      </c>
      <c r="P1274" s="60">
        <f ca="1">ROUND(P1252+P1258-P1265+P1272,0)</f>
        <v>7829882</v>
      </c>
      <c r="Q1274" s="60">
        <f ca="1">ROUND(Q1252+Q1258-Q1265+Q1272,0)</f>
        <v>0</v>
      </c>
      <c r="T1274" s="33">
        <f ca="1">ROUND(SUM(F1274:I1274),0)</f>
        <v>251884206</v>
      </c>
      <c r="V1274" s="50"/>
      <c r="W1274" s="60">
        <f ca="1">F1252+F1258-F1265+F1272</f>
        <v>229379632.97946405</v>
      </c>
      <c r="X1274" s="60">
        <f ca="1">L$1252+$L$1258+$L$1265+$L$1272</f>
        <v>-11194.876696616675</v>
      </c>
      <c r="Y1274" s="60">
        <f ca="1">O1252+O1258-O1265+O1272</f>
        <v>3699587.5841241027</v>
      </c>
      <c r="Z1274" s="60">
        <f ca="1">P1252+P1258-P1265+P1272</f>
        <v>7829882.3275542837</v>
      </c>
      <c r="AA1274" s="34">
        <f ca="1">SUM(W1274:Z1274)</f>
        <v>240897908.01444581</v>
      </c>
      <c r="AB1274" s="172"/>
    </row>
    <row r="1275" spans="1:28" x14ac:dyDescent="0.2">
      <c r="A1275" s="60">
        <v>15</v>
      </c>
      <c r="B1275" s="70" t="s">
        <v>145</v>
      </c>
      <c r="C1275" s="58"/>
      <c r="D1275" s="66">
        <f ca="1">D1274</f>
        <v>251885926</v>
      </c>
      <c r="F1275" s="60">
        <f ca="1">F1274</f>
        <v>229379633</v>
      </c>
      <c r="H1275" s="60">
        <f ca="1">T1275*T1276</f>
        <v>9863124.6805565674</v>
      </c>
      <c r="I1275" s="60">
        <f ca="1">(L1275+M1275+N1275)</f>
        <v>11516998</v>
      </c>
      <c r="L1275" s="60">
        <f ca="1">L1274</f>
        <v>-12472</v>
      </c>
      <c r="M1275" s="60"/>
      <c r="N1275" s="60">
        <f ca="1">SUM(O1275:Q1275)</f>
        <v>11529470</v>
      </c>
      <c r="O1275" s="60">
        <f ca="1">O1274</f>
        <v>3699588</v>
      </c>
      <c r="P1275" s="60">
        <f ca="1">P1274</f>
        <v>7829882</v>
      </c>
      <c r="Q1275" s="60">
        <f ca="1">Q1252+Q1258-Q1265+Q1272</f>
        <v>-5.5114922564157736E-12</v>
      </c>
      <c r="T1275" s="33">
        <f ca="1">D1274-D1270+D1264-H1263</f>
        <v>251085094.45946154</v>
      </c>
      <c r="V1275" s="50" t="s">
        <v>1194</v>
      </c>
      <c r="W1275" s="170">
        <f ca="1">W1274/$AA1274</f>
        <v>0.95218607280603262</v>
      </c>
      <c r="X1275" s="170">
        <f ca="1">X1274/$AA1274</f>
        <v>-4.6471456680086057E-5</v>
      </c>
      <c r="Y1275" s="170">
        <f ca="1">Y1274/$AA1274</f>
        <v>1.5357491539122255E-2</v>
      </c>
      <c r="Z1275" s="170">
        <f ca="1">Z1274/$AA1274</f>
        <v>3.2502907111525238E-2</v>
      </c>
      <c r="AA1275" s="34">
        <f ca="1">T1274-X1276</f>
        <v>242021081.31944343</v>
      </c>
      <c r="AB1275" s="172">
        <f ca="1">SUM(W1275:Z1275)</f>
        <v>1</v>
      </c>
    </row>
    <row r="1276" spans="1:28" x14ac:dyDescent="0.2">
      <c r="C1276" s="58"/>
      <c r="D1276" s="171"/>
      <c r="K1276" s="73"/>
      <c r="N1276" s="73"/>
      <c r="T1276" s="341">
        <v>3.9281999999999997E-2</v>
      </c>
      <c r="V1276" s="50" t="s">
        <v>1187</v>
      </c>
      <c r="W1276" s="50"/>
      <c r="X1276" s="168">
        <f ca="1">T1275*T1276</f>
        <v>9863124.6805565674</v>
      </c>
    </row>
    <row r="1277" spans="1:28" x14ac:dyDescent="0.2">
      <c r="A1277" s="60">
        <v>16</v>
      </c>
      <c r="B1277" s="48" t="s">
        <v>424</v>
      </c>
      <c r="D1277" s="60">
        <f ca="1">D1297*D1275</f>
        <v>15113155.559999999</v>
      </c>
      <c r="F1277" s="60">
        <f ca="1">F1297*F1275</f>
        <v>13762777.979999999</v>
      </c>
      <c r="H1277" s="60">
        <f ca="1">H1297*H1275</f>
        <v>591787.48083339399</v>
      </c>
      <c r="I1277" s="60">
        <f t="shared" ref="I1277:I1284" ca="1" si="393">(L1277+M1277+N1277)</f>
        <v>691019.88</v>
      </c>
      <c r="L1277" s="60">
        <f ca="1">L1297*L1275</f>
        <v>-748.31999999999994</v>
      </c>
      <c r="M1277" s="60"/>
      <c r="N1277" s="60">
        <f t="shared" ref="N1277:N1284" ca="1" si="394">SUM(O1277:Q1277)</f>
        <v>691768.2</v>
      </c>
      <c r="O1277" s="60">
        <f ca="1">O1297*O1275</f>
        <v>221975.28</v>
      </c>
      <c r="P1277" s="60">
        <f ca="1">P1297*P1275</f>
        <v>469792.92</v>
      </c>
      <c r="Q1277" s="60">
        <f ca="1">Q1297*Q1275</f>
        <v>-3.3068953538494639E-13</v>
      </c>
      <c r="T1277" s="106"/>
      <c r="V1277" s="100" t="s">
        <v>1193</v>
      </c>
      <c r="W1277" s="50"/>
    </row>
    <row r="1278" spans="1:28" x14ac:dyDescent="0.2">
      <c r="A1278" s="60">
        <v>17</v>
      </c>
      <c r="B1278" s="70" t="s">
        <v>1538</v>
      </c>
      <c r="C1278" s="51" t="s">
        <v>1117</v>
      </c>
      <c r="D1278" s="66">
        <f ca="1">SUM(F1278:I1278)</f>
        <v>-194310</v>
      </c>
      <c r="F1278" s="60">
        <f ca="1">ROUND(INDEX(INDIRECT($C1278),1,F$12+1)*$T1278,0)</f>
        <v>-170083</v>
      </c>
      <c r="H1278" s="60">
        <f ca="1">ROUND(INDEX(INDIRECT($C1278),1,H$12+1)*$T1278,0)</f>
        <v>-10374</v>
      </c>
      <c r="I1278" s="60">
        <f t="shared" ca="1" si="393"/>
        <v>-13853</v>
      </c>
      <c r="L1278" s="60">
        <f ca="1">ROUND(INDEX(INDIRECT($C1278),1,L$12+1)*$T1278,0)</f>
        <v>-2</v>
      </c>
      <c r="M1278" s="60"/>
      <c r="N1278" s="60">
        <f t="shared" ca="1" si="394"/>
        <v>-13851</v>
      </c>
      <c r="O1278" s="60">
        <f t="shared" ref="O1278:P1280" ca="1" si="395">ROUND(INDEX(INDIRECT($C1278),1,O$12+1)*$T1278,0)</f>
        <v>-4399</v>
      </c>
      <c r="P1278" s="60">
        <f t="shared" ca="1" si="395"/>
        <v>-9452</v>
      </c>
      <c r="Q1278" s="60">
        <f ca="1">INDEX(INDIRECT($C1278),1,Q$12+1)*$T1278</f>
        <v>-3.0419014709389992E-16</v>
      </c>
      <c r="T1278" s="325">
        <f>-358052+163740+2</f>
        <v>-194310</v>
      </c>
      <c r="U1278" s="50"/>
      <c r="V1278" s="50" t="s">
        <v>452</v>
      </c>
      <c r="W1278" s="50"/>
      <c r="X1278" s="50"/>
    </row>
    <row r="1279" spans="1:28" x14ac:dyDescent="0.2">
      <c r="A1279" s="33">
        <v>18</v>
      </c>
      <c r="B1279" s="70" t="s">
        <v>1535</v>
      </c>
      <c r="C1279" s="51" t="s">
        <v>1532</v>
      </c>
      <c r="D1279" s="66">
        <f ca="1">SUM(F1279:I1279)</f>
        <v>-148917</v>
      </c>
      <c r="F1279" s="60">
        <f ca="1">ROUND(INDEX(INDIRECT($C1279),1,F$12+1)*$T1279,0)</f>
        <v>-137702</v>
      </c>
      <c r="H1279" s="60">
        <f ca="1">ROUND(INDEX(INDIRECT($C1279),1,H$12+1)*$T1279,0)</f>
        <v>0</v>
      </c>
      <c r="I1279" s="60">
        <f t="shared" ref="I1279:I1280" ca="1" si="396">(L1279+M1279+N1279)</f>
        <v>-11215</v>
      </c>
      <c r="L1279" s="60">
        <f ca="1">ROUND(INDEX(INDIRECT($C1279),1,L$12+1)*$T1279,0)</f>
        <v>0</v>
      </c>
      <c r="M1279" s="60"/>
      <c r="N1279" s="60">
        <f t="shared" ref="N1279" ca="1" si="397">SUM(O1279:Q1279)</f>
        <v>-11215</v>
      </c>
      <c r="O1279" s="60">
        <f t="shared" ca="1" si="395"/>
        <v>-3562</v>
      </c>
      <c r="P1279" s="60">
        <f t="shared" ca="1" si="395"/>
        <v>-7653</v>
      </c>
      <c r="Q1279" s="60">
        <f ca="1">INDEX(INDIRECT($C1279),1,Q$12+1)*$T1279</f>
        <v>0</v>
      </c>
      <c r="T1279" s="325">
        <f>182941-331857</f>
        <v>-148916</v>
      </c>
      <c r="U1279" s="50"/>
      <c r="V1279" s="84" t="s">
        <v>1366</v>
      </c>
      <c r="W1279" s="50"/>
      <c r="Z1279" s="89" t="s">
        <v>1152</v>
      </c>
    </row>
    <row r="1280" spans="1:28" x14ac:dyDescent="0.2">
      <c r="A1280" s="60">
        <v>19</v>
      </c>
      <c r="B1280" s="70" t="s">
        <v>1534</v>
      </c>
      <c r="C1280" s="51" t="s">
        <v>1532</v>
      </c>
      <c r="D1280" s="66">
        <f ca="1">SUM(F1280:I1280)</f>
        <v>-1773106</v>
      </c>
      <c r="F1280" s="60">
        <f ca="1">ROUND(INDEX(INDIRECT($C1280),1,F$12+1)*$T1280,0)</f>
        <v>-1639580</v>
      </c>
      <c r="H1280" s="60">
        <f ca="1">ROUND(INDEX(INDIRECT($C1280),1,H$12+1)*$T1280,0)</f>
        <v>0</v>
      </c>
      <c r="I1280" s="60">
        <f t="shared" ca="1" si="396"/>
        <v>-133526</v>
      </c>
      <c r="L1280" s="60">
        <f ca="1">ROUND(INDEX(INDIRECT($C1280),1,L$12+1)*$T1280,0)</f>
        <v>0</v>
      </c>
      <c r="M1280" s="60"/>
      <c r="N1280" s="60">
        <f t="shared" ref="N1280" ca="1" si="398">SUM(O1280:Q1280)</f>
        <v>-133526</v>
      </c>
      <c r="O1280" s="60">
        <f t="shared" ca="1" si="395"/>
        <v>-42408</v>
      </c>
      <c r="P1280" s="60">
        <f t="shared" ca="1" si="395"/>
        <v>-91118</v>
      </c>
      <c r="Q1280" s="60">
        <f ca="1">INDEX(INDIRECT($C1280),1,Q$12+1)*$T1280</f>
        <v>0</v>
      </c>
      <c r="T1280" s="325">
        <f>-1773105</f>
        <v>-1773105</v>
      </c>
      <c r="U1280" s="50"/>
      <c r="V1280" s="50" t="s">
        <v>452</v>
      </c>
      <c r="W1280" s="50"/>
      <c r="X1280" s="50"/>
      <c r="Y1280" s="325">
        <f>-358052+163740</f>
        <v>-194312</v>
      </c>
      <c r="Z1280" s="339">
        <v>12996822.26</v>
      </c>
      <c r="AA1280" s="344">
        <f ca="1">D1281-Z1280</f>
        <v>0.29999999888241291</v>
      </c>
    </row>
    <row r="1281" spans="1:27" x14ac:dyDescent="0.2">
      <c r="A1281" s="60">
        <v>20</v>
      </c>
      <c r="B1281" s="48" t="s">
        <v>1207</v>
      </c>
      <c r="C1281" s="58"/>
      <c r="D1281" s="60">
        <f ca="1">D1278+D1277+D1279+D1280</f>
        <v>12996822.559999999</v>
      </c>
      <c r="F1281" s="60">
        <f ca="1">F1278+F1277+F1279+F1280</f>
        <v>11815412.979999999</v>
      </c>
      <c r="H1281" s="60">
        <f ca="1">H1278+H1277+H1279+H1280</f>
        <v>581413.48083339399</v>
      </c>
      <c r="I1281" s="60">
        <f t="shared" ca="1" si="393"/>
        <v>532425.88</v>
      </c>
      <c r="L1281" s="60">
        <f ca="1">L1278+L1277+L1279+L1280</f>
        <v>-750.31999999999994</v>
      </c>
      <c r="M1281" s="60"/>
      <c r="N1281" s="60">
        <f t="shared" ca="1" si="394"/>
        <v>533176.19999999995</v>
      </c>
      <c r="O1281" s="60">
        <f ca="1">O1278+O1277+O1279+O1280</f>
        <v>171606.28</v>
      </c>
      <c r="P1281" s="60">
        <f ca="1">P1278+P1277+P1279+P1280</f>
        <v>361569.92</v>
      </c>
      <c r="Q1281" s="60">
        <f ca="1">Q1278+Q1277</f>
        <v>-3.3099372553204027E-13</v>
      </c>
      <c r="T1281" s="293"/>
      <c r="W1281" s="50"/>
      <c r="Y1281" s="34">
        <f ca="1">T1278-AA1280</f>
        <v>-194310.29999999888</v>
      </c>
      <c r="Z1281" s="40"/>
      <c r="AA1281" s="100" t="s">
        <v>1186</v>
      </c>
    </row>
    <row r="1282" spans="1:27" x14ac:dyDescent="0.2">
      <c r="A1282" s="33">
        <v>21</v>
      </c>
      <c r="B1282" s="70" t="s">
        <v>1362</v>
      </c>
      <c r="C1282" s="51" t="s">
        <v>732</v>
      </c>
      <c r="D1282" s="66">
        <f ca="1">SUM(F1282:I1282)</f>
        <v>3803487</v>
      </c>
      <c r="F1282" s="60">
        <f ca="1">ROUND(INDEX(INDIRECT($C1282),1,F$12+1)*$T1282,0)</f>
        <v>3291881</v>
      </c>
      <c r="H1282" s="60">
        <f ca="1">ROUND(INDEX(INDIRECT($C1282),1,H$12+1)*$T1282,0)</f>
        <v>193322</v>
      </c>
      <c r="I1282" s="60">
        <f t="shared" ca="1" si="393"/>
        <v>318284</v>
      </c>
      <c r="L1282" s="60">
        <f ca="1">ROUND(INDEX(INDIRECT($C1282),1,L$12+1)*$T1282,0)</f>
        <v>29</v>
      </c>
      <c r="M1282" s="60"/>
      <c r="N1282" s="60">
        <f t="shared" ca="1" si="394"/>
        <v>318255</v>
      </c>
      <c r="O1282" s="60">
        <f ca="1">ROUND(INDEX(INDIRECT($C1282),1,O$12+1)*$T1282,0)</f>
        <v>99304</v>
      </c>
      <c r="P1282" s="60">
        <f ca="1">ROUND(INDEX(INDIRECT($C1282),1,P$12+1)*$T1282,0)</f>
        <v>218951</v>
      </c>
      <c r="Q1282" s="60">
        <f ca="1">INDEX(INDIRECT($C1282),1,Q$12+1)*$T1282</f>
        <v>0</v>
      </c>
      <c r="T1282" s="325">
        <f>3773628+29860</f>
        <v>3803488</v>
      </c>
      <c r="U1282" s="50"/>
      <c r="V1282" s="84" t="s">
        <v>1365</v>
      </c>
      <c r="W1282" s="50"/>
    </row>
    <row r="1283" spans="1:27" x14ac:dyDescent="0.2">
      <c r="A1283" s="33">
        <v>22</v>
      </c>
      <c r="B1283" s="108" t="s">
        <v>1192</v>
      </c>
      <c r="C1283" s="51" t="s">
        <v>1117</v>
      </c>
      <c r="D1283" s="66">
        <f ca="1">SUM(F1283:I1283)</f>
        <v>0</v>
      </c>
      <c r="F1283" s="60">
        <f ca="1">ROUND(INDEX(INDIRECT($C1283),1,F$12+1)*$T1283,0)</f>
        <v>0</v>
      </c>
      <c r="H1283" s="60">
        <f ca="1">ROUND(INDEX(INDIRECT($C1283),1,H$12+1)*$T1283,0)</f>
        <v>0</v>
      </c>
      <c r="I1283" s="60">
        <f t="shared" ca="1" si="393"/>
        <v>0</v>
      </c>
      <c r="L1283" s="60">
        <f ca="1">ROUND(INDEX(INDIRECT($C1283),1,L$12+1)*$T1283,0)</f>
        <v>0</v>
      </c>
      <c r="M1283" s="60"/>
      <c r="N1283" s="60">
        <f t="shared" ca="1" si="394"/>
        <v>0</v>
      </c>
      <c r="O1283" s="60">
        <f ca="1">ROUND(INDEX(INDIRECT($C1283),1,O$12+1)*$T1283,0)</f>
        <v>0</v>
      </c>
      <c r="P1283" s="60">
        <f ca="1">ROUND(INDEX(INDIRECT($C1283),1,P$12+1)*$T1283,0)</f>
        <v>0</v>
      </c>
      <c r="Q1283" s="60">
        <f ca="1">INDEX(INDIRECT($C1283),1,Q$12+1)*$T1283</f>
        <v>0</v>
      </c>
      <c r="T1283" s="325">
        <v>0</v>
      </c>
      <c r="U1283" s="50"/>
      <c r="V1283" s="84" t="s">
        <v>452</v>
      </c>
      <c r="W1283" s="50"/>
    </row>
    <row r="1284" spans="1:27" x14ac:dyDescent="0.2">
      <c r="A1284" s="60">
        <v>23</v>
      </c>
      <c r="B1284" s="70" t="s">
        <v>1539</v>
      </c>
      <c r="D1284" s="60">
        <f ca="1">D1274-D1281+D1282-D1283</f>
        <v>242692590.44</v>
      </c>
      <c r="F1284" s="60">
        <f ca="1">F1274-F1281+F1282-F1283</f>
        <v>220856101.02000001</v>
      </c>
      <c r="H1284" s="60">
        <f ca="1">H1274-H1281+H1282-H1283</f>
        <v>10599483.519166606</v>
      </c>
      <c r="I1284" s="60">
        <f t="shared" ca="1" si="393"/>
        <v>11302856.120000001</v>
      </c>
      <c r="L1284" s="60">
        <f ca="1">L1274-L1281+L1282-L1283</f>
        <v>-11692.68</v>
      </c>
      <c r="M1284" s="60"/>
      <c r="N1284" s="60">
        <f t="shared" ca="1" si="394"/>
        <v>11314548.800000001</v>
      </c>
      <c r="O1284" s="60">
        <f ca="1">O1274-O1281+O1282-O1283</f>
        <v>3627285.72</v>
      </c>
      <c r="P1284" s="60">
        <f ca="1">P1274-P1281+P1282-P1283</f>
        <v>7687263.0800000001</v>
      </c>
      <c r="Q1284" s="60">
        <f ca="1">Q1274-Q1281+Q1282-Q1283</f>
        <v>3.3099372553204027E-13</v>
      </c>
      <c r="T1284" s="293"/>
      <c r="W1284" s="50"/>
    </row>
    <row r="1285" spans="1:27" x14ac:dyDescent="0.2">
      <c r="T1285" s="293"/>
      <c r="W1285" s="50"/>
      <c r="X1285" s="167"/>
    </row>
    <row r="1286" spans="1:27" x14ac:dyDescent="0.2">
      <c r="A1286" s="60">
        <v>24</v>
      </c>
      <c r="B1286" s="48" t="s">
        <v>425</v>
      </c>
      <c r="D1286" s="60">
        <f ca="1">ROUND(D1284*$D$1298,0)-W1286</f>
        <v>84942407</v>
      </c>
      <c r="F1286" s="60">
        <f ca="1">ROUND(F1284*$D$1298,0)-Y1286</f>
        <v>77299635</v>
      </c>
      <c r="H1286" s="60">
        <f ca="1">ROUND(H1284*$D$1298,0)+Y1286</f>
        <v>3709819</v>
      </c>
      <c r="I1286" s="60">
        <f t="shared" ref="I1286:I1291" ca="1" si="399">(L1286+M1286+N1286)</f>
        <v>3956000</v>
      </c>
      <c r="L1286" s="60">
        <f ca="1">ROUND(L1284*$D$1298,0)</f>
        <v>-4092</v>
      </c>
      <c r="M1286" s="60"/>
      <c r="N1286" s="60">
        <f t="shared" ref="N1286:N1291" ca="1" si="400">SUM(O1286:Q1286)</f>
        <v>3960092</v>
      </c>
      <c r="O1286" s="60">
        <f ca="1">ROUND(O1284*$D$1298,0)</f>
        <v>1269550</v>
      </c>
      <c r="P1286" s="60">
        <f ca="1">ROUND(P1284*$D$1298,0)</f>
        <v>2690542</v>
      </c>
      <c r="Q1286" s="60">
        <f ca="1">Q1284*$D$1298</f>
        <v>1.1584780393621409E-13</v>
      </c>
      <c r="T1286" s="293"/>
      <c r="W1286" s="50"/>
    </row>
    <row r="1287" spans="1:27" x14ac:dyDescent="0.2">
      <c r="A1287" s="60">
        <v>25</v>
      </c>
      <c r="B1287" s="48" t="s">
        <v>426</v>
      </c>
      <c r="C1287" s="51" t="s">
        <v>1117</v>
      </c>
      <c r="D1287" s="66">
        <f ca="1">SUM(F1287:I1287)+K1287</f>
        <v>0</v>
      </c>
      <c r="F1287" s="60">
        <f ca="1">INDEX(INDIRECT($C1287),1,F$12+1)*$T1287</f>
        <v>0</v>
      </c>
      <c r="H1287" s="60">
        <f ca="1">INDEX(INDIRECT($C1287),1,H$12+1)*$T1287</f>
        <v>0</v>
      </c>
      <c r="I1287" s="60">
        <f t="shared" ca="1" si="399"/>
        <v>0</v>
      </c>
      <c r="L1287" s="60">
        <f ca="1">INDEX(INDIRECT($C1287),1,L$12+1)*$T1287</f>
        <v>0</v>
      </c>
      <c r="M1287" s="60"/>
      <c r="N1287" s="60">
        <f t="shared" ca="1" si="400"/>
        <v>0</v>
      </c>
      <c r="O1287" s="60">
        <f ca="1">INDEX(INDIRECT($C1287),1,O$12+1)*$T1287</f>
        <v>0</v>
      </c>
      <c r="P1287" s="60">
        <f ca="1">INDEX(INDIRECT($C1287),1,P$12+1)*$T1287</f>
        <v>0</v>
      </c>
      <c r="Q1287" s="60">
        <f ca="1">INDEX(INDIRECT($C1287),1,Q$12+1)*$T1287</f>
        <v>0</v>
      </c>
      <c r="T1287" s="325"/>
      <c r="U1287" s="50"/>
      <c r="V1287" s="50" t="s">
        <v>452</v>
      </c>
      <c r="W1287" s="50"/>
      <c r="X1287" s="50"/>
      <c r="Y1287" s="50"/>
    </row>
    <row r="1288" spans="1:27" x14ac:dyDescent="0.2">
      <c r="A1288" s="33">
        <v>26</v>
      </c>
      <c r="B1288" s="70" t="s">
        <v>1536</v>
      </c>
      <c r="C1288" s="51" t="s">
        <v>1117</v>
      </c>
      <c r="D1288" s="66">
        <f ca="1">SUM(F1288:I1288)</f>
        <v>-515496</v>
      </c>
      <c r="F1288" s="60">
        <f ca="1">ROUND(INDEX(INDIRECT($C1288),1,F$12+1)*$T1288,0)</f>
        <v>-451224</v>
      </c>
      <c r="H1288" s="60">
        <f ca="1">ROUND(INDEX(INDIRECT($C1288),1,H$12+1)*$T1288,0)</f>
        <v>-27520</v>
      </c>
      <c r="I1288" s="60">
        <f t="shared" ca="1" si="399"/>
        <v>-36752</v>
      </c>
      <c r="L1288" s="60">
        <f ca="1">ROUND(INDEX(INDIRECT($C1288),1,L$12+1)*$T1288,0)</f>
        <v>-5</v>
      </c>
      <c r="M1288" s="60"/>
      <c r="N1288" s="60">
        <f t="shared" ca="1" si="400"/>
        <v>-36747</v>
      </c>
      <c r="O1288" s="60">
        <f ca="1">ROUND(INDEX(INDIRECT($C1288),1,O$12+1)*$T1288,0)</f>
        <v>-11671</v>
      </c>
      <c r="P1288" s="60">
        <f ca="1">ROUND(INDEX(INDIRECT($C1288),1,P$12+1)*$T1288,0)</f>
        <v>-25076</v>
      </c>
      <c r="Q1288" s="60">
        <f ca="1">INDEX(INDIRECT($C1288),1,Q$12+1)*$T1288</f>
        <v>-8.0700326316873573E-16</v>
      </c>
      <c r="T1288" s="325">
        <f>409204-924700</f>
        <v>-515496</v>
      </c>
      <c r="U1288" s="50"/>
      <c r="V1288" s="84" t="s">
        <v>1533</v>
      </c>
      <c r="W1288" s="50"/>
    </row>
    <row r="1289" spans="1:27" x14ac:dyDescent="0.2">
      <c r="A1289" s="60">
        <v>27</v>
      </c>
      <c r="B1289" s="48" t="s">
        <v>345</v>
      </c>
      <c r="C1289" s="51"/>
      <c r="D1289" s="66">
        <f ca="1">SUM(F1289:I1289)+K1289</f>
        <v>0</v>
      </c>
      <c r="F1289" s="60">
        <f ca="1">-F1239</f>
        <v>0</v>
      </c>
      <c r="H1289" s="60">
        <f ca="1">-H1239</f>
        <v>0</v>
      </c>
      <c r="I1289" s="60">
        <f ca="1">(L1289+M1289+N1289)</f>
        <v>0</v>
      </c>
      <c r="L1289" s="60">
        <f ca="1">-L1239</f>
        <v>0</v>
      </c>
      <c r="M1289" s="60"/>
      <c r="N1289" s="60">
        <f t="shared" ca="1" si="400"/>
        <v>0</v>
      </c>
      <c r="O1289" s="60">
        <f ca="1">-O1239</f>
        <v>0</v>
      </c>
      <c r="P1289" s="60">
        <f ca="1">-P1239</f>
        <v>0</v>
      </c>
      <c r="Q1289" s="60">
        <f ca="1">-Q1239</f>
        <v>0</v>
      </c>
      <c r="T1289" s="293"/>
      <c r="W1289" s="50"/>
      <c r="Z1289" s="89" t="s">
        <v>1153</v>
      </c>
    </row>
    <row r="1290" spans="1:27" x14ac:dyDescent="0.2">
      <c r="A1290" s="60">
        <v>28</v>
      </c>
      <c r="B1290" s="70" t="s">
        <v>1537</v>
      </c>
      <c r="C1290" s="51" t="s">
        <v>1117</v>
      </c>
      <c r="D1290" s="66">
        <f ca="1">SUM(F1290:I1290)+K1290</f>
        <v>1137311</v>
      </c>
      <c r="F1290" s="60">
        <f ca="1">ROUND(INDEX(INDIRECT($C1290),1,F$12+1)*$T1290,0)</f>
        <v>995510</v>
      </c>
      <c r="H1290" s="60">
        <f ca="1">ROUND(INDEX(INDIRECT($C1290),1,H$12+1)*$T1290,0)</f>
        <v>60717</v>
      </c>
      <c r="I1290" s="60">
        <f t="shared" ca="1" si="399"/>
        <v>81084</v>
      </c>
      <c r="L1290" s="60">
        <f ca="1">ROUND(INDEX(INDIRECT($C1290),1,L$12+1)*$T1290,0)</f>
        <v>11</v>
      </c>
      <c r="M1290" s="60"/>
      <c r="N1290" s="60">
        <f t="shared" ca="1" si="400"/>
        <v>81073</v>
      </c>
      <c r="O1290" s="60">
        <f ca="1">ROUND(INDEX(INDIRECT($C1290),1,O$12+1)*$T1290,0)</f>
        <v>25749</v>
      </c>
      <c r="P1290" s="60">
        <f ca="1">ROUND(INDEX(INDIRECT($C1290),1,P$12+1)*$T1290,0)</f>
        <v>55324</v>
      </c>
      <c r="Q1290" s="60">
        <f ca="1">ROUND(INDEX(INDIRECT($C1290),1,Q$12+1)*$T1290,0)</f>
        <v>0</v>
      </c>
      <c r="T1290" s="325">
        <f>398377+955154-216221+1</f>
        <v>1137311</v>
      </c>
      <c r="U1290" s="50"/>
      <c r="V1290" s="50" t="s">
        <v>452</v>
      </c>
      <c r="W1290" s="50"/>
      <c r="X1290" s="50"/>
      <c r="Y1290" s="325">
        <f>398377+955154-216221</f>
        <v>1137310</v>
      </c>
      <c r="Z1290" s="325">
        <v>85564222.129999995</v>
      </c>
      <c r="AA1290" s="107">
        <f ca="1">D1291-Z1290</f>
        <v>-0.12999999523162842</v>
      </c>
    </row>
    <row r="1291" spans="1:27" x14ac:dyDescent="0.2">
      <c r="A1291" s="60">
        <v>29</v>
      </c>
      <c r="B1291" s="48" t="s">
        <v>427</v>
      </c>
      <c r="C1291" s="58"/>
      <c r="D1291" s="60">
        <f ca="1">SUM(D1286:D1290)</f>
        <v>85564222</v>
      </c>
      <c r="F1291" s="60">
        <f ca="1">SUM(F1286:F1290)</f>
        <v>77843921</v>
      </c>
      <c r="H1291" s="60">
        <f ca="1">SUM(H1286:H1290)</f>
        <v>3743016</v>
      </c>
      <c r="I1291" s="60">
        <f t="shared" ca="1" si="399"/>
        <v>4000332</v>
      </c>
      <c r="L1291" s="60">
        <f ca="1">SUM(L1286:L1290)</f>
        <v>-4086</v>
      </c>
      <c r="M1291" s="60"/>
      <c r="N1291" s="60">
        <f t="shared" ca="1" si="400"/>
        <v>4004418</v>
      </c>
      <c r="O1291" s="60">
        <f ca="1">SUM(O1286:O1290)</f>
        <v>1283628</v>
      </c>
      <c r="P1291" s="60">
        <f ca="1">SUM(P1286:P1290)</f>
        <v>2720790</v>
      </c>
      <c r="Q1291" s="60">
        <f ca="1">SUM(Q1286:Q1290)</f>
        <v>1.1504080067304536E-13</v>
      </c>
      <c r="T1291" s="34"/>
      <c r="W1291" s="50"/>
      <c r="Y1291" s="34">
        <f ca="1">T1290-AA1290</f>
        <v>1137311.1299999952</v>
      </c>
      <c r="Z1291" s="335"/>
      <c r="AA1291" s="100" t="s">
        <v>1186</v>
      </c>
    </row>
    <row r="1292" spans="1:27" x14ac:dyDescent="0.2">
      <c r="T1292" s="34"/>
      <c r="W1292" s="138" t="str">
        <f>T583</f>
        <v>Financial Statements Net Operating Income</v>
      </c>
    </row>
    <row r="1293" spans="1:27" x14ac:dyDescent="0.2">
      <c r="A1293" s="60">
        <v>30</v>
      </c>
      <c r="B1293" s="48" t="s">
        <v>71</v>
      </c>
      <c r="C1293" s="58"/>
      <c r="D1293" s="60">
        <f ca="1">D932-D1241-D1281-D1291</f>
        <v>224355338.0399999</v>
      </c>
      <c r="F1293" s="60">
        <f ca="1">F932-F1241-F1281-F1291</f>
        <v>202748923.51282847</v>
      </c>
      <c r="G1293" s="109"/>
      <c r="H1293" s="60">
        <f ca="1">H932-H1241-H1281-H1291</f>
        <v>10418786.490554946</v>
      </c>
      <c r="I1293" s="60">
        <f ca="1">(L1293+M1293+N1293)</f>
        <v>11232151.255783213</v>
      </c>
      <c r="L1293" s="60">
        <f ca="1">L932-L1241-L1281-L1291</f>
        <v>-6969.2761043136124</v>
      </c>
      <c r="M1293" s="60"/>
      <c r="N1293" s="60">
        <f ca="1">SUM(O1293:Q1293)</f>
        <v>11239120.531887528</v>
      </c>
      <c r="O1293" s="60">
        <f ca="1">O932-O1241-O1281-O1291</f>
        <v>3596735.4962059716</v>
      </c>
      <c r="P1293" s="60">
        <f ca="1">P932-P1241-P1281-P1291</f>
        <v>7642385.035681555</v>
      </c>
      <c r="Q1293" s="60">
        <f ca="1">Q932-Q1241-Q1281-Q1291</f>
        <v>-5.188655289092674E-12</v>
      </c>
      <c r="T1293" s="34"/>
      <c r="W1293" s="342">
        <f>T584</f>
        <v>224355338.11999989</v>
      </c>
      <c r="X1293" s="343">
        <f ca="1">D1293-W1293</f>
        <v>-7.9999983310699463E-2</v>
      </c>
    </row>
    <row r="1294" spans="1:27" x14ac:dyDescent="0.2">
      <c r="A1294" s="60">
        <v>31</v>
      </c>
      <c r="B1294" s="48" t="s">
        <v>428</v>
      </c>
      <c r="C1294" s="58"/>
      <c r="D1294" s="73">
        <f ca="1">IF(D894=0,0,(IF(OR((+D1293/D894)&lt;-10000,(+D1293/D894)&gt;10000),0,+D1293/D894)))</f>
        <v>5.6409979363913343E-2</v>
      </c>
      <c r="F1294" s="73">
        <f ca="1">IF(F894=0,0,(IF(OR((+F1293/F894)&lt;-10000,(+F1293/F894)&gt;10000),0,+F1293/F894)))</f>
        <v>5.7106326001415242E-2</v>
      </c>
      <c r="G1294" s="73"/>
      <c r="H1294" s="73">
        <f ca="1">IF(H894=0,0,(IF(OR((+H1293/H894)&lt;-10000,(+H1293/H894)&gt;10000),0,+H1293/H894)))</f>
        <v>4.8114778267614421E-2</v>
      </c>
      <c r="I1294" s="73">
        <f ca="1">IF(I894=0,0,(IF(OR((+I1293/I894)&lt;-10000,(+I1293/I894)&gt;10000),0,+I1293/I894)))</f>
        <v>3.8841899407701122E-2</v>
      </c>
      <c r="K1294" s="73"/>
      <c r="L1294" s="73">
        <f ca="1">IF(L894=0,0,(IF(OR((+L1293/L894)&lt;-10000,(+L1293/L894)&gt;10000),0,+L1293/L894)))</f>
        <v>-0.18415222334440329</v>
      </c>
      <c r="M1294" s="73"/>
      <c r="N1294" s="73">
        <f ca="1">IF(N894=0,0,(IF(OR((+N1293/N894)&lt;-10000,(+N1293/N894)&gt;10000),0,+N1293/N894)))</f>
        <v>3.8871087013870091E-2</v>
      </c>
      <c r="O1294" s="73">
        <f ca="1">IF(O894=0,0,(IF(OR((+O1293/O894)&lt;-10000,(+O1293/O894)&gt;10000),0,+O1293/O894)))</f>
        <v>3.9167125291229517E-2</v>
      </c>
      <c r="P1294" s="73">
        <f ca="1">IF(P894=0,0,(IF(OR((+P1293/P894)&lt;-10000,(+P1293/P894)&gt;10000),0,+P1293/P894)))</f>
        <v>3.873330570017721E-2</v>
      </c>
      <c r="Q1294" s="73">
        <f ca="1">IF(Q894=0,0,(IF(OR((+Q1293/Q894)&lt;-10000,(+Q1293/Q894)&gt;10000),0,+Q1293/Q894)))</f>
        <v>-0.81714099136849638</v>
      </c>
      <c r="T1294" s="173"/>
      <c r="W1294" s="50"/>
    </row>
    <row r="1295" spans="1:27" x14ac:dyDescent="0.2">
      <c r="H1295" s="58"/>
      <c r="M1295" s="58"/>
      <c r="W1295" s="50"/>
    </row>
    <row r="1296" spans="1:27" x14ac:dyDescent="0.2">
      <c r="H1296" s="110"/>
      <c r="M1296" s="110"/>
      <c r="W1296" s="50"/>
    </row>
    <row r="1297" spans="1:25" x14ac:dyDescent="0.2">
      <c r="B1297" s="48" t="s">
        <v>429</v>
      </c>
      <c r="D1297" s="111">
        <v>0.06</v>
      </c>
      <c r="F1297" s="111">
        <v>0.06</v>
      </c>
      <c r="G1297" s="111"/>
      <c r="H1297" s="111">
        <v>0.06</v>
      </c>
      <c r="I1297" s="73">
        <v>0.06</v>
      </c>
      <c r="K1297" s="73"/>
      <c r="L1297" s="111">
        <v>0.06</v>
      </c>
      <c r="M1297" s="111"/>
      <c r="N1297" s="73">
        <v>0.06</v>
      </c>
      <c r="O1297" s="111">
        <v>0.06</v>
      </c>
      <c r="P1297" s="111">
        <v>0.06</v>
      </c>
      <c r="Q1297" s="111">
        <v>0.06</v>
      </c>
      <c r="W1297" s="50"/>
    </row>
    <row r="1298" spans="1:25" x14ac:dyDescent="0.2">
      <c r="B1298" s="48" t="s">
        <v>430</v>
      </c>
      <c r="D1298" s="111">
        <v>0.35</v>
      </c>
      <c r="F1298" s="73">
        <f>$D1298</f>
        <v>0.35</v>
      </c>
      <c r="G1298" s="73"/>
      <c r="H1298" s="73">
        <f>$D1298</f>
        <v>0.35</v>
      </c>
      <c r="I1298" s="73">
        <f>$D1298</f>
        <v>0.35</v>
      </c>
      <c r="K1298" s="111"/>
      <c r="L1298" s="73">
        <f>$D1298</f>
        <v>0.35</v>
      </c>
      <c r="M1298" s="73"/>
      <c r="N1298" s="73">
        <f>$D1298</f>
        <v>0.35</v>
      </c>
      <c r="O1298" s="73">
        <f>$D1298</f>
        <v>0.35</v>
      </c>
      <c r="P1298" s="73">
        <f>$D1298</f>
        <v>0.35</v>
      </c>
      <c r="Q1298" s="73">
        <f>$D1298</f>
        <v>0.35</v>
      </c>
      <c r="W1298" s="50"/>
    </row>
    <row r="1299" spans="1:25" x14ac:dyDescent="0.2">
      <c r="B1299" s="48" t="s">
        <v>431</v>
      </c>
      <c r="D1299" s="71">
        <f>1-((D$1297+D1298)-(D$1297*D1298))</f>
        <v>0.61099999999999999</v>
      </c>
      <c r="F1299" s="71">
        <f>1-((F$1297+F1298)-(F$1297*F1298))</f>
        <v>0.61099999999999999</v>
      </c>
      <c r="G1299" s="71"/>
      <c r="H1299" s="71">
        <f>1-((H$1297+H1298)-(H$1297*H1298))</f>
        <v>0.61099999999999999</v>
      </c>
      <c r="I1299" s="71">
        <f>1-((I$1297+I1298)-(I$1297*I1298))</f>
        <v>0.61099999999999999</v>
      </c>
      <c r="K1299" s="71"/>
      <c r="L1299" s="71">
        <f t="shared" ref="L1299:Q1299" si="401">1-((L$1297+L1298)-(L$1297*L1298))</f>
        <v>0.61099999999999999</v>
      </c>
      <c r="M1299" s="71"/>
      <c r="N1299" s="71">
        <f t="shared" si="401"/>
        <v>0.61099999999999999</v>
      </c>
      <c r="O1299" s="71">
        <f t="shared" si="401"/>
        <v>0.61099999999999999</v>
      </c>
      <c r="P1299" s="71">
        <f t="shared" si="401"/>
        <v>0.61099999999999999</v>
      </c>
      <c r="Q1299" s="71">
        <f t="shared" si="401"/>
        <v>0.61099999999999999</v>
      </c>
      <c r="W1299" s="50"/>
    </row>
    <row r="1300" spans="1:25" x14ac:dyDescent="0.2">
      <c r="B1300" s="48" t="s">
        <v>432</v>
      </c>
      <c r="D1300" s="71">
        <f>((D$1297+D1298)-(D$1297*D1298))</f>
        <v>0.38899999999999996</v>
      </c>
      <c r="F1300" s="71">
        <f>((F$1297+F1298)-(F$1297*F1298))</f>
        <v>0.38899999999999996</v>
      </c>
      <c r="G1300" s="71"/>
      <c r="H1300" s="71">
        <f>((H$1297+H1298)-(H$1297*H1298))</f>
        <v>0.38899999999999996</v>
      </c>
      <c r="I1300" s="71">
        <f>((I$1297+I1298)-(I$1297*I1298))</f>
        <v>0.38899999999999996</v>
      </c>
      <c r="K1300" s="71"/>
      <c r="L1300" s="71">
        <f t="shared" ref="L1300:Q1300" si="402">((L$1297+L1298)-(L$1297*L1298))</f>
        <v>0.38899999999999996</v>
      </c>
      <c r="M1300" s="71"/>
      <c r="N1300" s="71">
        <f t="shared" si="402"/>
        <v>0.38899999999999996</v>
      </c>
      <c r="O1300" s="71">
        <f t="shared" si="402"/>
        <v>0.38899999999999996</v>
      </c>
      <c r="P1300" s="71">
        <f t="shared" si="402"/>
        <v>0.38899999999999996</v>
      </c>
      <c r="Q1300" s="71">
        <f t="shared" si="402"/>
        <v>0.38899999999999996</v>
      </c>
      <c r="W1300" s="50"/>
    </row>
    <row r="1301" spans="1:25" x14ac:dyDescent="0.2">
      <c r="B1301" s="48" t="s">
        <v>433</v>
      </c>
      <c r="D1301" s="71">
        <f>1+(+D1300/D1299)</f>
        <v>1.6366612111292962</v>
      </c>
      <c r="F1301" s="71">
        <f>1+(+F1300/F1299)</f>
        <v>1.6366612111292962</v>
      </c>
      <c r="G1301" s="71"/>
      <c r="H1301" s="71">
        <f>1+(+H1300/H1299)</f>
        <v>1.6366612111292962</v>
      </c>
      <c r="I1301" s="71">
        <f>1+(+I1300/I1299)</f>
        <v>1.6366612111292962</v>
      </c>
      <c r="K1301" s="71"/>
      <c r="L1301" s="71">
        <f t="shared" ref="L1301:Q1301" si="403">1+(+L1300/L1299)</f>
        <v>1.6366612111292962</v>
      </c>
      <c r="M1301" s="71"/>
      <c r="N1301" s="71">
        <f t="shared" si="403"/>
        <v>1.6366612111292962</v>
      </c>
      <c r="O1301" s="71">
        <f t="shared" si="403"/>
        <v>1.6366612111292962</v>
      </c>
      <c r="P1301" s="71">
        <f t="shared" si="403"/>
        <v>1.6366612111292962</v>
      </c>
      <c r="Q1301" s="71">
        <f t="shared" si="403"/>
        <v>1.6366612111292962</v>
      </c>
      <c r="W1301" s="50"/>
    </row>
    <row r="1302" spans="1:25" x14ac:dyDescent="0.2">
      <c r="W1302" s="50"/>
    </row>
    <row r="1303" spans="1:25" x14ac:dyDescent="0.2">
      <c r="W1303" s="50"/>
    </row>
    <row r="1304" spans="1:25" x14ac:dyDescent="0.2">
      <c r="W1304" s="50"/>
    </row>
    <row r="1305" spans="1:25" x14ac:dyDescent="0.2">
      <c r="W1305" s="50"/>
    </row>
    <row r="1306" spans="1:25" x14ac:dyDescent="0.2">
      <c r="B1306" s="64" t="s">
        <v>434</v>
      </c>
      <c r="W1306" s="50"/>
    </row>
    <row r="1307" spans="1:25" x14ac:dyDescent="0.2">
      <c r="W1307" s="50"/>
    </row>
    <row r="1308" spans="1:25" x14ac:dyDescent="0.2">
      <c r="B1308" s="48" t="s">
        <v>435</v>
      </c>
      <c r="W1308" s="50"/>
    </row>
    <row r="1309" spans="1:25" x14ac:dyDescent="0.2">
      <c r="B1309" s="48" t="s">
        <v>436</v>
      </c>
      <c r="W1309" s="50"/>
    </row>
    <row r="1310" spans="1:25" x14ac:dyDescent="0.2">
      <c r="A1310" s="60"/>
      <c r="B1310" s="48" t="s">
        <v>437</v>
      </c>
      <c r="C1310" s="51"/>
      <c r="D1310" s="66"/>
      <c r="F1310" s="60"/>
      <c r="H1310" s="60"/>
      <c r="I1310" s="60"/>
      <c r="L1310" s="60"/>
      <c r="M1310" s="60"/>
      <c r="N1310" s="60"/>
      <c r="O1310" s="60"/>
      <c r="P1310" s="60"/>
      <c r="Q1310" s="60"/>
      <c r="T1310" s="58"/>
      <c r="U1310" s="50"/>
      <c r="V1310" s="50"/>
      <c r="W1310" s="50"/>
      <c r="X1310" s="50"/>
      <c r="Y1310" s="50"/>
    </row>
    <row r="1311" spans="1:25" x14ac:dyDescent="0.2">
      <c r="A1311" s="60">
        <v>1</v>
      </c>
      <c r="B1311" s="70" t="s">
        <v>494</v>
      </c>
      <c r="C1311" s="51" t="s">
        <v>683</v>
      </c>
      <c r="D1311" s="66">
        <f ca="1">SUM(F1311:I1311)+K1311</f>
        <v>3499087.08</v>
      </c>
      <c r="F1311" s="60">
        <f ca="1">INDEX(INDIRECT($C1311),1,F$12+1)*$T1311</f>
        <v>3035692.05574243</v>
      </c>
      <c r="H1311" s="60">
        <f ca="1">INDEX(INDIRECT($C1311),1,H$12+1)*$T1311</f>
        <v>160510.33260387252</v>
      </c>
      <c r="I1311" s="60">
        <f ca="1">(L1311+M1311+N1311)</f>
        <v>302884.69165369758</v>
      </c>
      <c r="L1311" s="60">
        <f ca="1">INDEX(INDIRECT($C1311),1,L$12+1)*$T1311</f>
        <v>16.687558299686359</v>
      </c>
      <c r="M1311" s="60"/>
      <c r="N1311" s="60">
        <f ca="1">SUM(O1311:Q1311)</f>
        <v>302868.00409539789</v>
      </c>
      <c r="O1311" s="60">
        <f t="shared" ref="O1311:Q1315" ca="1" si="404">INDEX(INDIRECT($C1311),1,O$12+1)*$T1311</f>
        <v>98870.218592800971</v>
      </c>
      <c r="P1311" s="60">
        <f t="shared" ca="1" si="404"/>
        <v>203997.78550259693</v>
      </c>
      <c r="Q1311" s="60">
        <f t="shared" ca="1" si="404"/>
        <v>0</v>
      </c>
      <c r="T1311" s="325">
        <v>3499087.08</v>
      </c>
      <c r="U1311" s="92">
        <v>501</v>
      </c>
      <c r="W1311" s="92">
        <f>SUMIF('O&amp;M'!$B$3:$B$87,TOTALCO!U1311,'O&amp;M'!$G$3:$G$87)+SUMIF('O&amp;M'!$B$3:$B$87,TOTALCO!V1311,'O&amp;M'!$G$3:$G$87)</f>
        <v>3499087.08</v>
      </c>
      <c r="X1311" s="85">
        <f ca="1">D1311-T1311</f>
        <v>0</v>
      </c>
      <c r="Y1311" s="50" t="s">
        <v>454</v>
      </c>
    </row>
    <row r="1312" spans="1:25" x14ac:dyDescent="0.2">
      <c r="A1312" s="60">
        <v>2</v>
      </c>
      <c r="B1312" s="70" t="s">
        <v>495</v>
      </c>
      <c r="C1312" s="51" t="s">
        <v>683</v>
      </c>
      <c r="D1312" s="66">
        <f ca="1">SUM(F1312:I1312)+K1312</f>
        <v>6556678.6600000001</v>
      </c>
      <c r="F1312" s="60">
        <f ca="1">INDEX(INDIRECT($C1312),1,F$12+1)*$T1312</f>
        <v>5688357.2386594964</v>
      </c>
      <c r="H1312" s="60">
        <f ca="1">INDEX(INDIRECT($C1312),1,H$12+1)*$T1312</f>
        <v>300768.35712625744</v>
      </c>
      <c r="I1312" s="60">
        <f ca="1">(L1312+M1312+N1312)</f>
        <v>567553.06421424623</v>
      </c>
      <c r="L1312" s="60">
        <f ca="1">INDEX(INDIRECT($C1312),1,L$12+1)*$T1312</f>
        <v>31.269572574072502</v>
      </c>
      <c r="M1312" s="60"/>
      <c r="N1312" s="60">
        <f ca="1">SUM(O1312:Q1312)</f>
        <v>567521.79464167217</v>
      </c>
      <c r="O1312" s="60">
        <f t="shared" ca="1" si="404"/>
        <v>185265.53856354824</v>
      </c>
      <c r="P1312" s="60">
        <f t="shared" ca="1" si="404"/>
        <v>382256.25607812387</v>
      </c>
      <c r="Q1312" s="60">
        <f t="shared" ca="1" si="404"/>
        <v>0</v>
      </c>
      <c r="T1312" s="325">
        <v>6556678.6600000001</v>
      </c>
      <c r="U1312" s="92">
        <v>510</v>
      </c>
      <c r="W1312" s="92">
        <f>SUMIF('O&amp;M'!$B$3:$B$87,TOTALCO!U1312,'O&amp;M'!$G$3:$G$87)+SUMIF('O&amp;M'!$B$3:$B$87,TOTALCO!V1312,'O&amp;M'!$G$3:$G$87)</f>
        <v>6556678.6600000001</v>
      </c>
      <c r="X1312" s="85">
        <f t="shared" ref="X1312:X1315" ca="1" si="405">D1312-T1312</f>
        <v>0</v>
      </c>
      <c r="Y1312" s="50" t="s">
        <v>454</v>
      </c>
    </row>
    <row r="1313" spans="1:25" x14ac:dyDescent="0.2">
      <c r="A1313" s="60">
        <v>3</v>
      </c>
      <c r="B1313" s="70" t="s">
        <v>496</v>
      </c>
      <c r="C1313" s="51" t="s">
        <v>683</v>
      </c>
      <c r="D1313" s="66">
        <f ca="1">SUM(F1313:I1313)+K1313</f>
        <v>9034370.0099999998</v>
      </c>
      <c r="F1313" s="60">
        <f ca="1">INDEX(INDIRECT($C1313),1,F$12+1)*$T1313</f>
        <v>7837920.1891696434</v>
      </c>
      <c r="H1313" s="60">
        <f ca="1">INDEX(INDIRECT($C1313),1,H$12+1)*$T1313</f>
        <v>414425.16348337097</v>
      </c>
      <c r="I1313" s="60">
        <f ca="1">(L1313+M1313+N1313)</f>
        <v>782024.65734698507</v>
      </c>
      <c r="L1313" s="60">
        <f ca="1">INDEX(INDIRECT($C1313),1,L$12+1)*$T1313</f>
        <v>43.085974368723917</v>
      </c>
      <c r="M1313" s="60"/>
      <c r="N1313" s="60">
        <f ca="1">SUM(O1313:Q1313)</f>
        <v>781981.57137261634</v>
      </c>
      <c r="O1313" s="60">
        <f t="shared" ca="1" si="404"/>
        <v>255275.19530521243</v>
      </c>
      <c r="P1313" s="60">
        <f t="shared" ca="1" si="404"/>
        <v>526706.37606740394</v>
      </c>
      <c r="Q1313" s="60">
        <f t="shared" ca="1" si="404"/>
        <v>0</v>
      </c>
      <c r="T1313" s="325">
        <v>9034370.0099999998</v>
      </c>
      <c r="U1313" s="92">
        <v>512</v>
      </c>
      <c r="W1313" s="92">
        <f>SUMIF('O&amp;M'!$B$3:$B$87,TOTALCO!U1313,'O&amp;M'!$G$3:$G$87)+SUMIF('O&amp;M'!$B$3:$B$87,TOTALCO!V1313,'O&amp;M'!$G$3:$G$87)</f>
        <v>9034370.0099999998</v>
      </c>
      <c r="X1313" s="85">
        <f t="shared" ca="1" si="405"/>
        <v>0</v>
      </c>
      <c r="Y1313" s="50" t="s">
        <v>454</v>
      </c>
    </row>
    <row r="1314" spans="1:25" x14ac:dyDescent="0.2">
      <c r="A1314" s="60">
        <v>4</v>
      </c>
      <c r="B1314" s="70" t="s">
        <v>497</v>
      </c>
      <c r="C1314" s="51" t="s">
        <v>683</v>
      </c>
      <c r="D1314" s="66">
        <f ca="1">SUM(F1314:I1314)+K1314</f>
        <v>2257567.96</v>
      </c>
      <c r="F1314" s="60">
        <f ca="1">INDEX(INDIRECT($C1314),1,F$12+1)*$T1314</f>
        <v>1958591.1881537521</v>
      </c>
      <c r="H1314" s="60">
        <f ca="1">INDEX(INDIRECT($C1314),1,H$12+1)*$T1314</f>
        <v>103559.29299577362</v>
      </c>
      <c r="I1314" s="60">
        <f ca="1">(L1314+M1314+N1314)</f>
        <v>195417.47885047406</v>
      </c>
      <c r="L1314" s="60">
        <f ca="1">INDEX(INDIRECT($C1314),1,L$12+1)*$T1314</f>
        <v>10.766607428359285</v>
      </c>
      <c r="M1314" s="60"/>
      <c r="N1314" s="60">
        <f ca="1">SUM(O1314:Q1314)</f>
        <v>195406.71224304571</v>
      </c>
      <c r="O1314" s="60">
        <f t="shared" ca="1" si="404"/>
        <v>63789.849349306205</v>
      </c>
      <c r="P1314" s="60">
        <f t="shared" ca="1" si="404"/>
        <v>131616.86289373951</v>
      </c>
      <c r="Q1314" s="60">
        <f t="shared" ca="1" si="404"/>
        <v>0</v>
      </c>
      <c r="T1314" s="325">
        <v>2257567.96</v>
      </c>
      <c r="U1314" s="92">
        <v>513</v>
      </c>
      <c r="W1314" s="92">
        <f>SUMIF('O&amp;M'!$B$3:$B$87,TOTALCO!U1314,'O&amp;M'!$G$3:$G$87)+SUMIF('O&amp;M'!$B$3:$B$87,TOTALCO!V1314,'O&amp;M'!$G$3:$G$87)</f>
        <v>2257567.96</v>
      </c>
      <c r="X1314" s="85">
        <f t="shared" ca="1" si="405"/>
        <v>0</v>
      </c>
      <c r="Y1314" s="50" t="s">
        <v>454</v>
      </c>
    </row>
    <row r="1315" spans="1:25" x14ac:dyDescent="0.2">
      <c r="A1315" s="60">
        <v>5</v>
      </c>
      <c r="B1315" s="70" t="s">
        <v>498</v>
      </c>
      <c r="C1315" s="51" t="s">
        <v>683</v>
      </c>
      <c r="D1315" s="66">
        <f ca="1">SUM(F1315:I1315)+K1315</f>
        <v>0</v>
      </c>
      <c r="F1315" s="60">
        <f ca="1">INDEX(INDIRECT($C1315),1,F$12+1)*$T1315</f>
        <v>0</v>
      </c>
      <c r="H1315" s="60">
        <f ca="1">INDEX(INDIRECT($C1315),1,H$12+1)*$T1315</f>
        <v>0</v>
      </c>
      <c r="I1315" s="60">
        <f ca="1">(L1315+M1315+N1315)</f>
        <v>0</v>
      </c>
      <c r="L1315" s="60">
        <f ca="1">INDEX(INDIRECT($C1315),1,L$12+1)*$T1315</f>
        <v>0</v>
      </c>
      <c r="M1315" s="60"/>
      <c r="N1315" s="60">
        <f ca="1">SUM(O1315:Q1315)</f>
        <v>0</v>
      </c>
      <c r="O1315" s="60">
        <f t="shared" ca="1" si="404"/>
        <v>0</v>
      </c>
      <c r="P1315" s="60">
        <f t="shared" ca="1" si="404"/>
        <v>0</v>
      </c>
      <c r="Q1315" s="60">
        <f t="shared" ca="1" si="404"/>
        <v>0</v>
      </c>
      <c r="T1315" s="325">
        <v>0</v>
      </c>
      <c r="U1315" s="92">
        <v>547</v>
      </c>
      <c r="W1315" s="92">
        <f>SUMIF('O&amp;M'!$B$3:$B$87,TOTALCO!U1315,'O&amp;M'!$G$3:$G$87)+SUMIF('O&amp;M'!$B$3:$B$87,TOTALCO!V1315,'O&amp;M'!$G$3:$G$87)</f>
        <v>0</v>
      </c>
      <c r="X1315" s="85">
        <f t="shared" ca="1" si="405"/>
        <v>0</v>
      </c>
      <c r="Y1315" s="50" t="s">
        <v>454</v>
      </c>
    </row>
    <row r="1316" spans="1:25" x14ac:dyDescent="0.2">
      <c r="A1316" s="60"/>
      <c r="B1316" s="70"/>
      <c r="C1316" s="51"/>
      <c r="D1316" s="66"/>
      <c r="F1316" s="60"/>
      <c r="H1316" s="60"/>
      <c r="I1316" s="60"/>
      <c r="L1316" s="60"/>
      <c r="M1316" s="60"/>
      <c r="N1316" s="60"/>
      <c r="O1316" s="60"/>
      <c r="P1316" s="60"/>
      <c r="Q1316" s="60"/>
      <c r="T1316" s="58"/>
      <c r="U1316" s="92"/>
      <c r="W1316" s="50"/>
      <c r="X1316" s="85"/>
      <c r="Y1316" s="50"/>
    </row>
    <row r="1317" spans="1:25" x14ac:dyDescent="0.2">
      <c r="A1317" s="60">
        <v>6</v>
      </c>
      <c r="B1317" s="70" t="s">
        <v>499</v>
      </c>
      <c r="C1317" s="51"/>
      <c r="D1317" s="66">
        <f ca="1">SUM(F1317:I1317)+K1317</f>
        <v>21347703.709999997</v>
      </c>
      <c r="F1317" s="60">
        <f ca="1">SUM(F1311:F1315)</f>
        <v>18520560.671725322</v>
      </c>
      <c r="H1317" s="60">
        <f ca="1">SUM(H1311:H1315)</f>
        <v>979263.14620927454</v>
      </c>
      <c r="I1317" s="60">
        <f ca="1">SUM(I1311:I1315)</f>
        <v>1847879.8920654031</v>
      </c>
      <c r="L1317" s="60">
        <f t="shared" ref="L1317:Q1317" ca="1" si="406">SUM(L1311:L1315)</f>
        <v>101.80971267084205</v>
      </c>
      <c r="M1317" s="60"/>
      <c r="N1317" s="60">
        <f t="shared" ca="1" si="406"/>
        <v>1847778.0823527321</v>
      </c>
      <c r="O1317" s="60">
        <f t="shared" ca="1" si="406"/>
        <v>603200.80181086785</v>
      </c>
      <c r="P1317" s="60">
        <f t="shared" ca="1" si="406"/>
        <v>1244577.2805418642</v>
      </c>
      <c r="Q1317" s="60">
        <f t="shared" ca="1" si="406"/>
        <v>0</v>
      </c>
      <c r="T1317" s="58"/>
      <c r="U1317" s="92"/>
      <c r="W1317" s="50"/>
      <c r="X1317" s="85"/>
      <c r="Y1317" s="50"/>
    </row>
    <row r="1318" spans="1:25" x14ac:dyDescent="0.2">
      <c r="A1318" s="60"/>
      <c r="B1318" s="70"/>
      <c r="C1318" s="51"/>
      <c r="D1318" s="66"/>
      <c r="F1318" s="60"/>
      <c r="H1318" s="60"/>
      <c r="I1318" s="60"/>
      <c r="L1318" s="60"/>
      <c r="M1318" s="60"/>
      <c r="N1318" s="60"/>
      <c r="O1318" s="60"/>
      <c r="P1318" s="60"/>
      <c r="Q1318" s="60"/>
      <c r="T1318" s="58"/>
      <c r="U1318" s="92"/>
      <c r="W1318" s="50"/>
      <c r="X1318" s="85"/>
      <c r="Y1318" s="50"/>
    </row>
    <row r="1319" spans="1:25" x14ac:dyDescent="0.2">
      <c r="A1319" s="60"/>
      <c r="B1319" s="48" t="s">
        <v>438</v>
      </c>
      <c r="C1319" s="51"/>
      <c r="D1319" s="66"/>
      <c r="F1319" s="60"/>
      <c r="H1319" s="60"/>
      <c r="I1319" s="60"/>
      <c r="L1319" s="60"/>
      <c r="M1319" s="60"/>
      <c r="N1319" s="60"/>
      <c r="O1319" s="60"/>
      <c r="P1319" s="60"/>
      <c r="Q1319" s="60"/>
      <c r="T1319" s="58"/>
      <c r="U1319" s="92"/>
      <c r="W1319" s="50"/>
      <c r="X1319" s="85"/>
      <c r="Y1319" s="50"/>
    </row>
    <row r="1320" spans="1:25" x14ac:dyDescent="0.2">
      <c r="A1320" s="60">
        <v>7</v>
      </c>
      <c r="B1320" s="70" t="s">
        <v>500</v>
      </c>
      <c r="C1320" s="51" t="s">
        <v>1046</v>
      </c>
      <c r="D1320" s="66">
        <f t="shared" ref="D1320:D1344" ca="1" si="407">SUM(F1320:I1320)+K1320</f>
        <v>4888803.6400000006</v>
      </c>
      <c r="F1320" s="60">
        <f t="shared" ref="F1320:F1344" ca="1" si="408">INDEX(INDIRECT($C1320),1,F$12+1)*$T1320</f>
        <v>4189374.1917603221</v>
      </c>
      <c r="H1320" s="60">
        <f t="shared" ref="H1320:H1344" ca="1" si="409">INDEX(INDIRECT($C1320),1,H$12+1)*$T1320</f>
        <v>253574.95393345301</v>
      </c>
      <c r="I1320" s="60">
        <f t="shared" ref="I1320:I1344" ca="1" si="410">(L1320+M1320+N1320)</f>
        <v>445854.49430622562</v>
      </c>
      <c r="L1320" s="60">
        <f t="shared" ref="L1320:L1344" ca="1" si="411">INDEX(INDIRECT($C1320),1,L$12+1)*$T1320</f>
        <v>37.041480014061264</v>
      </c>
      <c r="M1320" s="60"/>
      <c r="N1320" s="60">
        <f t="shared" ref="N1320:N1348" ca="1" si="412">SUM(O1320:Q1320)</f>
        <v>445817.45282621158</v>
      </c>
      <c r="O1320" s="60">
        <f t="shared" ref="O1320:Q1344" ca="1" si="413">INDEX(INDIRECT($C1320),1,O$12+1)*$T1320</f>
        <v>139106.35668320916</v>
      </c>
      <c r="P1320" s="60">
        <f t="shared" ca="1" si="413"/>
        <v>306711.09614300245</v>
      </c>
      <c r="Q1320" s="60">
        <f t="shared" ca="1" si="413"/>
        <v>0</v>
      </c>
      <c r="T1320" s="325">
        <v>4888803.6400000006</v>
      </c>
      <c r="U1320" s="92">
        <v>500</v>
      </c>
      <c r="W1320" s="92">
        <f>SUMIF('O&amp;M'!$B$3:$B$87,TOTALCO!U1320,'O&amp;M'!$G$3:$G$87)+SUMIF('O&amp;M'!$B$3:$B$87,TOTALCO!V1320,'O&amp;M'!$G$3:$G$87)</f>
        <v>4888803.6400000006</v>
      </c>
      <c r="X1320" s="85">
        <f t="shared" ref="X1320:X1344" ca="1" si="414">D1320-T1320</f>
        <v>0</v>
      </c>
      <c r="Y1320" s="50" t="s">
        <v>454</v>
      </c>
    </row>
    <row r="1321" spans="1:25" x14ac:dyDescent="0.2">
      <c r="A1321" s="60">
        <v>8</v>
      </c>
      <c r="B1321" s="70" t="s">
        <v>501</v>
      </c>
      <c r="C1321" s="51" t="s">
        <v>1046</v>
      </c>
      <c r="D1321" s="66">
        <f t="shared" ca="1" si="407"/>
        <v>9216022.9000000004</v>
      </c>
      <c r="F1321" s="60">
        <f t="shared" ca="1" si="408"/>
        <v>7897508.5380872684</v>
      </c>
      <c r="H1321" s="60">
        <f t="shared" ca="1" si="409"/>
        <v>478021.36359012115</v>
      </c>
      <c r="I1321" s="60">
        <f t="shared" ca="1" si="410"/>
        <v>840492.99832261109</v>
      </c>
      <c r="L1321" s="60">
        <f t="shared" ca="1" si="411"/>
        <v>69.827948348418616</v>
      </c>
      <c r="M1321" s="60"/>
      <c r="N1321" s="60">
        <f t="shared" ca="1" si="412"/>
        <v>840423.17037426273</v>
      </c>
      <c r="O1321" s="60">
        <f t="shared" ca="1" si="413"/>
        <v>262233.35260158323</v>
      </c>
      <c r="P1321" s="60">
        <f t="shared" ca="1" si="413"/>
        <v>578189.8177726795</v>
      </c>
      <c r="Q1321" s="60">
        <f t="shared" ca="1" si="413"/>
        <v>0</v>
      </c>
      <c r="T1321" s="325">
        <v>9216022.9000000004</v>
      </c>
      <c r="U1321" s="92">
        <v>502</v>
      </c>
      <c r="W1321" s="92">
        <f>SUMIF('O&amp;M'!$B$3:$B$87,TOTALCO!U1321,'O&amp;M'!$G$3:$G$87)+SUMIF('O&amp;M'!$B$3:$B$87,TOTALCO!V1321,'O&amp;M'!$G$3:$G$87)</f>
        <v>9216022.9000000004</v>
      </c>
      <c r="X1321" s="85">
        <f t="shared" ca="1" si="414"/>
        <v>0</v>
      </c>
      <c r="Y1321" s="50" t="s">
        <v>454</v>
      </c>
    </row>
    <row r="1322" spans="1:25" x14ac:dyDescent="0.2">
      <c r="A1322" s="60">
        <v>9</v>
      </c>
      <c r="B1322" s="70" t="s">
        <v>502</v>
      </c>
      <c r="C1322" s="51" t="s">
        <v>1046</v>
      </c>
      <c r="D1322" s="66">
        <f t="shared" ca="1" si="407"/>
        <v>6422402.6799999997</v>
      </c>
      <c r="F1322" s="60">
        <f t="shared" ca="1" si="408"/>
        <v>5503564.8837563703</v>
      </c>
      <c r="H1322" s="60">
        <f t="shared" ca="1" si="409"/>
        <v>333120.44901911519</v>
      </c>
      <c r="I1322" s="60">
        <f t="shared" ca="1" si="410"/>
        <v>585717.347224514</v>
      </c>
      <c r="L1322" s="60">
        <f t="shared" ca="1" si="411"/>
        <v>48.66125089725908</v>
      </c>
      <c r="M1322" s="60"/>
      <c r="N1322" s="60">
        <f t="shared" ca="1" si="412"/>
        <v>585668.68597361678</v>
      </c>
      <c r="O1322" s="60">
        <f t="shared" ca="1" si="413"/>
        <v>182743.48976864986</v>
      </c>
      <c r="P1322" s="60">
        <f t="shared" ca="1" si="413"/>
        <v>402925.19620496687</v>
      </c>
      <c r="Q1322" s="60">
        <f t="shared" ca="1" si="413"/>
        <v>0</v>
      </c>
      <c r="T1322" s="325">
        <v>6422402.6799999997</v>
      </c>
      <c r="U1322" s="92">
        <v>505</v>
      </c>
      <c r="W1322" s="92">
        <f>SUMIF('O&amp;M'!$B$3:$B$87,TOTALCO!U1322,'O&amp;M'!$G$3:$G$87)+SUMIF('O&amp;M'!$B$3:$B$87,TOTALCO!V1322,'O&amp;M'!$G$3:$G$87)</f>
        <v>6422402.6799999997</v>
      </c>
      <c r="X1322" s="85">
        <f t="shared" ca="1" si="414"/>
        <v>0</v>
      </c>
      <c r="Y1322" s="50" t="s">
        <v>454</v>
      </c>
    </row>
    <row r="1323" spans="1:25" x14ac:dyDescent="0.2">
      <c r="A1323" s="60">
        <v>10</v>
      </c>
      <c r="B1323" s="70" t="s">
        <v>503</v>
      </c>
      <c r="C1323" s="51" t="s">
        <v>1046</v>
      </c>
      <c r="D1323" s="66">
        <f t="shared" ca="1" si="407"/>
        <v>1529894.1400000001</v>
      </c>
      <c r="F1323" s="60">
        <f t="shared" ca="1" si="408"/>
        <v>1311015.8431810839</v>
      </c>
      <c r="H1323" s="60">
        <f t="shared" ca="1" si="409"/>
        <v>79353.327447931544</v>
      </c>
      <c r="I1323" s="60">
        <f t="shared" ca="1" si="410"/>
        <v>139524.96937098459</v>
      </c>
      <c r="L1323" s="60">
        <f t="shared" ca="1" si="411"/>
        <v>11.591699602489955</v>
      </c>
      <c r="M1323" s="60"/>
      <c r="N1323" s="60">
        <f t="shared" ca="1" si="412"/>
        <v>139513.3776713821</v>
      </c>
      <c r="O1323" s="60">
        <f t="shared" ca="1" si="413"/>
        <v>43531.713604760676</v>
      </c>
      <c r="P1323" s="60">
        <f t="shared" ca="1" si="413"/>
        <v>95981.664066621423</v>
      </c>
      <c r="Q1323" s="60">
        <f t="shared" ca="1" si="413"/>
        <v>0</v>
      </c>
      <c r="T1323" s="325">
        <v>1529894.1400000001</v>
      </c>
      <c r="U1323" s="92">
        <v>506</v>
      </c>
      <c r="W1323" s="92">
        <f>SUMIF('O&amp;M'!$B$3:$B$87,TOTALCO!U1323,'O&amp;M'!$G$3:$G$87)+SUMIF('O&amp;M'!$B$3:$B$87,TOTALCO!V1323,'O&amp;M'!$G$3:$G$87)</f>
        <v>1529894.1400000001</v>
      </c>
      <c r="X1323" s="85">
        <f t="shared" ca="1" si="414"/>
        <v>0</v>
      </c>
      <c r="Y1323" s="50" t="s">
        <v>454</v>
      </c>
    </row>
    <row r="1324" spans="1:25" x14ac:dyDescent="0.2">
      <c r="A1324" s="60">
        <v>11</v>
      </c>
      <c r="B1324" s="70" t="s">
        <v>504</v>
      </c>
      <c r="C1324" s="51" t="s">
        <v>1046</v>
      </c>
      <c r="D1324" s="66">
        <f t="shared" ca="1" si="407"/>
        <v>0</v>
      </c>
      <c r="F1324" s="60">
        <f t="shared" ca="1" si="408"/>
        <v>0</v>
      </c>
      <c r="H1324" s="60">
        <f t="shared" ca="1" si="409"/>
        <v>0</v>
      </c>
      <c r="I1324" s="60">
        <f t="shared" ca="1" si="410"/>
        <v>0</v>
      </c>
      <c r="L1324" s="60">
        <f t="shared" ca="1" si="411"/>
        <v>0</v>
      </c>
      <c r="M1324" s="60"/>
      <c r="N1324" s="60">
        <f t="shared" ca="1" si="412"/>
        <v>0</v>
      </c>
      <c r="O1324" s="60">
        <f t="shared" ca="1" si="413"/>
        <v>0</v>
      </c>
      <c r="P1324" s="60">
        <f t="shared" ca="1" si="413"/>
        <v>0</v>
      </c>
      <c r="Q1324" s="60">
        <f t="shared" ca="1" si="413"/>
        <v>0</v>
      </c>
      <c r="T1324" s="325">
        <v>0</v>
      </c>
      <c r="U1324" s="92">
        <v>509</v>
      </c>
      <c r="W1324" s="92">
        <f>SUMIF('O&amp;M'!$B$3:$B$87,TOTALCO!U1324,'O&amp;M'!$G$3:$G$87)+SUMIF('O&amp;M'!$B$3:$B$87,TOTALCO!V1324,'O&amp;M'!$G$3:$G$87)</f>
        <v>0</v>
      </c>
      <c r="X1324" s="85">
        <f t="shared" ca="1" si="414"/>
        <v>0</v>
      </c>
      <c r="Y1324" s="50" t="s">
        <v>454</v>
      </c>
    </row>
    <row r="1325" spans="1:25" x14ac:dyDescent="0.2">
      <c r="A1325" s="60">
        <v>12</v>
      </c>
      <c r="B1325" s="70" t="s">
        <v>505</v>
      </c>
      <c r="C1325" s="51" t="s">
        <v>1046</v>
      </c>
      <c r="D1325" s="66">
        <f t="shared" ca="1" si="407"/>
        <v>1154804</v>
      </c>
      <c r="F1325" s="60">
        <f t="shared" ca="1" si="408"/>
        <v>989588.95271596266</v>
      </c>
      <c r="H1325" s="60">
        <f t="shared" ca="1" si="409"/>
        <v>59897.961273438916</v>
      </c>
      <c r="I1325" s="60">
        <f t="shared" ca="1" si="410"/>
        <v>105317.0860105984</v>
      </c>
      <c r="L1325" s="60">
        <f t="shared" ca="1" si="411"/>
        <v>8.7497171979192032</v>
      </c>
      <c r="M1325" s="60"/>
      <c r="N1325" s="60">
        <f t="shared" ca="1" si="412"/>
        <v>105308.33629340048</v>
      </c>
      <c r="O1325" s="60">
        <f t="shared" ca="1" si="413"/>
        <v>32858.872835235539</v>
      </c>
      <c r="P1325" s="60">
        <f t="shared" ca="1" si="413"/>
        <v>72449.463458164944</v>
      </c>
      <c r="Q1325" s="60">
        <f t="shared" ca="1" si="413"/>
        <v>0</v>
      </c>
      <c r="T1325" s="325">
        <v>1154804</v>
      </c>
      <c r="U1325" s="92">
        <v>511</v>
      </c>
      <c r="W1325" s="92">
        <f>SUMIF('O&amp;M'!$B$3:$B$87,TOTALCO!U1325,'O&amp;M'!$G$3:$G$87)+SUMIF('O&amp;M'!$B$3:$B$87,TOTALCO!V1325,'O&amp;M'!$G$3:$G$87)</f>
        <v>1154804</v>
      </c>
      <c r="X1325" s="85">
        <f t="shared" ca="1" si="414"/>
        <v>0</v>
      </c>
      <c r="Y1325" s="50" t="s">
        <v>454</v>
      </c>
    </row>
    <row r="1326" spans="1:25" x14ac:dyDescent="0.2">
      <c r="A1326" s="60">
        <v>13</v>
      </c>
      <c r="B1326" s="70" t="s">
        <v>506</v>
      </c>
      <c r="C1326" s="51" t="s">
        <v>1046</v>
      </c>
      <c r="D1326" s="66">
        <f t="shared" ca="1" si="407"/>
        <v>224143.89</v>
      </c>
      <c r="F1326" s="60">
        <f t="shared" ca="1" si="408"/>
        <v>192076.15955848954</v>
      </c>
      <c r="H1326" s="60">
        <f t="shared" ca="1" si="409"/>
        <v>11626.009299325213</v>
      </c>
      <c r="I1326" s="60">
        <f t="shared" ca="1" si="410"/>
        <v>20441.721142185263</v>
      </c>
      <c r="L1326" s="60">
        <f t="shared" ca="1" si="411"/>
        <v>1.6982930862219998</v>
      </c>
      <c r="M1326" s="60"/>
      <c r="N1326" s="60">
        <f t="shared" ca="1" si="412"/>
        <v>20440.022849099041</v>
      </c>
      <c r="O1326" s="60">
        <f t="shared" ca="1" si="413"/>
        <v>6377.8057387271119</v>
      </c>
      <c r="P1326" s="60">
        <f t="shared" ca="1" si="413"/>
        <v>14062.217110371928</v>
      </c>
      <c r="Q1326" s="60">
        <f t="shared" ca="1" si="413"/>
        <v>0</v>
      </c>
      <c r="T1326" s="325">
        <v>224143.89</v>
      </c>
      <c r="U1326" s="92">
        <v>514</v>
      </c>
      <c r="W1326" s="92">
        <f>SUMIF('O&amp;M'!$B$3:$B$87,TOTALCO!U1326,'O&amp;M'!$G$3:$G$87)+SUMIF('O&amp;M'!$B$3:$B$87,TOTALCO!V1326,'O&amp;M'!$G$3:$G$87)</f>
        <v>224143.89</v>
      </c>
      <c r="X1326" s="85">
        <f t="shared" ca="1" si="414"/>
        <v>0</v>
      </c>
      <c r="Y1326" s="50" t="s">
        <v>454</v>
      </c>
    </row>
    <row r="1327" spans="1:25" x14ac:dyDescent="0.2">
      <c r="A1327" s="60">
        <v>14</v>
      </c>
      <c r="B1327" s="70" t="s">
        <v>584</v>
      </c>
      <c r="C1327" s="51" t="s">
        <v>1046</v>
      </c>
      <c r="D1327" s="66">
        <f t="shared" ca="1" si="407"/>
        <v>7943.9700000000012</v>
      </c>
      <c r="F1327" s="60">
        <f t="shared" ca="1" si="408"/>
        <v>6807.4452051664412</v>
      </c>
      <c r="H1327" s="60">
        <f t="shared" ca="1" si="409"/>
        <v>412.04187673177495</v>
      </c>
      <c r="I1327" s="60">
        <f ca="1">(L1327+M1327+N1327)</f>
        <v>724.48291810178489</v>
      </c>
      <c r="L1327" s="60">
        <f t="shared" ca="1" si="411"/>
        <v>6.0189859862586396E-2</v>
      </c>
      <c r="M1327" s="60"/>
      <c r="N1327" s="60">
        <f ca="1">SUM(O1327:Q1327)</f>
        <v>724.4227282419223</v>
      </c>
      <c r="O1327" s="60">
        <f t="shared" ca="1" si="413"/>
        <v>226.03827146158667</v>
      </c>
      <c r="P1327" s="60">
        <f t="shared" ca="1" si="413"/>
        <v>498.3844567803356</v>
      </c>
      <c r="Q1327" s="60">
        <f t="shared" ca="1" si="413"/>
        <v>0</v>
      </c>
      <c r="T1327" s="325">
        <v>7943.9700000000012</v>
      </c>
      <c r="U1327" s="92">
        <v>535</v>
      </c>
      <c r="W1327" s="92">
        <f>SUMIF('O&amp;M'!$B$3:$B$87,TOTALCO!U1327,'O&amp;M'!$G$3:$G$87)+SUMIF('O&amp;M'!$B$3:$B$87,TOTALCO!V1327,'O&amp;M'!$G$3:$G$87)</f>
        <v>7943.9700000000012</v>
      </c>
      <c r="X1327" s="85">
        <f t="shared" ca="1" si="414"/>
        <v>0</v>
      </c>
      <c r="Y1327" s="50" t="s">
        <v>454</v>
      </c>
    </row>
    <row r="1328" spans="1:25" x14ac:dyDescent="0.2">
      <c r="A1328" s="60">
        <v>15</v>
      </c>
      <c r="B1328" s="70" t="s">
        <v>507</v>
      </c>
      <c r="C1328" s="51" t="s">
        <v>1046</v>
      </c>
      <c r="D1328" s="66">
        <f t="shared" ca="1" si="407"/>
        <v>0</v>
      </c>
      <c r="F1328" s="60">
        <f t="shared" ca="1" si="408"/>
        <v>0</v>
      </c>
      <c r="H1328" s="60">
        <f t="shared" ca="1" si="409"/>
        <v>0</v>
      </c>
      <c r="I1328" s="60">
        <f t="shared" ca="1" si="410"/>
        <v>0</v>
      </c>
      <c r="L1328" s="60">
        <f t="shared" ca="1" si="411"/>
        <v>0</v>
      </c>
      <c r="M1328" s="60"/>
      <c r="N1328" s="60">
        <f t="shared" ca="1" si="412"/>
        <v>0</v>
      </c>
      <c r="O1328" s="60">
        <f t="shared" ca="1" si="413"/>
        <v>0</v>
      </c>
      <c r="P1328" s="60">
        <f t="shared" ca="1" si="413"/>
        <v>0</v>
      </c>
      <c r="Q1328" s="60">
        <f t="shared" ca="1" si="413"/>
        <v>0</v>
      </c>
      <c r="T1328" s="325">
        <v>0</v>
      </c>
      <c r="U1328" s="92">
        <v>538</v>
      </c>
      <c r="W1328" s="92">
        <f>SUMIF('O&amp;M'!$B$3:$B$87,TOTALCO!U1328,'O&amp;M'!$G$3:$G$87)+SUMIF('O&amp;M'!$B$3:$B$87,TOTALCO!V1328,'O&amp;M'!$G$3:$G$87)</f>
        <v>0</v>
      </c>
      <c r="X1328" s="85">
        <f t="shared" ca="1" si="414"/>
        <v>0</v>
      </c>
      <c r="Y1328" s="50" t="s">
        <v>454</v>
      </c>
    </row>
    <row r="1329" spans="1:25" x14ac:dyDescent="0.2">
      <c r="A1329" s="60">
        <v>16</v>
      </c>
      <c r="B1329" s="70" t="s">
        <v>508</v>
      </c>
      <c r="C1329" s="51" t="s">
        <v>1046</v>
      </c>
      <c r="D1329" s="66">
        <f t="shared" ca="1" si="407"/>
        <v>5361.8</v>
      </c>
      <c r="F1329" s="60">
        <f t="shared" ca="1" si="408"/>
        <v>4594.7000934119114</v>
      </c>
      <c r="H1329" s="60">
        <f t="shared" ca="1" si="409"/>
        <v>278.10856972778481</v>
      </c>
      <c r="I1329" s="60">
        <f t="shared" ca="1" si="410"/>
        <v>488.99133686030405</v>
      </c>
      <c r="L1329" s="60">
        <f t="shared" ca="1" si="411"/>
        <v>4.0625278118021052E-2</v>
      </c>
      <c r="M1329" s="60"/>
      <c r="N1329" s="60">
        <f t="shared" ca="1" si="412"/>
        <v>488.95071158218605</v>
      </c>
      <c r="O1329" s="60">
        <f t="shared" ca="1" si="413"/>
        <v>152.56502780382294</v>
      </c>
      <c r="P1329" s="60">
        <f t="shared" ca="1" si="413"/>
        <v>336.3856837783631</v>
      </c>
      <c r="Q1329" s="60">
        <f t="shared" ca="1" si="413"/>
        <v>0</v>
      </c>
      <c r="T1329" s="325">
        <v>5361.8</v>
      </c>
      <c r="U1329" s="92">
        <v>539</v>
      </c>
      <c r="W1329" s="92">
        <f>SUMIF('O&amp;M'!$B$3:$B$87,TOTALCO!U1329,'O&amp;M'!$G$3:$G$87)+SUMIF('O&amp;M'!$B$3:$B$87,TOTALCO!V1329,'O&amp;M'!$G$3:$G$87)</f>
        <v>5361.8</v>
      </c>
      <c r="X1329" s="85">
        <f t="shared" ca="1" si="414"/>
        <v>0</v>
      </c>
      <c r="Y1329" s="50" t="s">
        <v>454</v>
      </c>
    </row>
    <row r="1330" spans="1:25" x14ac:dyDescent="0.2">
      <c r="A1330" s="60">
        <v>17</v>
      </c>
      <c r="B1330" s="70" t="s">
        <v>509</v>
      </c>
      <c r="C1330" s="51" t="s">
        <v>1046</v>
      </c>
      <c r="D1330" s="66">
        <f t="shared" ca="1" si="407"/>
        <v>108731.89</v>
      </c>
      <c r="F1330" s="60">
        <f t="shared" ca="1" si="408"/>
        <v>93175.878462429348</v>
      </c>
      <c r="H1330" s="60">
        <f t="shared" ca="1" si="409"/>
        <v>5639.7609779735967</v>
      </c>
      <c r="I1330" s="60">
        <f t="shared" ca="1" si="410"/>
        <v>9916.2505595970615</v>
      </c>
      <c r="L1330" s="60">
        <f t="shared" ca="1" si="411"/>
        <v>0.82383961944646811</v>
      </c>
      <c r="M1330" s="60"/>
      <c r="N1330" s="60">
        <f t="shared" ca="1" si="412"/>
        <v>9915.426719977615</v>
      </c>
      <c r="O1330" s="60">
        <f t="shared" ca="1" si="413"/>
        <v>3093.8647135313176</v>
      </c>
      <c r="P1330" s="60">
        <f t="shared" ca="1" si="413"/>
        <v>6821.5620064462983</v>
      </c>
      <c r="Q1330" s="60">
        <f t="shared" ca="1" si="413"/>
        <v>0</v>
      </c>
      <c r="T1330" s="325">
        <v>108731.89000000001</v>
      </c>
      <c r="U1330" s="92">
        <v>541</v>
      </c>
      <c r="W1330" s="92">
        <f>SUMIF('O&amp;M'!$B$3:$B$87,TOTALCO!U1330,'O&amp;M'!$G$3:$G$87)+SUMIF('O&amp;M'!$B$3:$B$87,TOTALCO!V1330,'O&amp;M'!$G$3:$G$87)</f>
        <v>108731.89000000001</v>
      </c>
      <c r="X1330" s="85">
        <f t="shared" ca="1" si="414"/>
        <v>0</v>
      </c>
      <c r="Y1330" s="50" t="s">
        <v>454</v>
      </c>
    </row>
    <row r="1331" spans="1:25" x14ac:dyDescent="0.2">
      <c r="A1331" s="60">
        <v>18</v>
      </c>
      <c r="B1331" s="70" t="s">
        <v>510</v>
      </c>
      <c r="C1331" s="51" t="s">
        <v>1046</v>
      </c>
      <c r="D1331" s="66">
        <f t="shared" ca="1" si="407"/>
        <v>22545.720000000005</v>
      </c>
      <c r="F1331" s="60">
        <f t="shared" ca="1" si="408"/>
        <v>19320.157743675409</v>
      </c>
      <c r="H1331" s="60">
        <f t="shared" ca="1" si="409"/>
        <v>1169.4128730432155</v>
      </c>
      <c r="I1331" s="60">
        <f t="shared" ca="1" si="410"/>
        <v>2056.1493832813785</v>
      </c>
      <c r="L1331" s="60">
        <f t="shared" ca="1" si="411"/>
        <v>0.17082437714406162</v>
      </c>
      <c r="M1331" s="60"/>
      <c r="N1331" s="60">
        <f t="shared" ca="1" si="412"/>
        <v>2055.9785589042344</v>
      </c>
      <c r="O1331" s="60">
        <f t="shared" ca="1" si="413"/>
        <v>641.51747522421704</v>
      </c>
      <c r="P1331" s="60">
        <f t="shared" ca="1" si="413"/>
        <v>1414.4610836800173</v>
      </c>
      <c r="Q1331" s="60">
        <f t="shared" ca="1" si="413"/>
        <v>0</v>
      </c>
      <c r="T1331" s="325">
        <v>22545.72</v>
      </c>
      <c r="U1331" s="92">
        <v>542</v>
      </c>
      <c r="W1331" s="92">
        <f>SUMIF('O&amp;M'!$B$3:$B$87,TOTALCO!U1331,'O&amp;M'!$G$3:$G$87)+SUMIF('O&amp;M'!$B$3:$B$87,TOTALCO!V1331,'O&amp;M'!$G$3:$G$87)</f>
        <v>22545.72</v>
      </c>
      <c r="X1331" s="85">
        <f t="shared" ca="1" si="414"/>
        <v>0</v>
      </c>
      <c r="Y1331" s="50" t="s">
        <v>454</v>
      </c>
    </row>
    <row r="1332" spans="1:25" x14ac:dyDescent="0.2">
      <c r="A1332" s="60">
        <v>19</v>
      </c>
      <c r="B1332" s="70" t="s">
        <v>511</v>
      </c>
      <c r="C1332" s="51" t="s">
        <v>1046</v>
      </c>
      <c r="D1332" s="66">
        <f t="shared" ca="1" si="407"/>
        <v>53549.56</v>
      </c>
      <c r="F1332" s="60">
        <f t="shared" ca="1" si="408"/>
        <v>45888.352481287387</v>
      </c>
      <c r="H1332" s="60">
        <f t="shared" ca="1" si="409"/>
        <v>2777.5358165452262</v>
      </c>
      <c r="I1332" s="60">
        <f t="shared" ca="1" si="410"/>
        <v>4883.6717021673803</v>
      </c>
      <c r="L1332" s="60">
        <f t="shared" ca="1" si="411"/>
        <v>0.40573422509188245</v>
      </c>
      <c r="M1332" s="60"/>
      <c r="N1332" s="60">
        <f t="shared" ca="1" si="412"/>
        <v>4883.2659679422886</v>
      </c>
      <c r="O1332" s="60">
        <f t="shared" ca="1" si="413"/>
        <v>1523.7028815477047</v>
      </c>
      <c r="P1332" s="60">
        <f t="shared" ca="1" si="413"/>
        <v>3359.5630863945839</v>
      </c>
      <c r="Q1332" s="60">
        <f t="shared" ca="1" si="413"/>
        <v>0</v>
      </c>
      <c r="T1332" s="325">
        <v>53549.56</v>
      </c>
      <c r="U1332" s="92">
        <v>544</v>
      </c>
      <c r="W1332" s="92">
        <f>SUMIF('O&amp;M'!$B$3:$B$87,TOTALCO!U1332,'O&amp;M'!$G$3:$G$87)+SUMIF('O&amp;M'!$B$3:$B$87,TOTALCO!V1332,'O&amp;M'!$G$3:$G$87)</f>
        <v>53549.56</v>
      </c>
      <c r="X1332" s="85">
        <f t="shared" ca="1" si="414"/>
        <v>0</v>
      </c>
      <c r="Y1332" s="50" t="s">
        <v>454</v>
      </c>
    </row>
    <row r="1333" spans="1:25" x14ac:dyDescent="0.2">
      <c r="A1333" s="60">
        <v>20</v>
      </c>
      <c r="B1333" s="70" t="s">
        <v>512</v>
      </c>
      <c r="C1333" s="51" t="s">
        <v>1046</v>
      </c>
      <c r="D1333" s="66">
        <f t="shared" ca="1" si="407"/>
        <v>3544.4399999999996</v>
      </c>
      <c r="F1333" s="60">
        <f t="shared" ca="1" si="408"/>
        <v>3037.345443525106</v>
      </c>
      <c r="H1333" s="60">
        <f t="shared" ca="1" si="409"/>
        <v>183.84481683127859</v>
      </c>
      <c r="I1333" s="60">
        <f t="shared" ca="1" si="410"/>
        <v>323.24973964361521</v>
      </c>
      <c r="L1333" s="60">
        <f t="shared" ca="1" si="411"/>
        <v>2.6855507622932324E-2</v>
      </c>
      <c r="M1333" s="60"/>
      <c r="N1333" s="60">
        <f t="shared" ca="1" si="412"/>
        <v>323.22288413599227</v>
      </c>
      <c r="O1333" s="60">
        <f t="shared" ca="1" si="413"/>
        <v>100.85374074918538</v>
      </c>
      <c r="P1333" s="60">
        <f t="shared" ca="1" si="413"/>
        <v>222.36914338680691</v>
      </c>
      <c r="Q1333" s="60">
        <f t="shared" ca="1" si="413"/>
        <v>0</v>
      </c>
      <c r="T1333" s="325">
        <v>3544.44</v>
      </c>
      <c r="U1333" s="92">
        <v>545</v>
      </c>
      <c r="W1333" s="92">
        <f>SUMIF('O&amp;M'!$B$3:$B$87,TOTALCO!U1333,'O&amp;M'!$G$3:$G$87)+SUMIF('O&amp;M'!$B$3:$B$87,TOTALCO!V1333,'O&amp;M'!$G$3:$G$87)</f>
        <v>3544.44</v>
      </c>
      <c r="X1333" s="85">
        <f t="shared" ca="1" si="414"/>
        <v>0</v>
      </c>
      <c r="Y1333" s="50" t="s">
        <v>454</v>
      </c>
    </row>
    <row r="1334" spans="1:25" x14ac:dyDescent="0.2">
      <c r="A1334" s="60">
        <v>21</v>
      </c>
      <c r="B1334" s="70" t="s">
        <v>513</v>
      </c>
      <c r="C1334" s="51" t="s">
        <v>1046</v>
      </c>
      <c r="D1334" s="66">
        <f t="shared" ca="1" si="407"/>
        <v>202548.6</v>
      </c>
      <c r="F1334" s="60">
        <f t="shared" ca="1" si="408"/>
        <v>173570.45606707671</v>
      </c>
      <c r="H1334" s="60">
        <f t="shared" ca="1" si="409"/>
        <v>10505.893812966764</v>
      </c>
      <c r="I1334" s="60">
        <f t="shared" ca="1" si="410"/>
        <v>18472.250119956541</v>
      </c>
      <c r="L1334" s="60">
        <f t="shared" ca="1" si="411"/>
        <v>1.53466992566224</v>
      </c>
      <c r="M1334" s="60"/>
      <c r="N1334" s="60">
        <f t="shared" ca="1" si="412"/>
        <v>18470.715450030879</v>
      </c>
      <c r="O1334" s="60">
        <f t="shared" ca="1" si="413"/>
        <v>5763.3318644159444</v>
      </c>
      <c r="P1334" s="60">
        <f t="shared" ca="1" si="413"/>
        <v>12707.383585614934</v>
      </c>
      <c r="Q1334" s="60">
        <f t="shared" ca="1" si="413"/>
        <v>0</v>
      </c>
      <c r="T1334" s="325">
        <v>202548.6</v>
      </c>
      <c r="U1334" s="92">
        <v>546</v>
      </c>
      <c r="W1334" s="92">
        <f>SUMIF('O&amp;M'!$B$3:$B$87,TOTALCO!U1334,'O&amp;M'!$G$3:$G$87)+SUMIF('O&amp;M'!$B$3:$B$87,TOTALCO!V1334,'O&amp;M'!$G$3:$G$87)</f>
        <v>202548.6</v>
      </c>
      <c r="X1334" s="85">
        <f t="shared" ca="1" si="414"/>
        <v>0</v>
      </c>
      <c r="Y1334" s="50" t="s">
        <v>454</v>
      </c>
    </row>
    <row r="1335" spans="1:25" x14ac:dyDescent="0.2">
      <c r="A1335" s="60">
        <v>22</v>
      </c>
      <c r="B1335" s="70" t="s">
        <v>515</v>
      </c>
      <c r="C1335" s="51" t="s">
        <v>1046</v>
      </c>
      <c r="D1335" s="66">
        <f t="shared" ca="1" si="407"/>
        <v>241293.46</v>
      </c>
      <c r="F1335" s="60">
        <f t="shared" ca="1" si="408"/>
        <v>206772.18158112635</v>
      </c>
      <c r="H1335" s="60">
        <f t="shared" ca="1" si="409"/>
        <v>12515.531919368208</v>
      </c>
      <c r="I1335" s="60">
        <f t="shared" ca="1" si="410"/>
        <v>22005.746499505447</v>
      </c>
      <c r="L1335" s="60">
        <f t="shared" ca="1" si="411"/>
        <v>1.8282319222200731</v>
      </c>
      <c r="M1335" s="60"/>
      <c r="N1335" s="60">
        <f t="shared" ca="1" si="412"/>
        <v>22003.918267583227</v>
      </c>
      <c r="O1335" s="60">
        <f t="shared" ca="1" si="413"/>
        <v>6865.7807888732586</v>
      </c>
      <c r="P1335" s="60">
        <f t="shared" ca="1" si="413"/>
        <v>15138.137478709968</v>
      </c>
      <c r="Q1335" s="60">
        <f t="shared" ca="1" si="413"/>
        <v>0</v>
      </c>
      <c r="T1335" s="325">
        <v>241293.46000000002</v>
      </c>
      <c r="U1335" s="92">
        <v>548</v>
      </c>
      <c r="W1335" s="92">
        <f>SUMIF('O&amp;M'!$B$3:$B$87,TOTALCO!U1335,'O&amp;M'!$G$3:$G$87)+SUMIF('O&amp;M'!$B$3:$B$87,TOTALCO!V1335,'O&amp;M'!$G$3:$G$87)</f>
        <v>241293.46000000002</v>
      </c>
      <c r="X1335" s="85">
        <f t="shared" ca="1" si="414"/>
        <v>0</v>
      </c>
      <c r="Y1335" s="50" t="s">
        <v>454</v>
      </c>
    </row>
    <row r="1336" spans="1:25" x14ac:dyDescent="0.2">
      <c r="A1336" s="60">
        <v>23</v>
      </c>
      <c r="B1336" s="70" t="s">
        <v>516</v>
      </c>
      <c r="C1336" s="51" t="s">
        <v>1046</v>
      </c>
      <c r="D1336" s="66">
        <f t="shared" ca="1" si="407"/>
        <v>21445.7</v>
      </c>
      <c r="F1336" s="60">
        <f t="shared" ca="1" si="408"/>
        <v>18377.514975061327</v>
      </c>
      <c r="H1336" s="60">
        <f t="shared" ca="1" si="409"/>
        <v>1112.3564761481507</v>
      </c>
      <c r="I1336" s="60">
        <f t="shared" ca="1" si="410"/>
        <v>1955.8285487905223</v>
      </c>
      <c r="L1336" s="60">
        <f t="shared" ca="1" si="411"/>
        <v>0.16248974727435639</v>
      </c>
      <c r="M1336" s="60"/>
      <c r="N1336" s="60">
        <f t="shared" ca="1" si="412"/>
        <v>1955.666059043248</v>
      </c>
      <c r="O1336" s="60">
        <f t="shared" ca="1" si="413"/>
        <v>610.21743011161277</v>
      </c>
      <c r="P1336" s="60">
        <f t="shared" ca="1" si="413"/>
        <v>1345.4486289316351</v>
      </c>
      <c r="Q1336" s="60">
        <f t="shared" ca="1" si="413"/>
        <v>0</v>
      </c>
      <c r="T1336" s="325">
        <v>21445.7</v>
      </c>
      <c r="U1336" s="92">
        <v>549</v>
      </c>
      <c r="W1336" s="92">
        <f>SUMIF('O&amp;M'!$B$3:$B$87,TOTALCO!U1336,'O&amp;M'!$G$3:$G$87)+SUMIF('O&amp;M'!$B$3:$B$87,TOTALCO!V1336,'O&amp;M'!$G$3:$G$87)</f>
        <v>21445.7</v>
      </c>
      <c r="X1336" s="85">
        <f t="shared" ca="1" si="414"/>
        <v>0</v>
      </c>
      <c r="Y1336" s="50" t="s">
        <v>454</v>
      </c>
    </row>
    <row r="1337" spans="1:25" x14ac:dyDescent="0.2">
      <c r="A1337" s="60">
        <v>24</v>
      </c>
      <c r="B1337" s="70" t="s">
        <v>517</v>
      </c>
      <c r="C1337" s="51" t="s">
        <v>1046</v>
      </c>
      <c r="D1337" s="66">
        <f t="shared" ca="1" si="407"/>
        <v>0</v>
      </c>
      <c r="F1337" s="60">
        <f t="shared" ca="1" si="408"/>
        <v>0</v>
      </c>
      <c r="H1337" s="60">
        <f t="shared" ca="1" si="409"/>
        <v>0</v>
      </c>
      <c r="I1337" s="60">
        <f t="shared" ca="1" si="410"/>
        <v>0</v>
      </c>
      <c r="L1337" s="60">
        <f t="shared" ca="1" si="411"/>
        <v>0</v>
      </c>
      <c r="M1337" s="60"/>
      <c r="N1337" s="60">
        <f t="shared" ca="1" si="412"/>
        <v>0</v>
      </c>
      <c r="O1337" s="60">
        <f t="shared" ca="1" si="413"/>
        <v>0</v>
      </c>
      <c r="P1337" s="60">
        <f t="shared" ca="1" si="413"/>
        <v>0</v>
      </c>
      <c r="Q1337" s="60">
        <f t="shared" ca="1" si="413"/>
        <v>0</v>
      </c>
      <c r="T1337" s="325">
        <v>0</v>
      </c>
      <c r="U1337" s="92">
        <v>550</v>
      </c>
      <c r="W1337" s="92">
        <f>SUMIF('O&amp;M'!$B$3:$B$87,TOTALCO!U1337,'O&amp;M'!$G$3:$G$87)+SUMIF('O&amp;M'!$B$3:$B$87,TOTALCO!V1337,'O&amp;M'!$G$3:$G$87)</f>
        <v>0</v>
      </c>
      <c r="X1337" s="85">
        <f t="shared" ca="1" si="414"/>
        <v>0</v>
      </c>
      <c r="Y1337" s="50" t="s">
        <v>454</v>
      </c>
    </row>
    <row r="1338" spans="1:25" x14ac:dyDescent="0.2">
      <c r="A1338" s="60">
        <v>25</v>
      </c>
      <c r="B1338" s="70" t="s">
        <v>518</v>
      </c>
      <c r="C1338" s="51" t="s">
        <v>1046</v>
      </c>
      <c r="D1338" s="66">
        <f t="shared" ca="1" si="407"/>
        <v>41772.720000000001</v>
      </c>
      <c r="F1338" s="60">
        <f t="shared" ca="1" si="408"/>
        <v>35796.396823094787</v>
      </c>
      <c r="H1338" s="60">
        <f t="shared" ca="1" si="409"/>
        <v>2166.6886890296601</v>
      </c>
      <c r="I1338" s="60">
        <f t="shared" ca="1" si="410"/>
        <v>3809.6344878755567</v>
      </c>
      <c r="L1338" s="60">
        <f t="shared" ca="1" si="411"/>
        <v>0.31650348161927344</v>
      </c>
      <c r="M1338" s="60"/>
      <c r="N1338" s="60">
        <f t="shared" ca="1" si="412"/>
        <v>3809.3179843939374</v>
      </c>
      <c r="O1338" s="60">
        <f t="shared" ca="1" si="413"/>
        <v>1188.6038621808552</v>
      </c>
      <c r="P1338" s="60">
        <f t="shared" ca="1" si="413"/>
        <v>2620.7141222130822</v>
      </c>
      <c r="Q1338" s="60">
        <f t="shared" ca="1" si="413"/>
        <v>0</v>
      </c>
      <c r="T1338" s="325">
        <v>41772.720000000001</v>
      </c>
      <c r="U1338" s="92">
        <v>551</v>
      </c>
      <c r="W1338" s="92">
        <f>SUMIF('O&amp;M'!$B$3:$B$87,TOTALCO!U1338,'O&amp;M'!$G$3:$G$87)+SUMIF('O&amp;M'!$B$3:$B$87,TOTALCO!V1338,'O&amp;M'!$G$3:$G$87)</f>
        <v>41772.720000000001</v>
      </c>
      <c r="X1338" s="85">
        <f t="shared" ca="1" si="414"/>
        <v>0</v>
      </c>
      <c r="Y1338" s="50" t="s">
        <v>454</v>
      </c>
    </row>
    <row r="1339" spans="1:25" x14ac:dyDescent="0.2">
      <c r="A1339" s="60">
        <v>26</v>
      </c>
      <c r="B1339" s="70" t="s">
        <v>519</v>
      </c>
      <c r="C1339" s="51" t="s">
        <v>1046</v>
      </c>
      <c r="D1339" s="66">
        <f t="shared" ca="1" si="407"/>
        <v>130669.44</v>
      </c>
      <c r="F1339" s="60">
        <f t="shared" ca="1" si="408"/>
        <v>111974.87563394422</v>
      </c>
      <c r="H1339" s="60">
        <f t="shared" ca="1" si="409"/>
        <v>6777.6289801056719</v>
      </c>
      <c r="I1339" s="60">
        <f t="shared" ca="1" si="410"/>
        <v>11916.935385950108</v>
      </c>
      <c r="L1339" s="60">
        <f t="shared" ca="1" si="411"/>
        <v>0.99005601505577689</v>
      </c>
      <c r="M1339" s="60"/>
      <c r="N1339" s="60">
        <f t="shared" ca="1" si="412"/>
        <v>11915.945329935052</v>
      </c>
      <c r="O1339" s="60">
        <f t="shared" ca="1" si="413"/>
        <v>3718.0772775392538</v>
      </c>
      <c r="P1339" s="60">
        <f t="shared" ca="1" si="413"/>
        <v>8197.8680523957973</v>
      </c>
      <c r="Q1339" s="60">
        <f t="shared" ca="1" si="413"/>
        <v>0</v>
      </c>
      <c r="T1339" s="325">
        <v>130669.44</v>
      </c>
      <c r="U1339" s="92">
        <v>552</v>
      </c>
      <c r="W1339" s="92">
        <f>SUMIF('O&amp;M'!$B$3:$B$87,TOTALCO!U1339,'O&amp;M'!$G$3:$G$87)+SUMIF('O&amp;M'!$B$3:$B$87,TOTALCO!V1339,'O&amp;M'!$G$3:$G$87)</f>
        <v>130669.44</v>
      </c>
      <c r="X1339" s="85">
        <f t="shared" ca="1" si="414"/>
        <v>0</v>
      </c>
      <c r="Y1339" s="50" t="s">
        <v>454</v>
      </c>
    </row>
    <row r="1340" spans="1:25" x14ac:dyDescent="0.2">
      <c r="A1340" s="60">
        <v>27</v>
      </c>
      <c r="B1340" s="70" t="s">
        <v>520</v>
      </c>
      <c r="C1340" s="51" t="s">
        <v>1046</v>
      </c>
      <c r="D1340" s="66">
        <f t="shared" ca="1" si="407"/>
        <v>637280.62</v>
      </c>
      <c r="F1340" s="60">
        <f t="shared" ca="1" si="408"/>
        <v>546106.40535708168</v>
      </c>
      <c r="H1340" s="60">
        <f t="shared" ca="1" si="409"/>
        <v>33054.795356677969</v>
      </c>
      <c r="I1340" s="60">
        <f t="shared" ca="1" si="410"/>
        <v>58119.419286240329</v>
      </c>
      <c r="L1340" s="60">
        <f t="shared" ca="1" si="411"/>
        <v>4.828546836272313</v>
      </c>
      <c r="M1340" s="60"/>
      <c r="N1340" s="60">
        <f t="shared" ca="1" si="412"/>
        <v>58114.590739404055</v>
      </c>
      <c r="O1340" s="60">
        <f t="shared" ca="1" si="413"/>
        <v>18133.226809865624</v>
      </c>
      <c r="P1340" s="60">
        <f t="shared" ca="1" si="413"/>
        <v>39981.363929538435</v>
      </c>
      <c r="Q1340" s="60">
        <f t="shared" ca="1" si="413"/>
        <v>0</v>
      </c>
      <c r="T1340" s="325">
        <v>637280.62</v>
      </c>
      <c r="U1340" s="92">
        <v>553</v>
      </c>
      <c r="W1340" s="92">
        <f>SUMIF('O&amp;M'!$B$3:$B$87,TOTALCO!U1340,'O&amp;M'!$G$3:$G$87)+SUMIF('O&amp;M'!$B$3:$B$87,TOTALCO!V1340,'O&amp;M'!$G$3:$G$87)</f>
        <v>637280.62</v>
      </c>
      <c r="X1340" s="85">
        <f t="shared" ca="1" si="414"/>
        <v>0</v>
      </c>
      <c r="Y1340" s="50" t="s">
        <v>454</v>
      </c>
    </row>
    <row r="1341" spans="1:25" x14ac:dyDescent="0.2">
      <c r="A1341" s="60">
        <v>28</v>
      </c>
      <c r="B1341" s="70" t="s">
        <v>521</v>
      </c>
      <c r="C1341" s="51" t="s">
        <v>1046</v>
      </c>
      <c r="D1341" s="66">
        <f t="shared" ca="1" si="407"/>
        <v>87476.37</v>
      </c>
      <c r="F1341" s="60">
        <f t="shared" ca="1" si="408"/>
        <v>74961.334889465274</v>
      </c>
      <c r="H1341" s="60">
        <f t="shared" ca="1" si="409"/>
        <v>4537.2688548022124</v>
      </c>
      <c r="I1341" s="60">
        <f t="shared" ca="1" si="410"/>
        <v>7977.7662557325129</v>
      </c>
      <c r="L1341" s="60">
        <f t="shared" ca="1" si="411"/>
        <v>0.66279082770802955</v>
      </c>
      <c r="M1341" s="60"/>
      <c r="N1341" s="60">
        <f t="shared" ca="1" si="412"/>
        <v>7977.1034649048052</v>
      </c>
      <c r="O1341" s="60">
        <f t="shared" ca="1" si="413"/>
        <v>2489.0586782848113</v>
      </c>
      <c r="P1341" s="60">
        <f t="shared" ca="1" si="413"/>
        <v>5488.0447866199938</v>
      </c>
      <c r="Q1341" s="60">
        <f t="shared" ca="1" si="413"/>
        <v>0</v>
      </c>
      <c r="T1341" s="325">
        <v>87476.37</v>
      </c>
      <c r="U1341" s="92">
        <v>554</v>
      </c>
      <c r="W1341" s="92">
        <f>SUMIF('O&amp;M'!$B$3:$B$87,TOTALCO!U1341,'O&amp;M'!$G$3:$G$87)+SUMIF('O&amp;M'!$B$3:$B$87,TOTALCO!V1341,'O&amp;M'!$G$3:$G$87)</f>
        <v>87476.37</v>
      </c>
      <c r="X1341" s="85">
        <f t="shared" ca="1" si="414"/>
        <v>0</v>
      </c>
      <c r="Y1341" s="50" t="s">
        <v>454</v>
      </c>
    </row>
    <row r="1342" spans="1:25" x14ac:dyDescent="0.2">
      <c r="A1342" s="60">
        <v>29</v>
      </c>
      <c r="B1342" s="70" t="s">
        <v>522</v>
      </c>
      <c r="C1342" s="51" t="s">
        <v>1046</v>
      </c>
      <c r="D1342" s="66">
        <f t="shared" ca="1" si="407"/>
        <v>0</v>
      </c>
      <c r="F1342" s="60">
        <f t="shared" ca="1" si="408"/>
        <v>0</v>
      </c>
      <c r="H1342" s="60">
        <f t="shared" ca="1" si="409"/>
        <v>0</v>
      </c>
      <c r="I1342" s="60">
        <f t="shared" ca="1" si="410"/>
        <v>0</v>
      </c>
      <c r="L1342" s="60">
        <f t="shared" ca="1" si="411"/>
        <v>0</v>
      </c>
      <c r="M1342" s="60"/>
      <c r="N1342" s="60">
        <f t="shared" ca="1" si="412"/>
        <v>0</v>
      </c>
      <c r="O1342" s="60">
        <f t="shared" ca="1" si="413"/>
        <v>0</v>
      </c>
      <c r="P1342" s="60">
        <f t="shared" ca="1" si="413"/>
        <v>0</v>
      </c>
      <c r="Q1342" s="60">
        <f t="shared" ca="1" si="413"/>
        <v>0</v>
      </c>
      <c r="T1342" s="325">
        <v>0</v>
      </c>
      <c r="U1342" s="92">
        <v>555</v>
      </c>
      <c r="W1342" s="92">
        <f>SUMIF('O&amp;M'!$B$3:$B$87,TOTALCO!U1342,'O&amp;M'!$G$3:$G$87)+SUMIF('O&amp;M'!$B$3:$B$87,TOTALCO!V1342,'O&amp;M'!$G$3:$G$87)</f>
        <v>0</v>
      </c>
      <c r="X1342" s="85">
        <f t="shared" ca="1" si="414"/>
        <v>0</v>
      </c>
      <c r="Y1342" s="50" t="s">
        <v>454</v>
      </c>
    </row>
    <row r="1343" spans="1:25" x14ac:dyDescent="0.2">
      <c r="A1343" s="60">
        <v>30</v>
      </c>
      <c r="B1343" s="70" t="s">
        <v>523</v>
      </c>
      <c r="C1343" s="51" t="s">
        <v>1046</v>
      </c>
      <c r="D1343" s="66">
        <f t="shared" ca="1" si="407"/>
        <v>1721352.77</v>
      </c>
      <c r="F1343" s="60">
        <f t="shared" ca="1" si="408"/>
        <v>1475082.9447412905</v>
      </c>
      <c r="H1343" s="60">
        <f t="shared" ca="1" si="409"/>
        <v>89284.001055925342</v>
      </c>
      <c r="I1343" s="60">
        <f t="shared" ca="1" si="410"/>
        <v>156985.82420278405</v>
      </c>
      <c r="L1343" s="60">
        <f t="shared" ca="1" si="411"/>
        <v>13.042343060255124</v>
      </c>
      <c r="M1343" s="60"/>
      <c r="N1343" s="60">
        <f t="shared" ca="1" si="412"/>
        <v>156972.78185972379</v>
      </c>
      <c r="O1343" s="60">
        <f t="shared" ca="1" si="413"/>
        <v>48979.490696265733</v>
      </c>
      <c r="P1343" s="60">
        <f t="shared" ca="1" si="413"/>
        <v>107993.29116345805</v>
      </c>
      <c r="Q1343" s="60">
        <f t="shared" ca="1" si="413"/>
        <v>0</v>
      </c>
      <c r="T1343" s="325">
        <v>1721352.77</v>
      </c>
      <c r="U1343" s="92">
        <v>556</v>
      </c>
      <c r="W1343" s="92">
        <f>SUMIF('O&amp;M'!$B$3:$B$87,TOTALCO!U1343,'O&amp;M'!$G$3:$G$87)+SUMIF('O&amp;M'!$B$3:$B$87,TOTALCO!V1343,'O&amp;M'!$G$3:$G$87)</f>
        <v>1721352.77</v>
      </c>
      <c r="X1343" s="85">
        <f t="shared" ca="1" si="414"/>
        <v>0</v>
      </c>
      <c r="Y1343" s="50" t="s">
        <v>454</v>
      </c>
    </row>
    <row r="1344" spans="1:25" x14ac:dyDescent="0.2">
      <c r="A1344" s="60">
        <v>31</v>
      </c>
      <c r="B1344" s="70" t="s">
        <v>524</v>
      </c>
      <c r="C1344" s="51" t="s">
        <v>1046</v>
      </c>
      <c r="D1344" s="66">
        <f t="shared" ca="1" si="407"/>
        <v>5.000000000000001E-2</v>
      </c>
      <c r="F1344" s="60">
        <f t="shared" ca="1" si="408"/>
        <v>4.2846619543920994E-2</v>
      </c>
      <c r="H1344" s="60">
        <f t="shared" ca="1" si="409"/>
        <v>2.593425432949614E-3</v>
      </c>
      <c r="I1344" s="60">
        <f t="shared" ca="1" si="410"/>
        <v>4.5599550231293978E-3</v>
      </c>
      <c r="L1344" s="60">
        <f t="shared" ca="1" si="411"/>
        <v>3.7883992426070585E-7</v>
      </c>
      <c r="M1344" s="60"/>
      <c r="N1344" s="60">
        <f t="shared" ca="1" si="412"/>
        <v>4.5595761832051369E-3</v>
      </c>
      <c r="O1344" s="60">
        <f t="shared" ca="1" si="413"/>
        <v>1.4227034559646289E-3</v>
      </c>
      <c r="P1344" s="60">
        <f t="shared" ca="1" si="413"/>
        <v>3.136872727240508E-3</v>
      </c>
      <c r="Q1344" s="60">
        <f t="shared" ca="1" si="413"/>
        <v>0</v>
      </c>
      <c r="T1344" s="325">
        <v>0.05</v>
      </c>
      <c r="U1344" s="92">
        <v>557</v>
      </c>
      <c r="W1344" s="92">
        <f>SUMIF('O&amp;M'!$B$3:$B$87,TOTALCO!U1344,'O&amp;M'!$G$3:$G$87)+SUMIF('O&amp;M'!$B$3:$B$87,TOTALCO!V1344,'O&amp;M'!$G$3:$G$87)</f>
        <v>0.05</v>
      </c>
      <c r="X1344" s="85">
        <f t="shared" ca="1" si="414"/>
        <v>0</v>
      </c>
      <c r="Y1344" s="50" t="s">
        <v>454</v>
      </c>
    </row>
    <row r="1345" spans="1:25" x14ac:dyDescent="0.2">
      <c r="A1345" s="60"/>
      <c r="B1345" s="48"/>
      <c r="C1345" s="51"/>
      <c r="D1345" s="66"/>
      <c r="F1345" s="60"/>
      <c r="H1345" s="60"/>
      <c r="I1345" s="60"/>
      <c r="L1345" s="60"/>
      <c r="M1345" s="60"/>
      <c r="N1345" s="60"/>
      <c r="O1345" s="60"/>
      <c r="P1345" s="60"/>
      <c r="Q1345" s="60"/>
      <c r="T1345" s="58"/>
      <c r="U1345" s="92"/>
      <c r="W1345" s="50"/>
      <c r="X1345" s="85"/>
      <c r="Y1345" s="50"/>
    </row>
    <row r="1346" spans="1:25" x14ac:dyDescent="0.2">
      <c r="A1346" s="60">
        <v>32</v>
      </c>
      <c r="B1346" s="70" t="s">
        <v>525</v>
      </c>
      <c r="C1346" s="51"/>
      <c r="D1346" s="66">
        <f ca="1">SUM(F1346:I1346)+K1346</f>
        <v>26721588.359999996</v>
      </c>
      <c r="F1346" s="60">
        <f ca="1">SUM(F1320:F1344)</f>
        <v>22898594.601403747</v>
      </c>
      <c r="H1346" s="60">
        <f ca="1">SUM(H1320:H1344)</f>
        <v>1386008.9372326876</v>
      </c>
      <c r="I1346" s="60">
        <f t="shared" ref="I1346:Q1346" ca="1" si="415">SUM(I1320:I1344)</f>
        <v>2436984.8213635613</v>
      </c>
      <c r="J1346" s="60">
        <f t="shared" si="415"/>
        <v>0</v>
      </c>
      <c r="K1346" s="60">
        <f t="shared" si="415"/>
        <v>0</v>
      </c>
      <c r="L1346" s="60">
        <f t="shared" ca="1" si="415"/>
        <v>202.46409020856325</v>
      </c>
      <c r="M1346" s="60"/>
      <c r="N1346" s="60">
        <f t="shared" ca="1" si="412"/>
        <v>2436782.3572733523</v>
      </c>
      <c r="O1346" s="60">
        <f t="shared" ca="1" si="415"/>
        <v>760337.92217272415</v>
      </c>
      <c r="P1346" s="60">
        <f t="shared" ca="1" si="415"/>
        <v>1676444.4351006281</v>
      </c>
      <c r="Q1346" s="60">
        <f t="shared" ca="1" si="415"/>
        <v>0</v>
      </c>
      <c r="T1346" s="58"/>
      <c r="U1346" s="92"/>
      <c r="W1346" s="50"/>
      <c r="X1346" s="85"/>
      <c r="Y1346" s="50"/>
    </row>
    <row r="1347" spans="1:25" x14ac:dyDescent="0.2">
      <c r="A1347" s="60"/>
      <c r="B1347" s="70"/>
      <c r="C1347" s="51"/>
      <c r="D1347" s="66"/>
      <c r="F1347" s="60"/>
      <c r="H1347" s="60"/>
      <c r="I1347" s="60"/>
      <c r="L1347" s="60"/>
      <c r="M1347" s="60"/>
      <c r="N1347" s="60"/>
      <c r="O1347" s="60"/>
      <c r="P1347" s="60"/>
      <c r="Q1347" s="60"/>
      <c r="T1347" s="58"/>
      <c r="U1347" s="92"/>
      <c r="W1347" s="50"/>
      <c r="X1347" s="85"/>
      <c r="Y1347" s="50"/>
    </row>
    <row r="1348" spans="1:25" x14ac:dyDescent="0.2">
      <c r="A1348" s="60">
        <v>33</v>
      </c>
      <c r="B1348" s="48" t="s">
        <v>439</v>
      </c>
      <c r="C1348" s="51"/>
      <c r="D1348" s="66">
        <f ca="1">SUM(F1348:I1348)+K1348</f>
        <v>48069292.07</v>
      </c>
      <c r="F1348" s="60">
        <f ca="1">F1346+F1317</f>
        <v>41419155.273129068</v>
      </c>
      <c r="H1348" s="60">
        <f ca="1">H1346+H1317</f>
        <v>2365272.083441962</v>
      </c>
      <c r="I1348" s="60">
        <f t="shared" ref="I1348:Q1348" ca="1" si="416">I1346+I1317</f>
        <v>4284864.7134289648</v>
      </c>
      <c r="J1348" s="60">
        <f t="shared" si="416"/>
        <v>0</v>
      </c>
      <c r="K1348" s="60">
        <f t="shared" si="416"/>
        <v>0</v>
      </c>
      <c r="L1348" s="60">
        <f t="shared" ca="1" si="416"/>
        <v>304.27380287940531</v>
      </c>
      <c r="M1348" s="60"/>
      <c r="N1348" s="60">
        <f t="shared" ca="1" si="412"/>
        <v>4284560.4396260846</v>
      </c>
      <c r="O1348" s="60">
        <f t="shared" ca="1" si="416"/>
        <v>1363538.7239835919</v>
      </c>
      <c r="P1348" s="60">
        <f t="shared" ca="1" si="416"/>
        <v>2921021.7156424923</v>
      </c>
      <c r="Q1348" s="60">
        <f t="shared" ca="1" si="416"/>
        <v>0</v>
      </c>
      <c r="T1348" s="58"/>
      <c r="U1348" s="92"/>
      <c r="W1348" s="50"/>
      <c r="X1348" s="85"/>
      <c r="Y1348" s="50"/>
    </row>
    <row r="1349" spans="1:25" x14ac:dyDescent="0.2">
      <c r="A1349" s="60"/>
      <c r="B1349" s="48"/>
      <c r="C1349" s="51"/>
      <c r="D1349" s="66"/>
      <c r="F1349" s="60"/>
      <c r="H1349" s="60"/>
      <c r="I1349" s="60"/>
      <c r="L1349" s="60"/>
      <c r="M1349" s="60"/>
      <c r="N1349" s="60"/>
      <c r="O1349" s="60"/>
      <c r="P1349" s="60"/>
      <c r="Q1349" s="60"/>
      <c r="T1349" s="58"/>
      <c r="U1349" s="92"/>
      <c r="W1349" s="50"/>
      <c r="X1349" s="85"/>
      <c r="Y1349" s="50"/>
    </row>
    <row r="1350" spans="1:25" x14ac:dyDescent="0.2">
      <c r="A1350" s="60"/>
      <c r="B1350" s="48"/>
      <c r="C1350" s="51"/>
      <c r="D1350" s="66"/>
      <c r="F1350" s="60"/>
      <c r="H1350" s="60"/>
      <c r="I1350" s="60"/>
      <c r="L1350" s="60"/>
      <c r="M1350" s="60"/>
      <c r="N1350" s="60"/>
      <c r="O1350" s="60"/>
      <c r="P1350" s="60"/>
      <c r="Q1350" s="60"/>
      <c r="T1350" s="58"/>
      <c r="U1350" s="92"/>
      <c r="W1350" s="50"/>
      <c r="X1350" s="85"/>
      <c r="Y1350" s="50"/>
    </row>
    <row r="1351" spans="1:25" x14ac:dyDescent="0.2">
      <c r="A1351" s="60"/>
      <c r="B1351" s="48"/>
      <c r="C1351" s="51"/>
      <c r="D1351" s="66"/>
      <c r="F1351" s="60"/>
      <c r="H1351" s="60"/>
      <c r="I1351" s="60"/>
      <c r="L1351" s="60"/>
      <c r="M1351" s="60"/>
      <c r="N1351" s="60"/>
      <c r="O1351" s="60"/>
      <c r="P1351" s="60"/>
      <c r="Q1351" s="60"/>
      <c r="T1351" s="58"/>
      <c r="U1351" s="92"/>
      <c r="W1351" s="50"/>
      <c r="X1351" s="85"/>
      <c r="Y1351" s="50"/>
    </row>
    <row r="1352" spans="1:25" x14ac:dyDescent="0.2">
      <c r="A1352" s="60"/>
      <c r="B1352" s="48"/>
      <c r="C1352" s="51"/>
      <c r="D1352" s="66"/>
      <c r="F1352" s="60"/>
      <c r="H1352" s="60"/>
      <c r="I1352" s="60"/>
      <c r="L1352" s="60"/>
      <c r="M1352" s="60"/>
      <c r="N1352" s="60"/>
      <c r="O1352" s="60"/>
      <c r="P1352" s="60"/>
      <c r="Q1352" s="60"/>
      <c r="T1352" s="58"/>
      <c r="U1352" s="92"/>
      <c r="W1352" s="50"/>
      <c r="X1352" s="85"/>
      <c r="Y1352" s="50"/>
    </row>
    <row r="1353" spans="1:25" x14ac:dyDescent="0.2">
      <c r="A1353" s="60"/>
      <c r="B1353" s="48" t="s">
        <v>527</v>
      </c>
      <c r="C1353" s="51"/>
      <c r="D1353" s="66"/>
      <c r="F1353" s="60"/>
      <c r="H1353" s="60"/>
      <c r="I1353" s="60"/>
      <c r="L1353" s="60"/>
      <c r="M1353" s="60"/>
      <c r="N1353" s="60"/>
      <c r="O1353" s="60"/>
      <c r="P1353" s="60"/>
      <c r="Q1353" s="60"/>
      <c r="T1353" s="58"/>
      <c r="U1353" s="92"/>
      <c r="W1353" s="50"/>
      <c r="X1353" s="85"/>
      <c r="Y1353" s="50"/>
    </row>
    <row r="1354" spans="1:25" x14ac:dyDescent="0.2">
      <c r="A1354" s="60">
        <v>1</v>
      </c>
      <c r="B1354" s="48" t="s">
        <v>526</v>
      </c>
      <c r="C1354" s="51" t="s">
        <v>1048</v>
      </c>
      <c r="D1354" s="66">
        <f t="shared" ref="D1354:D1365" ca="1" si="417">SUM(F1354:I1354)+K1354</f>
        <v>1303427.78</v>
      </c>
      <c r="F1354" s="60">
        <f t="shared" ref="F1354:F1365" ca="1" si="418">INDEX(INDIRECT($C1354),1,F$12+1)*$T1354</f>
        <v>1045952.3157575636</v>
      </c>
      <c r="H1354" s="60">
        <f t="shared" ref="H1354:H1365" ca="1" si="419">INDEX(INDIRECT($C1354),1,H$12+1)*$T1354</f>
        <v>149723.44455785491</v>
      </c>
      <c r="I1354" s="60">
        <f t="shared" ref="I1354:I1361" ca="1" si="420">(L1354+M1354+N1354)</f>
        <v>107752.01968458154</v>
      </c>
      <c r="L1354" s="60">
        <f t="shared" ref="L1354:L1365" ca="1" si="421">INDEX(INDIRECT($C1354),1,L$12+1)*$T1354</f>
        <v>9.248069049548258</v>
      </c>
      <c r="M1354" s="60"/>
      <c r="N1354" s="60">
        <f t="shared" ref="N1354:N1361" ca="1" si="422">SUM(O1354:Q1354)</f>
        <v>107742.77161553199</v>
      </c>
      <c r="O1354" s="60">
        <f t="shared" ref="O1354:Q1365" ca="1" si="423">INDEX(INDIRECT($C1354),1,O$12+1)*$T1354</f>
        <v>33618.478422894397</v>
      </c>
      <c r="P1354" s="60">
        <f t="shared" ca="1" si="423"/>
        <v>74124.293192637604</v>
      </c>
      <c r="Q1354" s="60">
        <f t="shared" ca="1" si="423"/>
        <v>0</v>
      </c>
      <c r="T1354" s="325">
        <v>1303427.78</v>
      </c>
      <c r="U1354" s="92">
        <v>560</v>
      </c>
      <c r="W1354" s="92">
        <f>SUMIF('O&amp;M'!$B$3:$B$87,TOTALCO!U1354,'O&amp;M'!$G$3:$G$87)+SUMIF('O&amp;M'!$B$3:$B$87,TOTALCO!V1354,'O&amp;M'!$G$3:$G$87)</f>
        <v>1303427.78</v>
      </c>
      <c r="X1354" s="85">
        <f t="shared" ref="X1354:X1365" ca="1" si="424">D1354-T1354</f>
        <v>0</v>
      </c>
      <c r="Y1354" s="50" t="s">
        <v>454</v>
      </c>
    </row>
    <row r="1355" spans="1:25" x14ac:dyDescent="0.2">
      <c r="A1355" s="60">
        <v>2</v>
      </c>
      <c r="B1355" s="48" t="s">
        <v>528</v>
      </c>
      <c r="C1355" s="51" t="s">
        <v>1048</v>
      </c>
      <c r="D1355" s="66">
        <f t="shared" ca="1" si="417"/>
        <v>2653386.96</v>
      </c>
      <c r="F1355" s="60">
        <f t="shared" ca="1" si="418"/>
        <v>2129244.3493976486</v>
      </c>
      <c r="H1355" s="60">
        <f t="shared" ca="1" si="419"/>
        <v>304791.90446293476</v>
      </c>
      <c r="I1355" s="60">
        <f t="shared" ca="1" si="420"/>
        <v>219350.70613941646</v>
      </c>
      <c r="L1355" s="60">
        <f t="shared" ca="1" si="421"/>
        <v>18.82628726944192</v>
      </c>
      <c r="M1355" s="60"/>
      <c r="N1355" s="60">
        <f t="shared" ca="1" si="422"/>
        <v>219331.87985214702</v>
      </c>
      <c r="O1355" s="60">
        <f t="shared" ca="1" si="423"/>
        <v>68437.111461863547</v>
      </c>
      <c r="P1355" s="60">
        <f t="shared" ca="1" si="423"/>
        <v>150894.76839028348</v>
      </c>
      <c r="Q1355" s="60">
        <f t="shared" ca="1" si="423"/>
        <v>0</v>
      </c>
      <c r="T1355" s="325">
        <v>2653386.96</v>
      </c>
      <c r="U1355" s="92">
        <v>561</v>
      </c>
      <c r="W1355" s="92">
        <f>SUMIF('O&amp;M'!$B$3:$B$87,TOTALCO!U1355,'O&amp;M'!$G$3:$G$87)+SUMIF('O&amp;M'!$B$3:$B$87,TOTALCO!V1355,'O&amp;M'!$G$3:$G$87)</f>
        <v>2653386.96</v>
      </c>
      <c r="X1355" s="85">
        <f t="shared" ca="1" si="424"/>
        <v>0</v>
      </c>
      <c r="Y1355" s="50" t="s">
        <v>454</v>
      </c>
    </row>
    <row r="1356" spans="1:25" x14ac:dyDescent="0.2">
      <c r="A1356" s="60">
        <v>3</v>
      </c>
      <c r="B1356" s="48" t="s">
        <v>529</v>
      </c>
      <c r="C1356" s="51" t="s">
        <v>1048</v>
      </c>
      <c r="D1356" s="66">
        <f t="shared" ca="1" si="417"/>
        <v>334609.98</v>
      </c>
      <c r="F1356" s="60">
        <f t="shared" ca="1" si="418"/>
        <v>268512.06397994066</v>
      </c>
      <c r="H1356" s="60">
        <f t="shared" ca="1" si="419"/>
        <v>38436.313509471875</v>
      </c>
      <c r="I1356" s="60">
        <f t="shared" ca="1" si="420"/>
        <v>27661.602510587458</v>
      </c>
      <c r="L1356" s="60">
        <f t="shared" ca="1" si="421"/>
        <v>2.374121717513157</v>
      </c>
      <c r="M1356" s="60"/>
      <c r="N1356" s="60">
        <f t="shared" ca="1" si="422"/>
        <v>27659.228388869946</v>
      </c>
      <c r="O1356" s="60">
        <f t="shared" ca="1" si="423"/>
        <v>8630.3810347782564</v>
      </c>
      <c r="P1356" s="60">
        <f t="shared" ca="1" si="423"/>
        <v>19028.847354091689</v>
      </c>
      <c r="Q1356" s="60">
        <f t="shared" ca="1" si="423"/>
        <v>0</v>
      </c>
      <c r="T1356" s="325">
        <v>334609.98</v>
      </c>
      <c r="U1356" s="92">
        <v>562</v>
      </c>
      <c r="W1356" s="92">
        <f>SUMIF('O&amp;M'!$B$3:$B$87,TOTALCO!U1356,'O&amp;M'!$G$3:$G$87)+SUMIF('O&amp;M'!$B$3:$B$87,TOTALCO!V1356,'O&amp;M'!$G$3:$G$87)</f>
        <v>334609.98</v>
      </c>
      <c r="X1356" s="85">
        <f t="shared" ca="1" si="424"/>
        <v>0</v>
      </c>
      <c r="Y1356" s="50" t="s">
        <v>454</v>
      </c>
    </row>
    <row r="1357" spans="1:25" x14ac:dyDescent="0.2">
      <c r="A1357" s="60">
        <v>4</v>
      </c>
      <c r="B1357" s="48" t="s">
        <v>530</v>
      </c>
      <c r="C1357" s="51" t="s">
        <v>1048</v>
      </c>
      <c r="D1357" s="66">
        <f t="shared" ca="1" si="417"/>
        <v>69427.8</v>
      </c>
      <c r="F1357" s="60">
        <f t="shared" ca="1" si="418"/>
        <v>55713.227308959897</v>
      </c>
      <c r="H1357" s="60">
        <f t="shared" ca="1" si="419"/>
        <v>7975.1018994499564</v>
      </c>
      <c r="I1357" s="60">
        <f t="shared" ca="1" si="420"/>
        <v>5739.4707915901499</v>
      </c>
      <c r="L1357" s="60">
        <f t="shared" ca="1" si="421"/>
        <v>0.49260350148301013</v>
      </c>
      <c r="M1357" s="60"/>
      <c r="N1357" s="60">
        <f t="shared" ca="1" si="422"/>
        <v>5738.9781880886667</v>
      </c>
      <c r="O1357" s="60">
        <f t="shared" ca="1" si="423"/>
        <v>1790.706805596109</v>
      </c>
      <c r="P1357" s="60">
        <f t="shared" ca="1" si="423"/>
        <v>3948.2713824925577</v>
      </c>
      <c r="Q1357" s="60">
        <f t="shared" ca="1" si="423"/>
        <v>0</v>
      </c>
      <c r="T1357" s="325">
        <v>69427.8</v>
      </c>
      <c r="U1357" s="92">
        <v>563</v>
      </c>
      <c r="W1357" s="92">
        <f>SUMIF('O&amp;M'!$B$3:$B$87,TOTALCO!U1357,'O&amp;M'!$G$3:$G$87)+SUMIF('O&amp;M'!$B$3:$B$87,TOTALCO!V1357,'O&amp;M'!$G$3:$G$87)</f>
        <v>69427.8</v>
      </c>
      <c r="X1357" s="85">
        <f t="shared" ca="1" si="424"/>
        <v>0</v>
      </c>
      <c r="Y1357" s="50" t="s">
        <v>454</v>
      </c>
    </row>
    <row r="1358" spans="1:25" x14ac:dyDescent="0.2">
      <c r="A1358" s="60">
        <v>5</v>
      </c>
      <c r="B1358" s="48" t="s">
        <v>531</v>
      </c>
      <c r="C1358" s="51" t="s">
        <v>1048</v>
      </c>
      <c r="D1358" s="66">
        <f t="shared" ca="1" si="417"/>
        <v>0</v>
      </c>
      <c r="F1358" s="60">
        <f t="shared" ca="1" si="418"/>
        <v>0</v>
      </c>
      <c r="H1358" s="60">
        <f t="shared" ca="1" si="419"/>
        <v>0</v>
      </c>
      <c r="I1358" s="60">
        <f t="shared" ca="1" si="420"/>
        <v>0</v>
      </c>
      <c r="L1358" s="60">
        <f t="shared" ca="1" si="421"/>
        <v>0</v>
      </c>
      <c r="M1358" s="60"/>
      <c r="N1358" s="60">
        <f t="shared" ca="1" si="422"/>
        <v>0</v>
      </c>
      <c r="O1358" s="60">
        <f t="shared" ca="1" si="423"/>
        <v>0</v>
      </c>
      <c r="P1358" s="60">
        <f t="shared" ca="1" si="423"/>
        <v>0</v>
      </c>
      <c r="Q1358" s="60">
        <f t="shared" ca="1" si="423"/>
        <v>0</v>
      </c>
      <c r="T1358" s="325">
        <v>0</v>
      </c>
      <c r="U1358" s="92">
        <v>565</v>
      </c>
      <c r="W1358" s="92">
        <f>SUMIF('O&amp;M'!$B$3:$B$87,TOTALCO!U1358,'O&amp;M'!$G$3:$G$87)+SUMIF('O&amp;M'!$B$3:$B$87,TOTALCO!V1358,'O&amp;M'!$G$3:$G$87)</f>
        <v>0</v>
      </c>
      <c r="X1358" s="85">
        <f t="shared" ca="1" si="424"/>
        <v>0</v>
      </c>
      <c r="Y1358" s="50" t="s">
        <v>454</v>
      </c>
    </row>
    <row r="1359" spans="1:25" x14ac:dyDescent="0.2">
      <c r="A1359" s="60">
        <v>6</v>
      </c>
      <c r="B1359" s="48" t="s">
        <v>532</v>
      </c>
      <c r="C1359" s="51" t="s">
        <v>1048</v>
      </c>
      <c r="D1359" s="66">
        <f t="shared" ca="1" si="417"/>
        <v>417945.23</v>
      </c>
      <c r="F1359" s="60">
        <f t="shared" ca="1" si="418"/>
        <v>335385.50266154949</v>
      </c>
      <c r="H1359" s="60">
        <f t="shared" ca="1" si="419"/>
        <v>48008.950271203299</v>
      </c>
      <c r="I1359" s="60">
        <f t="shared" ca="1" si="420"/>
        <v>34550.777067247218</v>
      </c>
      <c r="L1359" s="60">
        <f t="shared" ca="1" si="421"/>
        <v>2.9654012330236879</v>
      </c>
      <c r="M1359" s="60"/>
      <c r="N1359" s="60">
        <f t="shared" ca="1" si="422"/>
        <v>34547.811666014197</v>
      </c>
      <c r="O1359" s="60">
        <f t="shared" ca="1" si="423"/>
        <v>10779.793796252092</v>
      </c>
      <c r="P1359" s="60">
        <f t="shared" ca="1" si="423"/>
        <v>23768.017869762109</v>
      </c>
      <c r="Q1359" s="60">
        <f t="shared" ca="1" si="423"/>
        <v>0</v>
      </c>
      <c r="T1359" s="325">
        <v>417945.23</v>
      </c>
      <c r="U1359" s="92">
        <v>566</v>
      </c>
      <c r="W1359" s="92">
        <f>SUMIF('O&amp;M'!$B$3:$B$87,TOTALCO!U1359,'O&amp;M'!$G$3:$G$87)+SUMIF('O&amp;M'!$B$3:$B$87,TOTALCO!V1359,'O&amp;M'!$G$3:$G$87)</f>
        <v>417945.23</v>
      </c>
      <c r="X1359" s="85">
        <f t="shared" ca="1" si="424"/>
        <v>0</v>
      </c>
      <c r="Y1359" s="50" t="s">
        <v>454</v>
      </c>
    </row>
    <row r="1360" spans="1:25" x14ac:dyDescent="0.2">
      <c r="A1360" s="60">
        <v>7</v>
      </c>
      <c r="B1360" s="48" t="s">
        <v>533</v>
      </c>
      <c r="C1360" s="112" t="s">
        <v>1048</v>
      </c>
      <c r="D1360" s="66">
        <f t="shared" ca="1" si="417"/>
        <v>0</v>
      </c>
      <c r="F1360" s="60">
        <f t="shared" ca="1" si="418"/>
        <v>0</v>
      </c>
      <c r="H1360" s="60">
        <f t="shared" ca="1" si="419"/>
        <v>0</v>
      </c>
      <c r="I1360" s="60">
        <f t="shared" ca="1" si="420"/>
        <v>0</v>
      </c>
      <c r="L1360" s="60">
        <f t="shared" ca="1" si="421"/>
        <v>0</v>
      </c>
      <c r="M1360" s="60"/>
      <c r="N1360" s="60">
        <f t="shared" ca="1" si="422"/>
        <v>0</v>
      </c>
      <c r="O1360" s="60">
        <f t="shared" ca="1" si="423"/>
        <v>0</v>
      </c>
      <c r="P1360" s="60">
        <f t="shared" ca="1" si="423"/>
        <v>0</v>
      </c>
      <c r="Q1360" s="60">
        <f t="shared" ca="1" si="423"/>
        <v>0</v>
      </c>
      <c r="T1360" s="325">
        <v>0</v>
      </c>
      <c r="U1360" s="91">
        <v>567</v>
      </c>
      <c r="W1360" s="92">
        <f>SUMIF('O&amp;M'!$B$3:$B$87,TOTALCO!U1360,'O&amp;M'!$G$3:$G$87)+SUMIF('O&amp;M'!$B$3:$B$87,TOTALCO!V1360,'O&amp;M'!$G$3:$G$87)</f>
        <v>0</v>
      </c>
      <c r="X1360" s="85">
        <f t="shared" ca="1" si="424"/>
        <v>0</v>
      </c>
      <c r="Y1360" s="50" t="s">
        <v>454</v>
      </c>
    </row>
    <row r="1361" spans="1:25" x14ac:dyDescent="0.2">
      <c r="A1361" s="33">
        <v>8</v>
      </c>
      <c r="B1361" s="33" t="s">
        <v>534</v>
      </c>
      <c r="C1361" s="112" t="s">
        <v>1048</v>
      </c>
      <c r="D1361" s="66">
        <f t="shared" ca="1" si="417"/>
        <v>0</v>
      </c>
      <c r="F1361" s="60">
        <f t="shared" ca="1" si="418"/>
        <v>0</v>
      </c>
      <c r="H1361" s="60">
        <f t="shared" ca="1" si="419"/>
        <v>0</v>
      </c>
      <c r="I1361" s="60">
        <f t="shared" ca="1" si="420"/>
        <v>0</v>
      </c>
      <c r="L1361" s="60">
        <f t="shared" ca="1" si="421"/>
        <v>0</v>
      </c>
      <c r="M1361" s="60"/>
      <c r="N1361" s="60">
        <f t="shared" ca="1" si="422"/>
        <v>0</v>
      </c>
      <c r="O1361" s="60">
        <f t="shared" ca="1" si="423"/>
        <v>0</v>
      </c>
      <c r="P1361" s="60">
        <f t="shared" ca="1" si="423"/>
        <v>0</v>
      </c>
      <c r="Q1361" s="60">
        <f t="shared" ca="1" si="423"/>
        <v>0</v>
      </c>
      <c r="T1361" s="325">
        <v>0</v>
      </c>
      <c r="U1361" s="91">
        <v>569</v>
      </c>
      <c r="W1361" s="92">
        <f>SUMIF('O&amp;M'!$B$3:$B$87,TOTALCO!U1361,'O&amp;M'!$G$3:$G$87)+SUMIF('O&amp;M'!$B$3:$B$87,TOTALCO!V1361,'O&amp;M'!$G$3:$G$87)</f>
        <v>0</v>
      </c>
      <c r="X1361" s="85">
        <f t="shared" ca="1" si="424"/>
        <v>0</v>
      </c>
      <c r="Y1361" s="50" t="s">
        <v>454</v>
      </c>
    </row>
    <row r="1362" spans="1:25" x14ac:dyDescent="0.2">
      <c r="A1362" s="33">
        <v>9</v>
      </c>
      <c r="B1362" s="33" t="s">
        <v>536</v>
      </c>
      <c r="C1362" s="112" t="s">
        <v>1048</v>
      </c>
      <c r="D1362" s="66">
        <f t="shared" ca="1" si="417"/>
        <v>696734.24</v>
      </c>
      <c r="F1362" s="60">
        <f t="shared" ca="1" si="418"/>
        <v>559103.31433597801</v>
      </c>
      <c r="H1362" s="60">
        <f t="shared" ca="1" si="419"/>
        <v>80033.164824981082</v>
      </c>
      <c r="I1362" s="60">
        <f ca="1">(L1362+M1362+N1362)</f>
        <v>57597.760839040857</v>
      </c>
      <c r="L1362" s="60">
        <f t="shared" ca="1" si="421"/>
        <v>4.9434625067639173</v>
      </c>
      <c r="M1362" s="60"/>
      <c r="N1362" s="60">
        <f ca="1">SUM(O1362:Q1362)</f>
        <v>57592.817376534091</v>
      </c>
      <c r="O1362" s="60">
        <f t="shared" ca="1" si="423"/>
        <v>17970.420282074796</v>
      </c>
      <c r="P1362" s="60">
        <f t="shared" ca="1" si="423"/>
        <v>39622.397094459295</v>
      </c>
      <c r="Q1362" s="60">
        <f t="shared" ca="1" si="423"/>
        <v>0</v>
      </c>
      <c r="T1362" s="325">
        <v>696734.24</v>
      </c>
      <c r="U1362" s="92">
        <v>570</v>
      </c>
      <c r="W1362" s="92">
        <f>SUMIF('O&amp;M'!$B$3:$B$87,TOTALCO!U1362,'O&amp;M'!$G$3:$G$87)+SUMIF('O&amp;M'!$B$3:$B$87,TOTALCO!V1362,'O&amp;M'!$G$3:$G$87)</f>
        <v>696734.24</v>
      </c>
      <c r="X1362" s="85">
        <f t="shared" ca="1" si="424"/>
        <v>0</v>
      </c>
      <c r="Y1362" s="50" t="s">
        <v>454</v>
      </c>
    </row>
    <row r="1363" spans="1:25" x14ac:dyDescent="0.2">
      <c r="A1363" s="33">
        <v>10</v>
      </c>
      <c r="B1363" s="33" t="s">
        <v>537</v>
      </c>
      <c r="C1363" s="112" t="s">
        <v>1048</v>
      </c>
      <c r="D1363" s="66">
        <f t="shared" ca="1" si="417"/>
        <v>220634.58000000002</v>
      </c>
      <c r="F1363" s="60">
        <f t="shared" ca="1" si="418"/>
        <v>177051.04450604654</v>
      </c>
      <c r="H1363" s="60">
        <f t="shared" ca="1" si="419"/>
        <v>25344.073383318257</v>
      </c>
      <c r="I1363" s="60">
        <f ca="1">(L1363+M1363+N1363)</f>
        <v>18239.462110635224</v>
      </c>
      <c r="L1363" s="60">
        <f t="shared" ca="1" si="421"/>
        <v>1.5654444855840646</v>
      </c>
      <c r="M1363" s="60"/>
      <c r="N1363" s="60">
        <f ca="1">SUM(O1363:Q1363)</f>
        <v>18237.896666149642</v>
      </c>
      <c r="O1363" s="60">
        <f t="shared" ca="1" si="423"/>
        <v>5690.6864967036136</v>
      </c>
      <c r="P1363" s="60">
        <f t="shared" ca="1" si="423"/>
        <v>12547.210169446027</v>
      </c>
      <c r="Q1363" s="60">
        <f t="shared" ca="1" si="423"/>
        <v>0</v>
      </c>
      <c r="T1363" s="325">
        <v>220634.58000000002</v>
      </c>
      <c r="U1363" s="92">
        <v>571</v>
      </c>
      <c r="W1363" s="92">
        <f>SUMIF('O&amp;M'!$B$3:$B$87,TOTALCO!U1363,'O&amp;M'!$G$3:$G$87)+SUMIF('O&amp;M'!$B$3:$B$87,TOTALCO!V1363,'O&amp;M'!$G$3:$G$87)</f>
        <v>220634.58000000002</v>
      </c>
      <c r="X1363" s="85">
        <f t="shared" ca="1" si="424"/>
        <v>0</v>
      </c>
      <c r="Y1363" s="50" t="s">
        <v>454</v>
      </c>
    </row>
    <row r="1364" spans="1:25" x14ac:dyDescent="0.2">
      <c r="A1364" s="33">
        <v>11</v>
      </c>
      <c r="B1364" s="33" t="s">
        <v>538</v>
      </c>
      <c r="C1364" s="112" t="s">
        <v>1048</v>
      </c>
      <c r="D1364" s="66">
        <f t="shared" ca="1" si="417"/>
        <v>0</v>
      </c>
      <c r="F1364" s="60">
        <f t="shared" ca="1" si="418"/>
        <v>0</v>
      </c>
      <c r="H1364" s="60">
        <f t="shared" ca="1" si="419"/>
        <v>0</v>
      </c>
      <c r="I1364" s="60">
        <f ca="1">(L1364+M1364+N1364)</f>
        <v>0</v>
      </c>
      <c r="L1364" s="60">
        <f t="shared" ca="1" si="421"/>
        <v>0</v>
      </c>
      <c r="M1364" s="60"/>
      <c r="N1364" s="60">
        <f ca="1">SUM(O1364:Q1364)</f>
        <v>0</v>
      </c>
      <c r="O1364" s="60">
        <f t="shared" ca="1" si="423"/>
        <v>0</v>
      </c>
      <c r="P1364" s="60">
        <f t="shared" ca="1" si="423"/>
        <v>0</v>
      </c>
      <c r="Q1364" s="60">
        <f t="shared" ca="1" si="423"/>
        <v>0</v>
      </c>
      <c r="T1364" s="325">
        <v>0</v>
      </c>
      <c r="U1364" s="92">
        <v>572</v>
      </c>
      <c r="W1364" s="92">
        <f>SUMIF('O&amp;M'!$B$3:$B$87,TOTALCO!U1364,'O&amp;M'!$G$3:$G$87)+SUMIF('O&amp;M'!$B$3:$B$87,TOTALCO!V1364,'O&amp;M'!$G$3:$G$87)</f>
        <v>0</v>
      </c>
      <c r="X1364" s="85">
        <f t="shared" ca="1" si="424"/>
        <v>0</v>
      </c>
      <c r="Y1364" s="50" t="s">
        <v>454</v>
      </c>
    </row>
    <row r="1365" spans="1:25" x14ac:dyDescent="0.2">
      <c r="A1365" s="33">
        <v>12</v>
      </c>
      <c r="B1365" s="33" t="s">
        <v>539</v>
      </c>
      <c r="C1365" s="112" t="s">
        <v>1048</v>
      </c>
      <c r="D1365" s="66">
        <f t="shared" ca="1" si="417"/>
        <v>109870.64000000001</v>
      </c>
      <c r="F1365" s="60">
        <f t="shared" ca="1" si="418"/>
        <v>88167.102240037886</v>
      </c>
      <c r="H1365" s="60">
        <f t="shared" ca="1" si="419"/>
        <v>12620.730453187087</v>
      </c>
      <c r="I1365" s="60">
        <f ca="1">(L1365+M1365+N1365)</f>
        <v>9082.8073067750447</v>
      </c>
      <c r="L1365" s="60">
        <f t="shared" ca="1" si="421"/>
        <v>0.77955317573334137</v>
      </c>
      <c r="M1365" s="60"/>
      <c r="N1365" s="60">
        <f ca="1">SUM(O1365:Q1365)</f>
        <v>9082.0277535993118</v>
      </c>
      <c r="O1365" s="60">
        <f t="shared" ca="1" si="423"/>
        <v>2833.8230907964835</v>
      </c>
      <c r="P1365" s="60">
        <f t="shared" ca="1" si="423"/>
        <v>6248.2046628028274</v>
      </c>
      <c r="Q1365" s="60">
        <f t="shared" ca="1" si="423"/>
        <v>0</v>
      </c>
      <c r="T1365" s="325">
        <v>109870.64000000001</v>
      </c>
      <c r="U1365" s="92">
        <v>573</v>
      </c>
      <c r="W1365" s="92">
        <f>SUMIF('O&amp;M'!$B$3:$B$87,TOTALCO!U1365,'O&amp;M'!$G$3:$G$87)+SUMIF('O&amp;M'!$B$3:$B$87,TOTALCO!V1365,'O&amp;M'!$G$3:$G$87)</f>
        <v>109870.64000000001</v>
      </c>
      <c r="X1365" s="85">
        <f t="shared" ca="1" si="424"/>
        <v>0</v>
      </c>
      <c r="Y1365" s="50" t="s">
        <v>454</v>
      </c>
    </row>
    <row r="1366" spans="1:25" x14ac:dyDescent="0.2">
      <c r="C1366" s="112"/>
      <c r="D1366" s="66"/>
      <c r="U1366" s="91"/>
      <c r="W1366" s="50"/>
    </row>
    <row r="1367" spans="1:25" x14ac:dyDescent="0.2">
      <c r="A1367" s="60">
        <v>13</v>
      </c>
      <c r="B1367" s="48" t="s">
        <v>440</v>
      </c>
      <c r="C1367" s="51" t="s">
        <v>1048</v>
      </c>
      <c r="D1367" s="66">
        <f ca="1">SUM(F1367:I1367)+K1367</f>
        <v>5806037.21</v>
      </c>
      <c r="F1367" s="60">
        <f ca="1">SUM(F1354:F1365)</f>
        <v>4659128.9201877248</v>
      </c>
      <c r="H1367" s="60">
        <f ca="1">SUM(H1354:H1365)</f>
        <v>666933.68336240132</v>
      </c>
      <c r="I1367" s="60">
        <f ca="1">SUM(I1354:I1365)</f>
        <v>479974.60644987394</v>
      </c>
      <c r="J1367" s="60">
        <f>SUM(J1354:J1361)</f>
        <v>0</v>
      </c>
      <c r="K1367" s="60">
        <f>SUM(K1354:K1361)</f>
        <v>0</v>
      </c>
      <c r="L1367" s="60">
        <f t="shared" ref="L1367:Q1367" ca="1" si="425">SUM(L1354:L1365)</f>
        <v>41.194942939091355</v>
      </c>
      <c r="M1367" s="60"/>
      <c r="N1367" s="60">
        <f t="shared" ca="1" si="425"/>
        <v>479933.41150693496</v>
      </c>
      <c r="O1367" s="60">
        <f t="shared" ca="1" si="425"/>
        <v>149751.4013909593</v>
      </c>
      <c r="P1367" s="60">
        <f t="shared" ca="1" si="425"/>
        <v>330182.01011597551</v>
      </c>
      <c r="Q1367" s="60">
        <f t="shared" ca="1" si="425"/>
        <v>0</v>
      </c>
      <c r="T1367" s="58"/>
      <c r="U1367" s="92"/>
      <c r="W1367" s="50"/>
      <c r="X1367" s="85"/>
      <c r="Y1367" s="50"/>
    </row>
    <row r="1368" spans="1:25" x14ac:dyDescent="0.2">
      <c r="C1368" s="58"/>
      <c r="T1368" s="58"/>
      <c r="U1368" s="92"/>
      <c r="W1368" s="50"/>
      <c r="X1368" s="85"/>
      <c r="Y1368" s="50"/>
    </row>
    <row r="1369" spans="1:25" x14ac:dyDescent="0.2">
      <c r="B1369" s="33" t="s">
        <v>535</v>
      </c>
      <c r="C1369" s="58"/>
      <c r="T1369" s="58"/>
      <c r="U1369" s="92"/>
      <c r="W1369" s="50"/>
      <c r="X1369" s="85"/>
      <c r="Y1369" s="50"/>
    </row>
    <row r="1370" spans="1:25" x14ac:dyDescent="0.2">
      <c r="A1370" s="33">
        <v>1</v>
      </c>
      <c r="B1370" s="33" t="s">
        <v>540</v>
      </c>
      <c r="C1370" s="58" t="s">
        <v>1037</v>
      </c>
      <c r="D1370" s="66">
        <f t="shared" ref="D1370:D1388" ca="1" si="426">SUM(F1370:I1370)+K1370</f>
        <v>1376759.4599999997</v>
      </c>
      <c r="F1370" s="60">
        <f t="shared" ref="F1370:F1388" ca="1" si="427">INDEX(INDIRECT($C1370),1,F$12+1)*$T1370</f>
        <v>1295319.5735034929</v>
      </c>
      <c r="H1370" s="60">
        <f t="shared" ref="H1370:H1388" ca="1" si="428">INDEX(INDIRECT($C1370),1,H$12+1)*$T1370</f>
        <v>77134.121028215493</v>
      </c>
      <c r="I1370" s="60">
        <f t="shared" ref="I1370:I1388" ca="1" si="429">(L1370+M1370+N1370)</f>
        <v>4305.7654682915827</v>
      </c>
      <c r="L1370" s="60">
        <f t="shared" ref="L1370:L1388" ca="1" si="430">INDEX(INDIRECT($C1370),1,L$12+1)*$T1370</f>
        <v>155.60055102611457</v>
      </c>
      <c r="M1370" s="60"/>
      <c r="N1370" s="60">
        <f t="shared" ref="N1370:N1388" ca="1" si="431">SUM(O1370:Q1370)</f>
        <v>4150.1649172654679</v>
      </c>
      <c r="O1370" s="60">
        <f t="shared" ref="O1370:Q1388" ca="1" si="432">INDEX(INDIRECT($C1370),1,O$12+1)*$T1370</f>
        <v>3566.4076665128218</v>
      </c>
      <c r="P1370" s="60">
        <f t="shared" ca="1" si="432"/>
        <v>583.75725075264575</v>
      </c>
      <c r="Q1370" s="60">
        <f t="shared" ca="1" si="432"/>
        <v>0</v>
      </c>
      <c r="T1370" s="325">
        <v>1376759.46</v>
      </c>
      <c r="U1370" s="92">
        <v>580</v>
      </c>
      <c r="W1370" s="92">
        <f>SUMIF('O&amp;M'!$B$3:$B$87,TOTALCO!U1370,'O&amp;M'!$G$3:$G$87)+SUMIF('O&amp;M'!$B$3:$B$87,TOTALCO!V1370,'O&amp;M'!$G$3:$G$87)</f>
        <v>1376759.46</v>
      </c>
      <c r="X1370" s="85">
        <f t="shared" ref="X1370:X1388" ca="1" si="433">D1370-T1370</f>
        <v>0</v>
      </c>
      <c r="Y1370" s="50" t="s">
        <v>454</v>
      </c>
    </row>
    <row r="1371" spans="1:25" x14ac:dyDescent="0.2">
      <c r="A1371" s="33">
        <v>2</v>
      </c>
      <c r="B1371" s="113" t="s">
        <v>933</v>
      </c>
      <c r="C1371" s="58" t="s">
        <v>1037</v>
      </c>
      <c r="D1371" s="66">
        <f t="shared" ca="1" si="426"/>
        <v>762447.18</v>
      </c>
      <c r="F1371" s="60">
        <f t="shared" ca="1" si="427"/>
        <v>717345.90152483201</v>
      </c>
      <c r="H1371" s="60">
        <f t="shared" ca="1" si="428"/>
        <v>42716.752467233164</v>
      </c>
      <c r="I1371" s="60">
        <f ca="1">(L1371+M1371+N1371)</f>
        <v>2384.5260079348186</v>
      </c>
      <c r="L1371" s="60">
        <f t="shared" ca="1" si="430"/>
        <v>86.171335504247892</v>
      </c>
      <c r="M1371" s="60"/>
      <c r="N1371" s="60">
        <f ca="1">SUM(O1371:Q1371)</f>
        <v>2298.3546724305706</v>
      </c>
      <c r="O1371" s="60">
        <f t="shared" ca="1" si="432"/>
        <v>1975.0708435757408</v>
      </c>
      <c r="P1371" s="60">
        <f t="shared" ca="1" si="432"/>
        <v>323.28382885482961</v>
      </c>
      <c r="Q1371" s="60">
        <f t="shared" ca="1" si="432"/>
        <v>0</v>
      </c>
      <c r="T1371" s="325">
        <v>762447.17999999993</v>
      </c>
      <c r="U1371" s="92">
        <v>581</v>
      </c>
      <c r="W1371" s="92">
        <f>SUMIF('O&amp;M'!$B$3:$B$87,TOTALCO!U1371,'O&amp;M'!$G$3:$G$87)+SUMIF('O&amp;M'!$B$3:$B$87,TOTALCO!V1371,'O&amp;M'!$G$3:$G$87)</f>
        <v>762447.17999999993</v>
      </c>
      <c r="X1371" s="85">
        <f t="shared" ca="1" si="433"/>
        <v>0</v>
      </c>
      <c r="Y1371" s="50" t="s">
        <v>454</v>
      </c>
    </row>
    <row r="1372" spans="1:25" x14ac:dyDescent="0.2">
      <c r="A1372" s="33">
        <v>3</v>
      </c>
      <c r="B1372" s="33" t="s">
        <v>541</v>
      </c>
      <c r="C1372" s="58" t="s">
        <v>1037</v>
      </c>
      <c r="D1372" s="66">
        <f t="shared" ca="1" si="426"/>
        <v>803768.94000000018</v>
      </c>
      <c r="F1372" s="60">
        <f t="shared" ca="1" si="427"/>
        <v>756223.34242479422</v>
      </c>
      <c r="H1372" s="60">
        <f t="shared" ca="1" si="428"/>
        <v>45031.839255842475</v>
      </c>
      <c r="I1372" s="60">
        <f t="shared" ca="1" si="429"/>
        <v>2513.7583193634482</v>
      </c>
      <c r="L1372" s="60">
        <f t="shared" ca="1" si="430"/>
        <v>90.841496714085423</v>
      </c>
      <c r="M1372" s="60"/>
      <c r="N1372" s="60">
        <f t="shared" ca="1" si="431"/>
        <v>2422.916822649363</v>
      </c>
      <c r="O1372" s="60">
        <f t="shared" ca="1" si="432"/>
        <v>2082.1122302082345</v>
      </c>
      <c r="P1372" s="60">
        <f t="shared" ca="1" si="432"/>
        <v>340.80459244112865</v>
      </c>
      <c r="Q1372" s="60">
        <f t="shared" ca="1" si="432"/>
        <v>0</v>
      </c>
      <c r="T1372" s="325">
        <v>803768.94000000006</v>
      </c>
      <c r="U1372" s="92">
        <v>582</v>
      </c>
      <c r="W1372" s="92">
        <f>SUMIF('O&amp;M'!$B$3:$B$87,TOTALCO!U1372,'O&amp;M'!$G$3:$G$87)+SUMIF('O&amp;M'!$B$3:$B$87,TOTALCO!V1372,'O&amp;M'!$G$3:$G$87)</f>
        <v>803768.94000000006</v>
      </c>
      <c r="X1372" s="85">
        <f t="shared" ca="1" si="433"/>
        <v>0</v>
      </c>
      <c r="Y1372" s="50" t="s">
        <v>454</v>
      </c>
    </row>
    <row r="1373" spans="1:25" x14ac:dyDescent="0.2">
      <c r="A1373" s="33">
        <v>4</v>
      </c>
      <c r="B1373" s="33" t="s">
        <v>542</v>
      </c>
      <c r="C1373" s="58" t="s">
        <v>1037</v>
      </c>
      <c r="D1373" s="66">
        <f t="shared" ca="1" si="426"/>
        <v>1689769.8600000003</v>
      </c>
      <c r="F1373" s="60">
        <f t="shared" ca="1" si="427"/>
        <v>1589814.3706049111</v>
      </c>
      <c r="H1373" s="60">
        <f t="shared" ca="1" si="428"/>
        <v>94670.795209985896</v>
      </c>
      <c r="I1373" s="60">
        <f t="shared" ca="1" si="429"/>
        <v>5284.6941851032589</v>
      </c>
      <c r="L1373" s="60">
        <f t="shared" ca="1" si="430"/>
        <v>190.97680383712088</v>
      </c>
      <c r="M1373" s="60"/>
      <c r="N1373" s="60">
        <f t="shared" ca="1" si="431"/>
        <v>5093.7173812661376</v>
      </c>
      <c r="O1373" s="60">
        <f t="shared" ca="1" si="432"/>
        <v>4377.2411655310498</v>
      </c>
      <c r="P1373" s="60">
        <f t="shared" ca="1" si="432"/>
        <v>716.47621573508798</v>
      </c>
      <c r="Q1373" s="60">
        <f t="shared" ca="1" si="432"/>
        <v>0</v>
      </c>
      <c r="T1373" s="325">
        <v>1689769.86</v>
      </c>
      <c r="U1373" s="92">
        <v>583</v>
      </c>
      <c r="W1373" s="92">
        <f>SUMIF('O&amp;M'!$B$3:$B$87,TOTALCO!U1373,'O&amp;M'!$G$3:$G$87)+SUMIF('O&amp;M'!$B$3:$B$87,TOTALCO!V1373,'O&amp;M'!$G$3:$G$87)</f>
        <v>1689769.86</v>
      </c>
      <c r="X1373" s="85">
        <f t="shared" ca="1" si="433"/>
        <v>0</v>
      </c>
      <c r="Y1373" s="50" t="s">
        <v>454</v>
      </c>
    </row>
    <row r="1374" spans="1:25" x14ac:dyDescent="0.2">
      <c r="A1374" s="33">
        <v>5</v>
      </c>
      <c r="B1374" s="33" t="s">
        <v>543</v>
      </c>
      <c r="C1374" s="58" t="s">
        <v>1037</v>
      </c>
      <c r="D1374" s="66">
        <f t="shared" ca="1" si="426"/>
        <v>101763.76000000001</v>
      </c>
      <c r="F1374" s="60">
        <f t="shared" ca="1" si="427"/>
        <v>95744.096213663797</v>
      </c>
      <c r="H1374" s="60">
        <f t="shared" ca="1" si="428"/>
        <v>5701.4013037007026</v>
      </c>
      <c r="I1374" s="60">
        <f t="shared" ca="1" si="429"/>
        <v>318.26248263550133</v>
      </c>
      <c r="L1374" s="60">
        <f t="shared" ca="1" si="430"/>
        <v>11.501280790537859</v>
      </c>
      <c r="M1374" s="60"/>
      <c r="N1374" s="60">
        <f t="shared" ca="1" si="431"/>
        <v>306.76120184496347</v>
      </c>
      <c r="O1374" s="60">
        <f t="shared" ca="1" si="432"/>
        <v>263.61253681683132</v>
      </c>
      <c r="P1374" s="60">
        <f t="shared" ca="1" si="432"/>
        <v>43.148665028132122</v>
      </c>
      <c r="Q1374" s="60">
        <f t="shared" ca="1" si="432"/>
        <v>0</v>
      </c>
      <c r="T1374" s="325">
        <v>101763.76</v>
      </c>
      <c r="U1374" s="92">
        <v>584</v>
      </c>
      <c r="W1374" s="92">
        <f>SUMIF('O&amp;M'!$B$3:$B$87,TOTALCO!U1374,'O&amp;M'!$G$3:$G$87)+SUMIF('O&amp;M'!$B$3:$B$87,TOTALCO!V1374,'O&amp;M'!$G$3:$G$87)</f>
        <v>101763.76</v>
      </c>
      <c r="X1374" s="85">
        <f t="shared" ca="1" si="433"/>
        <v>0</v>
      </c>
      <c r="Y1374" s="50" t="s">
        <v>454</v>
      </c>
    </row>
    <row r="1375" spans="1:25" x14ac:dyDescent="0.2">
      <c r="A1375" s="33">
        <v>6</v>
      </c>
      <c r="B1375" s="33" t="s">
        <v>544</v>
      </c>
      <c r="C1375" s="58" t="s">
        <v>1037</v>
      </c>
      <c r="D1375" s="66">
        <f t="shared" ca="1" si="426"/>
        <v>2664.27</v>
      </c>
      <c r="F1375" s="60">
        <f t="shared" ca="1" si="427"/>
        <v>2506.6695965162653</v>
      </c>
      <c r="H1375" s="60">
        <f t="shared" ca="1" si="428"/>
        <v>149.26799531985327</v>
      </c>
      <c r="I1375" s="60">
        <f t="shared" ca="1" si="429"/>
        <v>8.3324081638815919</v>
      </c>
      <c r="L1375" s="60">
        <f t="shared" ca="1" si="430"/>
        <v>0.30111424117786434</v>
      </c>
      <c r="M1375" s="60"/>
      <c r="N1375" s="60">
        <f t="shared" ca="1" si="431"/>
        <v>8.0312939227037283</v>
      </c>
      <c r="O1375" s="60">
        <f t="shared" ca="1" si="432"/>
        <v>6.9016216918967936</v>
      </c>
      <c r="P1375" s="60">
        <f t="shared" ca="1" si="432"/>
        <v>1.1296722308069354</v>
      </c>
      <c r="Q1375" s="60">
        <f t="shared" ca="1" si="432"/>
        <v>0</v>
      </c>
      <c r="T1375" s="325">
        <v>2664.27</v>
      </c>
      <c r="U1375" s="92">
        <v>585</v>
      </c>
      <c r="W1375" s="92">
        <f>SUMIF('O&amp;M'!$B$3:$B$87,TOTALCO!U1375,'O&amp;M'!$G$3:$G$87)+SUMIF('O&amp;M'!$B$3:$B$87,TOTALCO!V1375,'O&amp;M'!$G$3:$G$87)</f>
        <v>2664.27</v>
      </c>
      <c r="X1375" s="85">
        <f t="shared" ca="1" si="433"/>
        <v>0</v>
      </c>
      <c r="Y1375" s="50" t="s">
        <v>454</v>
      </c>
    </row>
    <row r="1376" spans="1:25" x14ac:dyDescent="0.2">
      <c r="A1376" s="33">
        <v>7</v>
      </c>
      <c r="B1376" s="33" t="s">
        <v>545</v>
      </c>
      <c r="C1376" s="58" t="s">
        <v>1037</v>
      </c>
      <c r="D1376" s="66">
        <f t="shared" ca="1" si="426"/>
        <v>4583824.42</v>
      </c>
      <c r="F1376" s="60">
        <f t="shared" ca="1" si="427"/>
        <v>4312676.0085812639</v>
      </c>
      <c r="H1376" s="60">
        <f t="shared" ca="1" si="428"/>
        <v>256812.66616055771</v>
      </c>
      <c r="I1376" s="60">
        <f t="shared" ca="1" si="429"/>
        <v>14335.745258178717</v>
      </c>
      <c r="L1376" s="60">
        <f t="shared" ca="1" si="430"/>
        <v>518.06116193961725</v>
      </c>
      <c r="M1376" s="60"/>
      <c r="N1376" s="60">
        <f t="shared" ca="1" si="431"/>
        <v>13817.6840962391</v>
      </c>
      <c r="O1376" s="60">
        <f t="shared" ca="1" si="432"/>
        <v>11874.105120321228</v>
      </c>
      <c r="P1376" s="60">
        <f t="shared" ca="1" si="432"/>
        <v>1943.578975917871</v>
      </c>
      <c r="Q1376" s="60">
        <f t="shared" ca="1" si="432"/>
        <v>0</v>
      </c>
      <c r="T1376" s="325">
        <v>4583824.42</v>
      </c>
      <c r="U1376" s="92">
        <v>586</v>
      </c>
      <c r="W1376" s="92">
        <f>SUMIF('O&amp;M'!$B$3:$B$87,TOTALCO!U1376,'O&amp;M'!$G$3:$G$87)+SUMIF('O&amp;M'!$B$3:$B$87,TOTALCO!V1376,'O&amp;M'!$G$3:$G$87)</f>
        <v>4583824.42</v>
      </c>
      <c r="X1376" s="85">
        <f t="shared" ca="1" si="433"/>
        <v>0</v>
      </c>
      <c r="Y1376" s="50" t="s">
        <v>454</v>
      </c>
    </row>
    <row r="1377" spans="1:25" x14ac:dyDescent="0.2">
      <c r="A1377" s="33">
        <v>8</v>
      </c>
      <c r="B1377" s="33" t="s">
        <v>546</v>
      </c>
      <c r="C1377" s="58" t="s">
        <v>1037</v>
      </c>
      <c r="D1377" s="66">
        <f t="shared" ca="1" si="426"/>
        <v>1733.3200000000004</v>
      </c>
      <c r="F1377" s="60">
        <f t="shared" ca="1" si="427"/>
        <v>1630.7883754400168</v>
      </c>
      <c r="H1377" s="60">
        <f t="shared" ca="1" si="428"/>
        <v>97.110728885513893</v>
      </c>
      <c r="I1377" s="60">
        <f t="shared" ca="1" si="429"/>
        <v>5.4208956744696462</v>
      </c>
      <c r="L1377" s="60">
        <f t="shared" ca="1" si="430"/>
        <v>0.19589881525461603</v>
      </c>
      <c r="M1377" s="60"/>
      <c r="N1377" s="60">
        <f t="shared" ca="1" si="431"/>
        <v>5.2249968592150298</v>
      </c>
      <c r="O1377" s="60">
        <f t="shared" ca="1" si="432"/>
        <v>4.490055028581394</v>
      </c>
      <c r="P1377" s="60">
        <f t="shared" ca="1" si="432"/>
        <v>0.73494183063363594</v>
      </c>
      <c r="Q1377" s="60">
        <f t="shared" ca="1" si="432"/>
        <v>0</v>
      </c>
      <c r="T1377" s="325">
        <v>1733.3200000000002</v>
      </c>
      <c r="U1377" s="92">
        <v>587</v>
      </c>
      <c r="W1377" s="92">
        <f>SUMIF('O&amp;M'!$B$3:$B$87,TOTALCO!U1377,'O&amp;M'!$G$3:$G$87)+SUMIF('O&amp;M'!$B$3:$B$87,TOTALCO!V1377,'O&amp;M'!$G$3:$G$87)</f>
        <v>1733.3200000000002</v>
      </c>
      <c r="X1377" s="85">
        <f t="shared" ca="1" si="433"/>
        <v>0</v>
      </c>
      <c r="Y1377" s="50" t="s">
        <v>454</v>
      </c>
    </row>
    <row r="1378" spans="1:25" x14ac:dyDescent="0.2">
      <c r="A1378" s="33">
        <v>9</v>
      </c>
      <c r="B1378" s="33" t="s">
        <v>547</v>
      </c>
      <c r="C1378" s="58" t="s">
        <v>1037</v>
      </c>
      <c r="D1378" s="66">
        <f t="shared" ca="1" si="426"/>
        <v>2781961.52</v>
      </c>
      <c r="F1378" s="60">
        <f t="shared" ca="1" si="427"/>
        <v>2617399.2729198528</v>
      </c>
      <c r="H1378" s="60">
        <f t="shared" ca="1" si="428"/>
        <v>155861.7629397065</v>
      </c>
      <c r="I1378" s="60">
        <f t="shared" ca="1" si="429"/>
        <v>8700.484140440889</v>
      </c>
      <c r="L1378" s="60">
        <f t="shared" ca="1" si="430"/>
        <v>314.41566811202244</v>
      </c>
      <c r="M1378" s="60"/>
      <c r="N1378" s="60">
        <f t="shared" ca="1" si="431"/>
        <v>8386.0684723288668</v>
      </c>
      <c r="O1378" s="60">
        <f t="shared" ca="1" si="432"/>
        <v>7206.49407622132</v>
      </c>
      <c r="P1378" s="60">
        <f t="shared" ca="1" si="432"/>
        <v>1179.5743961075464</v>
      </c>
      <c r="Q1378" s="60">
        <f t="shared" ca="1" si="432"/>
        <v>0</v>
      </c>
      <c r="T1378" s="325">
        <v>2781961.52</v>
      </c>
      <c r="U1378" s="92">
        <v>588</v>
      </c>
      <c r="W1378" s="92">
        <f>SUMIF('O&amp;M'!$B$3:$B$87,TOTALCO!U1378,'O&amp;M'!$G$3:$G$87)+SUMIF('O&amp;M'!$B$3:$B$87,TOTALCO!V1378,'O&amp;M'!$G$3:$G$87)</f>
        <v>2781961.52</v>
      </c>
      <c r="X1378" s="85">
        <f t="shared" ca="1" si="433"/>
        <v>0</v>
      </c>
      <c r="Y1378" s="50" t="s">
        <v>454</v>
      </c>
    </row>
    <row r="1379" spans="1:25" x14ac:dyDescent="0.2">
      <c r="A1379" s="33">
        <v>10</v>
      </c>
      <c r="B1379" s="33" t="s">
        <v>548</v>
      </c>
      <c r="C1379" s="58" t="s">
        <v>1037</v>
      </c>
      <c r="D1379" s="66">
        <f t="shared" ca="1" si="426"/>
        <v>0</v>
      </c>
      <c r="F1379" s="60">
        <f t="shared" ca="1" si="427"/>
        <v>0</v>
      </c>
      <c r="H1379" s="60">
        <f t="shared" ca="1" si="428"/>
        <v>0</v>
      </c>
      <c r="I1379" s="60">
        <f t="shared" ca="1" si="429"/>
        <v>0</v>
      </c>
      <c r="L1379" s="60">
        <f t="shared" ca="1" si="430"/>
        <v>0</v>
      </c>
      <c r="M1379" s="60"/>
      <c r="N1379" s="60">
        <f t="shared" ca="1" si="431"/>
        <v>0</v>
      </c>
      <c r="O1379" s="60">
        <f t="shared" ca="1" si="432"/>
        <v>0</v>
      </c>
      <c r="P1379" s="60">
        <f t="shared" ca="1" si="432"/>
        <v>0</v>
      </c>
      <c r="Q1379" s="60">
        <f t="shared" ca="1" si="432"/>
        <v>0</v>
      </c>
      <c r="T1379" s="325">
        <v>0</v>
      </c>
      <c r="U1379" s="92">
        <v>589</v>
      </c>
      <c r="W1379" s="92">
        <f>SUMIF('O&amp;M'!$B$3:$B$87,TOTALCO!U1379,'O&amp;M'!$G$3:$G$87)+SUMIF('O&amp;M'!$B$3:$B$87,TOTALCO!V1379,'O&amp;M'!$G$3:$G$87)</f>
        <v>0</v>
      </c>
      <c r="X1379" s="85">
        <f t="shared" ca="1" si="433"/>
        <v>0</v>
      </c>
      <c r="Y1379" s="50" t="s">
        <v>454</v>
      </c>
    </row>
    <row r="1380" spans="1:25" x14ac:dyDescent="0.2">
      <c r="A1380" s="33">
        <v>11</v>
      </c>
      <c r="B1380" s="33" t="s">
        <v>549</v>
      </c>
      <c r="C1380" s="58" t="s">
        <v>1037</v>
      </c>
      <c r="D1380" s="66">
        <f t="shared" ca="1" si="426"/>
        <v>89122.07</v>
      </c>
      <c r="F1380" s="60">
        <f t="shared" ca="1" si="427"/>
        <v>83850.204088772676</v>
      </c>
      <c r="H1380" s="60">
        <f t="shared" ca="1" si="428"/>
        <v>4993.1398573176275</v>
      </c>
      <c r="I1380" s="60">
        <f t="shared" ca="1" si="429"/>
        <v>278.72605390971142</v>
      </c>
      <c r="L1380" s="60">
        <f t="shared" ca="1" si="430"/>
        <v>10.072524361363717</v>
      </c>
      <c r="M1380" s="60"/>
      <c r="N1380" s="60">
        <f t="shared" ca="1" si="431"/>
        <v>268.65352954834771</v>
      </c>
      <c r="O1380" s="60">
        <f t="shared" ca="1" si="432"/>
        <v>230.86504428558086</v>
      </c>
      <c r="P1380" s="60">
        <f t="shared" ca="1" si="432"/>
        <v>37.788485262766855</v>
      </c>
      <c r="Q1380" s="60">
        <f t="shared" ca="1" si="432"/>
        <v>0</v>
      </c>
      <c r="T1380" s="325">
        <v>89122.07</v>
      </c>
      <c r="U1380" s="92">
        <v>590</v>
      </c>
      <c r="W1380" s="92">
        <f>SUMIF('O&amp;M'!$B$3:$B$87,TOTALCO!U1380,'O&amp;M'!$G$3:$G$87)+SUMIF('O&amp;M'!$B$3:$B$87,TOTALCO!V1380,'O&amp;M'!$G$3:$G$87)</f>
        <v>89122.07</v>
      </c>
      <c r="X1380" s="85">
        <f t="shared" ca="1" si="433"/>
        <v>0</v>
      </c>
      <c r="Y1380" s="50" t="s">
        <v>454</v>
      </c>
    </row>
    <row r="1381" spans="1:25" x14ac:dyDescent="0.2">
      <c r="A1381" s="33">
        <v>12</v>
      </c>
      <c r="B1381" s="113" t="s">
        <v>1052</v>
      </c>
      <c r="C1381" s="58" t="s">
        <v>1037</v>
      </c>
      <c r="D1381" s="66">
        <f ca="1">SUM(F1381:I1381)+K1381</f>
        <v>0</v>
      </c>
      <c r="F1381" s="60">
        <f t="shared" ca="1" si="427"/>
        <v>0</v>
      </c>
      <c r="H1381" s="60">
        <f t="shared" ca="1" si="428"/>
        <v>0</v>
      </c>
      <c r="I1381" s="60">
        <f ca="1">(L1381+M1381+N1381)</f>
        <v>0</v>
      </c>
      <c r="L1381" s="60">
        <f t="shared" ca="1" si="430"/>
        <v>0</v>
      </c>
      <c r="M1381" s="60"/>
      <c r="N1381" s="60">
        <f ca="1">SUM(O1381:Q1381)</f>
        <v>0</v>
      </c>
      <c r="O1381" s="60">
        <f t="shared" ca="1" si="432"/>
        <v>0</v>
      </c>
      <c r="P1381" s="60">
        <f t="shared" ca="1" si="432"/>
        <v>0</v>
      </c>
      <c r="Q1381" s="60">
        <f t="shared" ca="1" si="432"/>
        <v>0</v>
      </c>
      <c r="T1381" s="325">
        <v>0</v>
      </c>
      <c r="U1381" s="92">
        <v>591</v>
      </c>
      <c r="W1381" s="92">
        <f>SUMIF('O&amp;M'!$B$3:$B$87,TOTALCO!U1381,'O&amp;M'!$G$3:$G$87)+SUMIF('O&amp;M'!$B$3:$B$87,TOTALCO!V1381,'O&amp;M'!$G$3:$G$87)</f>
        <v>0</v>
      </c>
      <c r="X1381" s="85">
        <f t="shared" ca="1" si="433"/>
        <v>0</v>
      </c>
      <c r="Y1381" s="50" t="s">
        <v>454</v>
      </c>
    </row>
    <row r="1382" spans="1:25" x14ac:dyDescent="0.2">
      <c r="A1382" s="33">
        <v>13</v>
      </c>
      <c r="B1382" s="33" t="s">
        <v>550</v>
      </c>
      <c r="C1382" s="58" t="s">
        <v>1037</v>
      </c>
      <c r="D1382" s="66">
        <f t="shared" ca="1" si="426"/>
        <v>350790.98000000004</v>
      </c>
      <c r="F1382" s="60">
        <f t="shared" ca="1" si="427"/>
        <v>330040.53053862607</v>
      </c>
      <c r="H1382" s="60">
        <f t="shared" ca="1" si="428"/>
        <v>19653.36334563942</v>
      </c>
      <c r="I1382" s="60">
        <f t="shared" ca="1" si="429"/>
        <v>1097.0861157345255</v>
      </c>
      <c r="L1382" s="60">
        <f t="shared" ca="1" si="430"/>
        <v>39.64619192301808</v>
      </c>
      <c r="M1382" s="60"/>
      <c r="N1382" s="60">
        <f t="shared" ca="1" si="431"/>
        <v>1057.4399238115075</v>
      </c>
      <c r="O1382" s="60">
        <f t="shared" ca="1" si="432"/>
        <v>908.70168447257004</v>
      </c>
      <c r="P1382" s="60">
        <f t="shared" ca="1" si="432"/>
        <v>148.73823933893749</v>
      </c>
      <c r="Q1382" s="60">
        <f t="shared" ca="1" si="432"/>
        <v>0</v>
      </c>
      <c r="T1382" s="325">
        <v>350790.98</v>
      </c>
      <c r="U1382" s="92">
        <v>592</v>
      </c>
      <c r="W1382" s="92">
        <f>SUMIF('O&amp;M'!$B$3:$B$87,TOTALCO!U1382,'O&amp;M'!$G$3:$G$87)+SUMIF('O&amp;M'!$B$3:$B$87,TOTALCO!V1382,'O&amp;M'!$G$3:$G$87)</f>
        <v>350790.98</v>
      </c>
      <c r="X1382" s="85">
        <f t="shared" ca="1" si="433"/>
        <v>0</v>
      </c>
      <c r="Y1382" s="50" t="s">
        <v>454</v>
      </c>
    </row>
    <row r="1383" spans="1:25" x14ac:dyDescent="0.2">
      <c r="A1383" s="33">
        <v>14</v>
      </c>
      <c r="B1383" s="33" t="s">
        <v>551</v>
      </c>
      <c r="C1383" s="58" t="s">
        <v>1037</v>
      </c>
      <c r="D1383" s="66">
        <f t="shared" ca="1" si="426"/>
        <v>6644011.8900000015</v>
      </c>
      <c r="F1383" s="60">
        <f t="shared" ca="1" si="427"/>
        <v>6250996.5594911817</v>
      </c>
      <c r="H1383" s="60">
        <f t="shared" ca="1" si="428"/>
        <v>372236.42337359558</v>
      </c>
      <c r="I1383" s="60">
        <f t="shared" ca="1" si="429"/>
        <v>20778.907135223675</v>
      </c>
      <c r="L1383" s="60">
        <f t="shared" ca="1" si="430"/>
        <v>750.90234797301264</v>
      </c>
      <c r="M1383" s="60"/>
      <c r="N1383" s="60">
        <f t="shared" ca="1" si="431"/>
        <v>20028.004787250662</v>
      </c>
      <c r="O1383" s="60">
        <f t="shared" ca="1" si="432"/>
        <v>17210.889504909119</v>
      </c>
      <c r="P1383" s="60">
        <f t="shared" ca="1" si="432"/>
        <v>2817.1152823415432</v>
      </c>
      <c r="Q1383" s="60">
        <f t="shared" ca="1" si="432"/>
        <v>0</v>
      </c>
      <c r="T1383" s="325">
        <v>6644011.8900000006</v>
      </c>
      <c r="U1383" s="92">
        <v>593</v>
      </c>
      <c r="W1383" s="92">
        <f>SUMIF('O&amp;M'!$B$3:$B$87,TOTALCO!U1383,'O&amp;M'!$G$3:$G$87)+SUMIF('O&amp;M'!$B$3:$B$87,TOTALCO!V1383,'O&amp;M'!$G$3:$G$87)</f>
        <v>6644011.8900000006</v>
      </c>
      <c r="X1383" s="85">
        <f t="shared" ca="1" si="433"/>
        <v>0</v>
      </c>
      <c r="Y1383" s="50" t="s">
        <v>454</v>
      </c>
    </row>
    <row r="1384" spans="1:25" x14ac:dyDescent="0.2">
      <c r="A1384" s="33">
        <v>15</v>
      </c>
      <c r="B1384" s="33" t="s">
        <v>552</v>
      </c>
      <c r="C1384" s="58" t="s">
        <v>1037</v>
      </c>
      <c r="D1384" s="66">
        <f t="shared" ca="1" si="426"/>
        <v>178369.87</v>
      </c>
      <c r="F1384" s="60">
        <f t="shared" ca="1" si="427"/>
        <v>167818.70083120654</v>
      </c>
      <c r="H1384" s="60">
        <f t="shared" ca="1" si="428"/>
        <v>9993.323844941704</v>
      </c>
      <c r="I1384" s="60">
        <f t="shared" ca="1" si="429"/>
        <v>557.84532385174862</v>
      </c>
      <c r="L1384" s="60">
        <f t="shared" ca="1" si="430"/>
        <v>20.15925865398188</v>
      </c>
      <c r="M1384" s="60"/>
      <c r="N1384" s="60">
        <f t="shared" ca="1" si="431"/>
        <v>537.68606519776677</v>
      </c>
      <c r="O1384" s="60">
        <f t="shared" ca="1" si="432"/>
        <v>462.05578412578723</v>
      </c>
      <c r="P1384" s="60">
        <f t="shared" ca="1" si="432"/>
        <v>75.630281071979581</v>
      </c>
      <c r="Q1384" s="60">
        <f t="shared" ca="1" si="432"/>
        <v>0</v>
      </c>
      <c r="T1384" s="325">
        <v>178369.87</v>
      </c>
      <c r="U1384" s="92">
        <v>594</v>
      </c>
      <c r="W1384" s="92">
        <f>SUMIF('O&amp;M'!$B$3:$B$87,TOTALCO!U1384,'O&amp;M'!$G$3:$G$87)+SUMIF('O&amp;M'!$B$3:$B$87,TOTALCO!V1384,'O&amp;M'!$G$3:$G$87)</f>
        <v>178369.87</v>
      </c>
      <c r="X1384" s="85">
        <f t="shared" ca="1" si="433"/>
        <v>0</v>
      </c>
      <c r="Y1384" s="50" t="s">
        <v>454</v>
      </c>
    </row>
    <row r="1385" spans="1:25" x14ac:dyDescent="0.2">
      <c r="A1385" s="33">
        <v>16</v>
      </c>
      <c r="B1385" s="33" t="s">
        <v>553</v>
      </c>
      <c r="C1385" s="58" t="s">
        <v>1037</v>
      </c>
      <c r="D1385" s="66">
        <f t="shared" ca="1" si="426"/>
        <v>72638.320000000007</v>
      </c>
      <c r="F1385" s="60">
        <f t="shared" ca="1" si="427"/>
        <v>68341.522550649664</v>
      </c>
      <c r="H1385" s="60">
        <f t="shared" ca="1" si="428"/>
        <v>4069.6237280012929</v>
      </c>
      <c r="I1385" s="60">
        <f t="shared" ca="1" si="429"/>
        <v>227.17372134905384</v>
      </c>
      <c r="L1385" s="60">
        <f t="shared" ca="1" si="430"/>
        <v>8.209540552284448</v>
      </c>
      <c r="M1385" s="60"/>
      <c r="N1385" s="60">
        <f t="shared" ca="1" si="431"/>
        <v>218.9641807967694</v>
      </c>
      <c r="O1385" s="60">
        <f t="shared" ca="1" si="432"/>
        <v>188.16494010552262</v>
      </c>
      <c r="P1385" s="60">
        <f t="shared" ca="1" si="432"/>
        <v>30.799240691246769</v>
      </c>
      <c r="Q1385" s="60">
        <f t="shared" ca="1" si="432"/>
        <v>0</v>
      </c>
      <c r="T1385" s="325">
        <v>72638.320000000007</v>
      </c>
      <c r="U1385" s="92">
        <v>595</v>
      </c>
      <c r="W1385" s="92">
        <f>SUMIF('O&amp;M'!$B$3:$B$87,TOTALCO!U1385,'O&amp;M'!$G$3:$G$87)+SUMIF('O&amp;M'!$B$3:$B$87,TOTALCO!V1385,'O&amp;M'!$G$3:$G$87)</f>
        <v>72638.320000000007</v>
      </c>
      <c r="X1385" s="85">
        <f t="shared" ca="1" si="433"/>
        <v>0</v>
      </c>
      <c r="Y1385" s="50" t="s">
        <v>454</v>
      </c>
    </row>
    <row r="1386" spans="1:25" x14ac:dyDescent="0.2">
      <c r="A1386" s="33">
        <v>17</v>
      </c>
      <c r="B1386" s="33" t="s">
        <v>554</v>
      </c>
      <c r="C1386" s="58" t="s">
        <v>1037</v>
      </c>
      <c r="D1386" s="66">
        <f t="shared" ca="1" si="426"/>
        <v>0</v>
      </c>
      <c r="F1386" s="60">
        <f t="shared" ca="1" si="427"/>
        <v>0</v>
      </c>
      <c r="H1386" s="60">
        <f t="shared" ca="1" si="428"/>
        <v>0</v>
      </c>
      <c r="I1386" s="60">
        <f t="shared" ca="1" si="429"/>
        <v>0</v>
      </c>
      <c r="L1386" s="60">
        <f t="shared" ca="1" si="430"/>
        <v>0</v>
      </c>
      <c r="M1386" s="60"/>
      <c r="N1386" s="60">
        <f t="shared" ca="1" si="431"/>
        <v>0</v>
      </c>
      <c r="O1386" s="60">
        <f t="shared" ca="1" si="432"/>
        <v>0</v>
      </c>
      <c r="P1386" s="60">
        <f t="shared" ca="1" si="432"/>
        <v>0</v>
      </c>
      <c r="Q1386" s="60">
        <f t="shared" ca="1" si="432"/>
        <v>0</v>
      </c>
      <c r="T1386" s="325">
        <v>0</v>
      </c>
      <c r="U1386" s="92">
        <v>596</v>
      </c>
      <c r="W1386" s="92">
        <f>SUMIF('O&amp;M'!$B$3:$B$87,TOTALCO!U1386,'O&amp;M'!$G$3:$G$87)+SUMIF('O&amp;M'!$B$3:$B$87,TOTALCO!V1386,'O&amp;M'!$G$3:$G$87)</f>
        <v>0</v>
      </c>
      <c r="X1386" s="85">
        <f t="shared" ca="1" si="433"/>
        <v>0</v>
      </c>
      <c r="Y1386" s="50" t="s">
        <v>454</v>
      </c>
    </row>
    <row r="1387" spans="1:25" x14ac:dyDescent="0.2">
      <c r="A1387" s="33">
        <v>18</v>
      </c>
      <c r="B1387" s="33" t="s">
        <v>555</v>
      </c>
      <c r="C1387" s="58" t="s">
        <v>1037</v>
      </c>
      <c r="D1387" s="66">
        <f t="shared" ca="1" si="426"/>
        <v>0</v>
      </c>
      <c r="F1387" s="60">
        <f t="shared" ca="1" si="427"/>
        <v>0</v>
      </c>
      <c r="H1387" s="60">
        <f t="shared" ca="1" si="428"/>
        <v>0</v>
      </c>
      <c r="I1387" s="60">
        <f t="shared" ca="1" si="429"/>
        <v>0</v>
      </c>
      <c r="L1387" s="60">
        <f t="shared" ca="1" si="430"/>
        <v>0</v>
      </c>
      <c r="M1387" s="60"/>
      <c r="N1387" s="60">
        <f t="shared" ca="1" si="431"/>
        <v>0</v>
      </c>
      <c r="O1387" s="60">
        <f t="shared" ca="1" si="432"/>
        <v>0</v>
      </c>
      <c r="P1387" s="60">
        <f t="shared" ca="1" si="432"/>
        <v>0</v>
      </c>
      <c r="Q1387" s="60">
        <f t="shared" ca="1" si="432"/>
        <v>0</v>
      </c>
      <c r="T1387" s="325">
        <v>0</v>
      </c>
      <c r="U1387" s="92">
        <v>597</v>
      </c>
      <c r="W1387" s="92">
        <f>SUMIF('O&amp;M'!$B$3:$B$87,TOTALCO!U1387,'O&amp;M'!$G$3:$G$87)+SUMIF('O&amp;M'!$B$3:$B$87,TOTALCO!V1387,'O&amp;M'!$G$3:$G$87)</f>
        <v>0</v>
      </c>
      <c r="X1387" s="85">
        <f t="shared" ca="1" si="433"/>
        <v>0</v>
      </c>
      <c r="Y1387" s="50" t="s">
        <v>454</v>
      </c>
    </row>
    <row r="1388" spans="1:25" x14ac:dyDescent="0.2">
      <c r="A1388" s="33">
        <v>19</v>
      </c>
      <c r="B1388" s="33" t="s">
        <v>556</v>
      </c>
      <c r="C1388" s="58" t="s">
        <v>1037</v>
      </c>
      <c r="D1388" s="66">
        <f t="shared" ca="1" si="426"/>
        <v>70555.56</v>
      </c>
      <c r="F1388" s="60">
        <f t="shared" ca="1" si="427"/>
        <v>66381.964709725042</v>
      </c>
      <c r="H1388" s="60">
        <f t="shared" ca="1" si="428"/>
        <v>3952.9353255749702</v>
      </c>
      <c r="I1388" s="60">
        <f t="shared" ca="1" si="429"/>
        <v>220.65996469998822</v>
      </c>
      <c r="L1388" s="60">
        <f t="shared" ca="1" si="430"/>
        <v>7.974148232078309</v>
      </c>
      <c r="M1388" s="60"/>
      <c r="N1388" s="60">
        <f t="shared" ca="1" si="431"/>
        <v>212.68581646790992</v>
      </c>
      <c r="O1388" s="60">
        <f t="shared" ca="1" si="432"/>
        <v>182.76968302008646</v>
      </c>
      <c r="P1388" s="60">
        <f t="shared" ca="1" si="432"/>
        <v>29.916133447823444</v>
      </c>
      <c r="Q1388" s="60">
        <f t="shared" ca="1" si="432"/>
        <v>0</v>
      </c>
      <c r="T1388" s="325">
        <v>70555.56</v>
      </c>
      <c r="U1388" s="92">
        <v>598</v>
      </c>
      <c r="W1388" s="92">
        <f>SUMIF('O&amp;M'!$B$3:$B$87,TOTALCO!U1388,'O&amp;M'!$G$3:$G$87)+SUMIF('O&amp;M'!$B$3:$B$87,TOTALCO!V1388,'O&amp;M'!$G$3:$G$87)</f>
        <v>70555.56</v>
      </c>
      <c r="X1388" s="85">
        <f t="shared" ca="1" si="433"/>
        <v>0</v>
      </c>
      <c r="Y1388" s="50" t="s">
        <v>454</v>
      </c>
    </row>
    <row r="1389" spans="1:25" x14ac:dyDescent="0.2">
      <c r="C1389" s="58"/>
      <c r="T1389" s="58"/>
      <c r="U1389" s="92"/>
      <c r="W1389" s="50"/>
      <c r="X1389" s="85"/>
      <c r="Y1389" s="50"/>
    </row>
    <row r="1390" spans="1:25" x14ac:dyDescent="0.2">
      <c r="A1390" s="60">
        <v>20</v>
      </c>
      <c r="B1390" s="48" t="s">
        <v>441</v>
      </c>
      <c r="C1390" s="51" t="s">
        <v>1037</v>
      </c>
      <c r="D1390" s="66">
        <f ca="1">SUM(F1390:I1390)+K1390</f>
        <v>19510181.420000006</v>
      </c>
      <c r="F1390" s="60">
        <f ca="1">SUM(F1370:F1388)</f>
        <v>18356089.505954929</v>
      </c>
      <c r="H1390" s="60">
        <f ca="1">SUM(H1370:H1388)</f>
        <v>1093074.5265645182</v>
      </c>
      <c r="I1390" s="60">
        <f ca="1">SUM(I1370:I1388)</f>
        <v>61017.387480555277</v>
      </c>
      <c r="L1390" s="60">
        <f ca="1">SUM(L1370:L1388)</f>
        <v>2205.0293226759177</v>
      </c>
      <c r="M1390" s="60"/>
      <c r="N1390" s="60">
        <f ca="1">SUM(O1390:Q1390)</f>
        <v>58812.358157879353</v>
      </c>
      <c r="O1390" s="60">
        <f ca="1">SUM(O1370:O1388)</f>
        <v>50539.881956826372</v>
      </c>
      <c r="P1390" s="60">
        <f ca="1">SUM(P1370:P1388)</f>
        <v>8272.4762010529794</v>
      </c>
      <c r="Q1390" s="60">
        <f ca="1">SUM(Q1370:Q1388)</f>
        <v>0</v>
      </c>
      <c r="T1390" s="58"/>
      <c r="U1390" s="92"/>
      <c r="W1390" s="50"/>
      <c r="X1390" s="85"/>
      <c r="Y1390" s="50"/>
    </row>
    <row r="1391" spans="1:25" x14ac:dyDescent="0.2">
      <c r="C1391" s="58"/>
      <c r="T1391" s="58"/>
      <c r="U1391" s="92"/>
      <c r="W1391" s="50"/>
      <c r="X1391" s="85"/>
      <c r="Y1391" s="50"/>
    </row>
    <row r="1392" spans="1:25" x14ac:dyDescent="0.2">
      <c r="A1392" s="60">
        <v>21</v>
      </c>
      <c r="B1392" s="48" t="s">
        <v>442</v>
      </c>
      <c r="D1392" s="66">
        <f ca="1">SUM(F1392:I1392)+K1392</f>
        <v>73385510.699999988</v>
      </c>
      <c r="F1392" s="60">
        <f ca="1">F1348+F1367+F1390</f>
        <v>64434373.699271724</v>
      </c>
      <c r="H1392" s="60">
        <f ca="1">H1348+H1367+H1390</f>
        <v>4125280.2933688816</v>
      </c>
      <c r="I1392" s="60">
        <f ca="1">(L1392+M1392+N1392)</f>
        <v>4825856.7073593931</v>
      </c>
      <c r="L1392" s="60">
        <f ca="1">L1348+L1367+L1390</f>
        <v>2550.4980684944144</v>
      </c>
      <c r="M1392" s="60"/>
      <c r="N1392" s="60">
        <f ca="1">SUM(O1392:Q1392)</f>
        <v>4823306.2092908984</v>
      </c>
      <c r="O1392" s="60">
        <f ca="1">O1348+O1367+O1390</f>
        <v>1563830.0073313776</v>
      </c>
      <c r="P1392" s="60">
        <f ca="1">P1348+P1367+P1390</f>
        <v>3259476.2019595206</v>
      </c>
      <c r="Q1392" s="60">
        <f ca="1">Q1348+Q1367+Q1390</f>
        <v>0</v>
      </c>
      <c r="U1392" s="91"/>
      <c r="W1392" s="50"/>
    </row>
    <row r="1393" spans="1:25" x14ac:dyDescent="0.2">
      <c r="A1393" s="60"/>
      <c r="B1393" s="48"/>
      <c r="D1393" s="66"/>
      <c r="F1393" s="60"/>
      <c r="H1393" s="60"/>
      <c r="I1393" s="60"/>
      <c r="L1393" s="60"/>
      <c r="M1393" s="60"/>
      <c r="N1393" s="60"/>
      <c r="O1393" s="60"/>
      <c r="P1393" s="60"/>
      <c r="Q1393" s="60"/>
      <c r="U1393" s="91"/>
      <c r="W1393" s="50"/>
    </row>
    <row r="1394" spans="1:25" x14ac:dyDescent="0.2">
      <c r="A1394" s="60"/>
      <c r="B1394" s="48"/>
      <c r="D1394" s="66"/>
      <c r="F1394" s="60"/>
      <c r="H1394" s="60"/>
      <c r="I1394" s="60"/>
      <c r="L1394" s="60"/>
      <c r="M1394" s="60"/>
      <c r="N1394" s="60"/>
      <c r="O1394" s="60"/>
      <c r="P1394" s="60"/>
      <c r="Q1394" s="60"/>
      <c r="U1394" s="91"/>
      <c r="W1394" s="50"/>
    </row>
    <row r="1395" spans="1:25" x14ac:dyDescent="0.2">
      <c r="A1395" s="60"/>
      <c r="B1395" s="48"/>
      <c r="D1395" s="66"/>
      <c r="F1395" s="60"/>
      <c r="H1395" s="60"/>
      <c r="I1395" s="60"/>
      <c r="L1395" s="60"/>
      <c r="M1395" s="60"/>
      <c r="N1395" s="60"/>
      <c r="O1395" s="60"/>
      <c r="P1395" s="60"/>
      <c r="Q1395" s="60"/>
      <c r="U1395" s="91"/>
      <c r="W1395" s="50"/>
    </row>
    <row r="1396" spans="1:25" x14ac:dyDescent="0.2">
      <c r="A1396" s="60"/>
      <c r="B1396" s="48"/>
      <c r="D1396" s="66"/>
      <c r="F1396" s="60"/>
      <c r="H1396" s="60"/>
      <c r="I1396" s="60"/>
      <c r="L1396" s="60"/>
      <c r="M1396" s="60"/>
      <c r="N1396" s="60"/>
      <c r="O1396" s="60"/>
      <c r="P1396" s="60"/>
      <c r="Q1396" s="60"/>
      <c r="U1396" s="91"/>
      <c r="W1396" s="50"/>
    </row>
    <row r="1397" spans="1:25" x14ac:dyDescent="0.2">
      <c r="B1397" s="48" t="s">
        <v>443</v>
      </c>
      <c r="U1397" s="91"/>
      <c r="W1397" s="50"/>
    </row>
    <row r="1398" spans="1:25" x14ac:dyDescent="0.2">
      <c r="A1398" s="60">
        <v>1</v>
      </c>
      <c r="B1398" s="48" t="s">
        <v>557</v>
      </c>
      <c r="C1398" s="56" t="s">
        <v>1338</v>
      </c>
      <c r="D1398" s="66">
        <f ca="1">SUM(F1398:I1398)+K1398</f>
        <v>2455747.42</v>
      </c>
      <c r="F1398" s="60">
        <f ca="1">INDEX(INDIRECT($C1398),1,F$12+1)*$T1398</f>
        <v>2323402.4196050591</v>
      </c>
      <c r="H1398" s="60">
        <f ca="1">INDEX(INDIRECT($C1398),1,H$12+1)*$T1398</f>
        <v>129289.29269695199</v>
      </c>
      <c r="I1398" s="60">
        <f ca="1">(L1398+M1398+N1398)</f>
        <v>3055.7076979889034</v>
      </c>
      <c r="L1398" s="60">
        <f ca="1">INDEX(INDIRECT($C1398),1,L$12+1)*$T1398</f>
        <v>22.999950414970236</v>
      </c>
      <c r="M1398" s="60"/>
      <c r="N1398" s="60">
        <f ca="1">SUM(O1398:Q1398)</f>
        <v>3032.7077475739334</v>
      </c>
      <c r="O1398" s="60">
        <f t="shared" ref="O1398:Q1402" ca="1" si="434">INDEX(INDIRECT($C1398),1,O$12+1)*$T1398</f>
        <v>1623.1393578564714</v>
      </c>
      <c r="P1398" s="60">
        <f t="shared" ca="1" si="434"/>
        <v>1409.5683897174617</v>
      </c>
      <c r="Q1398" s="60">
        <f t="shared" ca="1" si="434"/>
        <v>0</v>
      </c>
      <c r="T1398" s="325">
        <v>2455747.42</v>
      </c>
      <c r="U1398" s="92">
        <v>901</v>
      </c>
      <c r="W1398" s="92">
        <f>SUMIF('O&amp;M'!$B$3:$B$87,TOTALCO!U1398,'O&amp;M'!$G$3:$G$87)+SUMIF('O&amp;M'!$B$3:$B$87,TOTALCO!V1398,'O&amp;M'!$G$3:$G$87)</f>
        <v>2455747.42</v>
      </c>
      <c r="X1398" s="85">
        <f t="shared" ref="X1398:X1402" ca="1" si="435">D1398-T1398</f>
        <v>0</v>
      </c>
      <c r="Y1398" s="50" t="s">
        <v>454</v>
      </c>
    </row>
    <row r="1399" spans="1:25" x14ac:dyDescent="0.2">
      <c r="A1399" s="33">
        <v>2</v>
      </c>
      <c r="B1399" s="48" t="s">
        <v>558</v>
      </c>
      <c r="C1399" s="56" t="s">
        <v>1338</v>
      </c>
      <c r="D1399" s="66">
        <f ca="1">SUM(F1399:I1399)+K1399</f>
        <v>285948.58000000007</v>
      </c>
      <c r="F1399" s="60">
        <f ca="1">INDEX(INDIRECT($C1399),1,F$12+1)*$T1399</f>
        <v>270538.25537751394</v>
      </c>
      <c r="H1399" s="60">
        <f ca="1">INDEX(INDIRECT($C1399),1,H$12+1)*$T1399</f>
        <v>15054.516337799021</v>
      </c>
      <c r="I1399" s="60">
        <f t="shared" ref="I1399:I1404" ca="1" si="436">(L1399+M1399+N1399)</f>
        <v>355.80828468710996</v>
      </c>
      <c r="L1399" s="60">
        <f ca="1">INDEX(INDIRECT($C1399),1,L$12+1)*$T1399</f>
        <v>2.6781268739889996</v>
      </c>
      <c r="M1399" s="60"/>
      <c r="N1399" s="60">
        <f t="shared" ref="N1399:N1404" ca="1" si="437">SUM(O1399:Q1399)</f>
        <v>353.13015781312095</v>
      </c>
      <c r="O1399" s="60">
        <f t="shared" ca="1" si="434"/>
        <v>188.99923939293799</v>
      </c>
      <c r="P1399" s="60">
        <f t="shared" ca="1" si="434"/>
        <v>164.13091842018298</v>
      </c>
      <c r="Q1399" s="60">
        <f t="shared" ca="1" si="434"/>
        <v>0</v>
      </c>
      <c r="T1399" s="325">
        <v>285948.58</v>
      </c>
      <c r="U1399" s="91">
        <v>902</v>
      </c>
      <c r="W1399" s="92">
        <f>SUMIF('O&amp;M'!$B$3:$B$87,TOTALCO!U1399,'O&amp;M'!$G$3:$G$87)+SUMIF('O&amp;M'!$B$3:$B$87,TOTALCO!V1399,'O&amp;M'!$G$3:$G$87)</f>
        <v>285948.58</v>
      </c>
      <c r="X1399" s="85">
        <f t="shared" ca="1" si="435"/>
        <v>0</v>
      </c>
      <c r="Y1399" s="50" t="s">
        <v>454</v>
      </c>
    </row>
    <row r="1400" spans="1:25" x14ac:dyDescent="0.2">
      <c r="A1400" s="60">
        <v>3</v>
      </c>
      <c r="B1400" s="33" t="s">
        <v>559</v>
      </c>
      <c r="C1400" s="56" t="s">
        <v>1338</v>
      </c>
      <c r="D1400" s="66">
        <f ca="1">SUM(F1400:I1400)+K1400</f>
        <v>8670689.8399999999</v>
      </c>
      <c r="F1400" s="60">
        <f ca="1">INDEX(INDIRECT($C1400),1,F$12+1)*$T1400</f>
        <v>8203409.5159106404</v>
      </c>
      <c r="H1400" s="60">
        <f ca="1">INDEX(INDIRECT($C1400),1,H$12+1)*$T1400</f>
        <v>456491.3099280576</v>
      </c>
      <c r="I1400" s="60">
        <f t="shared" ca="1" si="436"/>
        <v>10789.014161302539</v>
      </c>
      <c r="L1400" s="60">
        <f ca="1">INDEX(INDIRECT($C1400),1,L$12+1)*$T1400</f>
        <v>81.207633472169633</v>
      </c>
      <c r="M1400" s="60"/>
      <c r="N1400" s="60">
        <f t="shared" ca="1" si="437"/>
        <v>10707.806527830369</v>
      </c>
      <c r="O1400" s="60">
        <f t="shared" ca="1" si="434"/>
        <v>5730.9387050359728</v>
      </c>
      <c r="P1400" s="60">
        <f t="shared" ca="1" si="434"/>
        <v>4976.8678227943965</v>
      </c>
      <c r="Q1400" s="60">
        <f t="shared" ca="1" si="434"/>
        <v>0</v>
      </c>
      <c r="T1400" s="325">
        <v>8670689.8399999999</v>
      </c>
      <c r="U1400" s="92">
        <v>903</v>
      </c>
      <c r="W1400" s="92">
        <f>SUMIF('O&amp;M'!$B$3:$B$87,TOTALCO!U1400,'O&amp;M'!$G$3:$G$87)+SUMIF('O&amp;M'!$B$3:$B$87,TOTALCO!V1400,'O&amp;M'!$G$3:$G$87)</f>
        <v>8670689.8399999999</v>
      </c>
      <c r="X1400" s="85">
        <f t="shared" ca="1" si="435"/>
        <v>0</v>
      </c>
      <c r="Y1400" s="50" t="s">
        <v>454</v>
      </c>
    </row>
    <row r="1401" spans="1:25" x14ac:dyDescent="0.2">
      <c r="A1401" s="33">
        <v>4</v>
      </c>
      <c r="B1401" s="48" t="s">
        <v>560</v>
      </c>
      <c r="C1401" s="56" t="s">
        <v>1338</v>
      </c>
      <c r="D1401" s="66">
        <f ca="1">SUM(F1401:I1401)+K1401</f>
        <v>0</v>
      </c>
      <c r="F1401" s="60">
        <f ca="1">INDEX(INDIRECT($C1401),1,F$12+1)*$T1401</f>
        <v>0</v>
      </c>
      <c r="H1401" s="60">
        <f ca="1">INDEX(INDIRECT($C1401),1,H$12+1)*$T1401</f>
        <v>0</v>
      </c>
      <c r="I1401" s="60">
        <f t="shared" ca="1" si="436"/>
        <v>0</v>
      </c>
      <c r="L1401" s="60">
        <f ca="1">INDEX(INDIRECT($C1401),1,L$12+1)*$T1401</f>
        <v>0</v>
      </c>
      <c r="M1401" s="60"/>
      <c r="N1401" s="60">
        <f t="shared" ca="1" si="437"/>
        <v>0</v>
      </c>
      <c r="O1401" s="60">
        <f t="shared" ca="1" si="434"/>
        <v>0</v>
      </c>
      <c r="P1401" s="60">
        <f t="shared" ca="1" si="434"/>
        <v>0</v>
      </c>
      <c r="Q1401" s="60">
        <f t="shared" ca="1" si="434"/>
        <v>0</v>
      </c>
      <c r="T1401" s="325">
        <v>0</v>
      </c>
      <c r="U1401" s="91">
        <v>904</v>
      </c>
      <c r="W1401" s="92">
        <f>SUMIF('O&amp;M'!$B$3:$B$87,TOTALCO!U1401,'O&amp;M'!$G$3:$G$87)+SUMIF('O&amp;M'!$B$3:$B$87,TOTALCO!V1401,'O&amp;M'!$G$3:$G$87)</f>
        <v>0</v>
      </c>
      <c r="X1401" s="85">
        <f t="shared" ca="1" si="435"/>
        <v>0</v>
      </c>
      <c r="Y1401" s="50" t="s">
        <v>454</v>
      </c>
    </row>
    <row r="1402" spans="1:25" x14ac:dyDescent="0.2">
      <c r="A1402" s="60">
        <v>5</v>
      </c>
      <c r="B1402" s="33" t="s">
        <v>561</v>
      </c>
      <c r="C1402" s="56" t="s">
        <v>1338</v>
      </c>
      <c r="D1402" s="66">
        <f ca="1">SUM(F1402:I1402)+K1402</f>
        <v>450527.00000000006</v>
      </c>
      <c r="F1402" s="60">
        <f ca="1">INDEX(INDIRECT($C1402),1,F$12+1)*$T1402</f>
        <v>426247.224520105</v>
      </c>
      <c r="H1402" s="60">
        <f ca="1">INDEX(INDIRECT($C1402),1,H$12+1)*$T1402</f>
        <v>23719.180847548112</v>
      </c>
      <c r="I1402" s="60">
        <f t="shared" ca="1" si="436"/>
        <v>560.5946323469401</v>
      </c>
      <c r="L1402" s="60">
        <f ca="1">INDEX(INDIRECT($C1402),1,L$12+1)*$T1402</f>
        <v>4.2195294907834198</v>
      </c>
      <c r="M1402" s="60"/>
      <c r="N1402" s="60">
        <f t="shared" ca="1" si="437"/>
        <v>556.37510285615667</v>
      </c>
      <c r="O1402" s="60">
        <f t="shared" ca="1" si="434"/>
        <v>297.77822406385854</v>
      </c>
      <c r="P1402" s="60">
        <f t="shared" ca="1" si="434"/>
        <v>258.59687879229813</v>
      </c>
      <c r="Q1402" s="60">
        <f t="shared" ca="1" si="434"/>
        <v>0</v>
      </c>
      <c r="T1402" s="325">
        <v>450527</v>
      </c>
      <c r="U1402" s="92">
        <v>905</v>
      </c>
      <c r="W1402" s="92">
        <f>SUMIF('O&amp;M'!$B$3:$B$87,TOTALCO!U1402,'O&amp;M'!$G$3:$G$87)+SUMIF('O&amp;M'!$B$3:$B$87,TOTALCO!V1402,'O&amp;M'!$G$3:$G$87)</f>
        <v>450527</v>
      </c>
      <c r="X1402" s="85">
        <f t="shared" ca="1" si="435"/>
        <v>0</v>
      </c>
      <c r="Y1402" s="50" t="s">
        <v>454</v>
      </c>
    </row>
    <row r="1403" spans="1:25" x14ac:dyDescent="0.2">
      <c r="B1403" s="48"/>
      <c r="C1403" s="51"/>
      <c r="D1403" s="66"/>
      <c r="F1403" s="60"/>
      <c r="H1403" s="60"/>
      <c r="I1403" s="60"/>
      <c r="L1403" s="60"/>
      <c r="M1403" s="60"/>
      <c r="N1403" s="60"/>
      <c r="O1403" s="60"/>
      <c r="P1403" s="60"/>
      <c r="Q1403" s="60"/>
      <c r="T1403" s="58"/>
      <c r="U1403" s="91"/>
      <c r="W1403" s="50"/>
    </row>
    <row r="1404" spans="1:25" x14ac:dyDescent="0.2">
      <c r="A1404" s="60">
        <v>6</v>
      </c>
      <c r="B1404" s="33" t="s">
        <v>562</v>
      </c>
      <c r="C1404" s="58"/>
      <c r="D1404" s="66">
        <f ca="1">SUM(F1404:I1404)+K1404</f>
        <v>11862912.840000004</v>
      </c>
      <c r="F1404" s="33">
        <f ca="1">SUM(F1398:F1402)</f>
        <v>11223597.41541332</v>
      </c>
      <c r="H1404" s="33">
        <f ca="1">SUM(H1398:H1402)</f>
        <v>624554.29981035669</v>
      </c>
      <c r="I1404" s="60">
        <f t="shared" ca="1" si="436"/>
        <v>14761.124776325494</v>
      </c>
      <c r="L1404" s="33">
        <f ca="1">SUM(L1398:L1402)</f>
        <v>111.10524025191229</v>
      </c>
      <c r="N1404" s="60">
        <f t="shared" ca="1" si="437"/>
        <v>14650.019536073582</v>
      </c>
      <c r="O1404" s="33">
        <f ca="1">SUM(O1398:O1402)</f>
        <v>7840.8555263492417</v>
      </c>
      <c r="P1404" s="33">
        <f ca="1">SUM(P1398:P1402)</f>
        <v>6809.1640097243398</v>
      </c>
      <c r="Q1404" s="33">
        <f ca="1">SUM(Q1398:Q1402)</f>
        <v>0</v>
      </c>
      <c r="T1404" s="58"/>
      <c r="U1404" s="91"/>
      <c r="W1404" s="50"/>
    </row>
    <row r="1405" spans="1:25" x14ac:dyDescent="0.2">
      <c r="A1405" s="60"/>
      <c r="C1405" s="58"/>
      <c r="T1405" s="58"/>
      <c r="U1405" s="91"/>
      <c r="W1405" s="50"/>
    </row>
    <row r="1406" spans="1:25" x14ac:dyDescent="0.2">
      <c r="B1406" s="48" t="s">
        <v>445</v>
      </c>
      <c r="D1406" s="66"/>
      <c r="F1406" s="60"/>
      <c r="H1406" s="60"/>
      <c r="I1406" s="60"/>
      <c r="L1406" s="60"/>
      <c r="M1406" s="60"/>
      <c r="N1406" s="60"/>
      <c r="O1406" s="60"/>
      <c r="P1406" s="60"/>
      <c r="Q1406" s="60"/>
      <c r="U1406" s="91"/>
      <c r="W1406" s="50"/>
    </row>
    <row r="1407" spans="1:25" x14ac:dyDescent="0.2">
      <c r="A1407" s="33">
        <v>7</v>
      </c>
      <c r="B1407" s="33" t="s">
        <v>563</v>
      </c>
      <c r="C1407" s="56" t="s">
        <v>1339</v>
      </c>
      <c r="D1407" s="66">
        <f t="shared" ref="D1407:D1413" ca="1" si="438">SUM(F1407:I1407)+K1407</f>
        <v>180507.86999999997</v>
      </c>
      <c r="F1407" s="60">
        <f t="shared" ref="F1407:F1413" ca="1" si="439">INDEX(INDIRECT($C1407),1,F$12+1)*$T1407</f>
        <v>180380.8167346133</v>
      </c>
      <c r="H1407" s="60">
        <f t="shared" ref="H1407:H1413" ca="1" si="440">INDEX(INDIRECT($C1407),1,H$12+1)*$T1407</f>
        <v>127.03583874807386</v>
      </c>
      <c r="I1407" s="60">
        <f ca="1">(L1407+M1407+N1407)</f>
        <v>1.7426638601882625E-2</v>
      </c>
      <c r="L1407" s="60">
        <f t="shared" ref="L1407:L1413" ca="1" si="441">INDEX(INDIRECT($C1407),1,L$12+1)*$T1407</f>
        <v>1.7426638601882625E-2</v>
      </c>
      <c r="M1407" s="60"/>
      <c r="N1407" s="60">
        <f ca="1">SUM(O1407:Q1407)</f>
        <v>0</v>
      </c>
      <c r="O1407" s="60">
        <f t="shared" ref="O1407:Q1413" ca="1" si="442">INDEX(INDIRECT($C1407),1,O$12+1)*$T1407</f>
        <v>0</v>
      </c>
      <c r="P1407" s="60">
        <f t="shared" ca="1" si="442"/>
        <v>0</v>
      </c>
      <c r="Q1407" s="60">
        <f t="shared" ca="1" si="442"/>
        <v>0</v>
      </c>
      <c r="T1407" s="345">
        <v>180507.87</v>
      </c>
      <c r="U1407" s="91">
        <v>907</v>
      </c>
      <c r="W1407" s="92">
        <f>SUMIF('O&amp;M'!$B$3:$B$87,TOTALCO!U1407,'O&amp;M'!$G$3:$G$87)+SUMIF('O&amp;M'!$B$3:$B$87,TOTALCO!V1407,'O&amp;M'!$G$3:$G$87)</f>
        <v>180507.87</v>
      </c>
      <c r="X1407" s="85">
        <f t="shared" ref="X1407:X1413" ca="1" si="443">D1407-T1407</f>
        <v>0</v>
      </c>
      <c r="Y1407" s="50" t="s">
        <v>454</v>
      </c>
    </row>
    <row r="1408" spans="1:25" x14ac:dyDescent="0.2">
      <c r="A1408" s="33">
        <v>8</v>
      </c>
      <c r="B1408" s="48" t="s">
        <v>564</v>
      </c>
      <c r="C1408" s="56" t="s">
        <v>1339</v>
      </c>
      <c r="D1408" s="66">
        <f t="shared" ca="1" si="438"/>
        <v>1276694.24</v>
      </c>
      <c r="F1408" s="60">
        <f t="shared" ca="1" si="439"/>
        <v>1275795.618947675</v>
      </c>
      <c r="H1408" s="60">
        <f t="shared" ca="1" si="440"/>
        <v>898.49779737157576</v>
      </c>
      <c r="I1408" s="60">
        <f ca="1">(L1408+M1408+N1408)</f>
        <v>0.12325495351302523</v>
      </c>
      <c r="L1408" s="60">
        <f t="shared" ca="1" si="441"/>
        <v>0.12325495351302523</v>
      </c>
      <c r="M1408" s="60"/>
      <c r="N1408" s="60">
        <f ca="1">SUM(O1408:Q1408)</f>
        <v>0</v>
      </c>
      <c r="O1408" s="60">
        <f t="shared" ca="1" si="442"/>
        <v>0</v>
      </c>
      <c r="P1408" s="60">
        <f t="shared" ca="1" si="442"/>
        <v>0</v>
      </c>
      <c r="Q1408" s="60">
        <f t="shared" ca="1" si="442"/>
        <v>0</v>
      </c>
      <c r="T1408" s="345">
        <v>1276694.2400000002</v>
      </c>
      <c r="U1408" s="91">
        <v>908</v>
      </c>
      <c r="W1408" s="92">
        <f>SUMIF('O&amp;M'!$B$3:$B$87,TOTALCO!U1408,'O&amp;M'!$G$3:$G$87)+SUMIF('O&amp;M'!$B$3:$B$87,TOTALCO!V1408,'O&amp;M'!$G$3:$G$87)</f>
        <v>1276694.2400000002</v>
      </c>
      <c r="X1408" s="85">
        <f t="shared" ca="1" si="443"/>
        <v>0</v>
      </c>
      <c r="Y1408" s="50" t="s">
        <v>454</v>
      </c>
    </row>
    <row r="1409" spans="1:25" x14ac:dyDescent="0.2">
      <c r="A1409" s="33">
        <v>9</v>
      </c>
      <c r="B1409" s="33" t="s">
        <v>565</v>
      </c>
      <c r="C1409" s="56" t="s">
        <v>1339</v>
      </c>
      <c r="D1409" s="66">
        <f t="shared" ca="1" si="438"/>
        <v>0</v>
      </c>
      <c r="F1409" s="60">
        <f t="shared" ca="1" si="439"/>
        <v>0</v>
      </c>
      <c r="H1409" s="60">
        <f t="shared" ca="1" si="440"/>
        <v>0</v>
      </c>
      <c r="I1409" s="60">
        <f t="shared" ref="I1409:I1415" ca="1" si="444">(L1409+M1409+N1409)</f>
        <v>0</v>
      </c>
      <c r="L1409" s="60">
        <f t="shared" ca="1" si="441"/>
        <v>0</v>
      </c>
      <c r="M1409" s="60"/>
      <c r="N1409" s="60">
        <f t="shared" ref="N1409:N1415" ca="1" si="445">SUM(O1409:Q1409)</f>
        <v>0</v>
      </c>
      <c r="O1409" s="60">
        <f t="shared" ca="1" si="442"/>
        <v>0</v>
      </c>
      <c r="P1409" s="60">
        <f t="shared" ca="1" si="442"/>
        <v>0</v>
      </c>
      <c r="Q1409" s="60">
        <f t="shared" ca="1" si="442"/>
        <v>0</v>
      </c>
      <c r="T1409" s="345">
        <v>0</v>
      </c>
      <c r="U1409" s="91">
        <v>909</v>
      </c>
      <c r="W1409" s="92">
        <f>SUMIF('O&amp;M'!$B$3:$B$87,TOTALCO!U1409,'O&amp;M'!$G$3:$G$87)+SUMIF('O&amp;M'!$B$3:$B$87,TOTALCO!V1409,'O&amp;M'!$G$3:$G$87)</f>
        <v>0</v>
      </c>
      <c r="X1409" s="85">
        <f t="shared" ca="1" si="443"/>
        <v>0</v>
      </c>
      <c r="Y1409" s="50" t="s">
        <v>454</v>
      </c>
    </row>
    <row r="1410" spans="1:25" x14ac:dyDescent="0.2">
      <c r="A1410" s="33">
        <v>10</v>
      </c>
      <c r="B1410" s="48" t="s">
        <v>566</v>
      </c>
      <c r="C1410" s="56" t="s">
        <v>1339</v>
      </c>
      <c r="D1410" s="66">
        <f t="shared" ca="1" si="438"/>
        <v>0</v>
      </c>
      <c r="F1410" s="60">
        <f t="shared" ca="1" si="439"/>
        <v>0</v>
      </c>
      <c r="H1410" s="60">
        <f t="shared" ca="1" si="440"/>
        <v>0</v>
      </c>
      <c r="I1410" s="60">
        <f t="shared" ca="1" si="444"/>
        <v>0</v>
      </c>
      <c r="L1410" s="60">
        <f t="shared" ca="1" si="441"/>
        <v>0</v>
      </c>
      <c r="M1410" s="60"/>
      <c r="N1410" s="60">
        <f t="shared" ca="1" si="445"/>
        <v>0</v>
      </c>
      <c r="O1410" s="60">
        <f t="shared" ca="1" si="442"/>
        <v>0</v>
      </c>
      <c r="P1410" s="60">
        <f t="shared" ca="1" si="442"/>
        <v>0</v>
      </c>
      <c r="Q1410" s="60">
        <f t="shared" ca="1" si="442"/>
        <v>0</v>
      </c>
      <c r="T1410" s="345">
        <v>0</v>
      </c>
      <c r="U1410" s="91">
        <v>910</v>
      </c>
      <c r="W1410" s="92">
        <f>SUMIF('O&amp;M'!$B$3:$B$87,TOTALCO!U1410,'O&amp;M'!$G$3:$G$87)+SUMIF('O&amp;M'!$B$3:$B$87,TOTALCO!V1410,'O&amp;M'!$G$3:$G$87)</f>
        <v>0</v>
      </c>
      <c r="X1410" s="85">
        <f t="shared" ca="1" si="443"/>
        <v>0</v>
      </c>
      <c r="Y1410" s="50" t="s">
        <v>454</v>
      </c>
    </row>
    <row r="1411" spans="1:25" x14ac:dyDescent="0.2">
      <c r="A1411" s="33">
        <v>11</v>
      </c>
      <c r="B1411" s="33" t="s">
        <v>567</v>
      </c>
      <c r="C1411" s="56" t="s">
        <v>1339</v>
      </c>
      <c r="D1411" s="66">
        <f t="shared" ca="1" si="438"/>
        <v>0</v>
      </c>
      <c r="F1411" s="60">
        <f t="shared" ca="1" si="439"/>
        <v>0</v>
      </c>
      <c r="H1411" s="60">
        <f t="shared" ca="1" si="440"/>
        <v>0</v>
      </c>
      <c r="I1411" s="60">
        <f t="shared" ca="1" si="444"/>
        <v>0</v>
      </c>
      <c r="L1411" s="60">
        <f t="shared" ca="1" si="441"/>
        <v>0</v>
      </c>
      <c r="M1411" s="60"/>
      <c r="N1411" s="60">
        <f t="shared" ca="1" si="445"/>
        <v>0</v>
      </c>
      <c r="O1411" s="60">
        <f t="shared" ca="1" si="442"/>
        <v>0</v>
      </c>
      <c r="P1411" s="60">
        <f t="shared" ca="1" si="442"/>
        <v>0</v>
      </c>
      <c r="Q1411" s="60">
        <f t="shared" ca="1" si="442"/>
        <v>0</v>
      </c>
      <c r="T1411" s="345">
        <v>0</v>
      </c>
      <c r="U1411" s="91">
        <v>912</v>
      </c>
      <c r="W1411" s="92">
        <f>SUMIF('O&amp;M'!$B$3:$B$87,TOTALCO!U1411,'O&amp;M'!$G$3:$G$87)+SUMIF('O&amp;M'!$B$3:$B$87,TOTALCO!V1411,'O&amp;M'!$G$3:$G$87)</f>
        <v>0</v>
      </c>
      <c r="X1411" s="85">
        <f t="shared" ca="1" si="443"/>
        <v>0</v>
      </c>
      <c r="Y1411" s="50" t="s">
        <v>454</v>
      </c>
    </row>
    <row r="1412" spans="1:25" x14ac:dyDescent="0.2">
      <c r="A1412" s="33">
        <v>12</v>
      </c>
      <c r="B1412" s="48" t="s">
        <v>568</v>
      </c>
      <c r="C1412" s="56" t="s">
        <v>1339</v>
      </c>
      <c r="D1412" s="66">
        <f t="shared" ca="1" si="438"/>
        <v>0</v>
      </c>
      <c r="F1412" s="60">
        <f t="shared" ca="1" si="439"/>
        <v>0</v>
      </c>
      <c r="H1412" s="60">
        <f t="shared" ca="1" si="440"/>
        <v>0</v>
      </c>
      <c r="I1412" s="60">
        <f t="shared" ca="1" si="444"/>
        <v>0</v>
      </c>
      <c r="L1412" s="60">
        <f t="shared" ca="1" si="441"/>
        <v>0</v>
      </c>
      <c r="M1412" s="60"/>
      <c r="N1412" s="60">
        <f t="shared" ca="1" si="445"/>
        <v>0</v>
      </c>
      <c r="O1412" s="60">
        <f t="shared" ca="1" si="442"/>
        <v>0</v>
      </c>
      <c r="P1412" s="60">
        <f t="shared" ca="1" si="442"/>
        <v>0</v>
      </c>
      <c r="Q1412" s="60">
        <f t="shared" ca="1" si="442"/>
        <v>0</v>
      </c>
      <c r="T1412" s="345">
        <v>0</v>
      </c>
      <c r="U1412" s="91">
        <v>913</v>
      </c>
      <c r="W1412" s="92">
        <f>SUMIF('O&amp;M'!$B$3:$B$87,TOTALCO!U1412,'O&amp;M'!$G$3:$G$87)+SUMIF('O&amp;M'!$B$3:$B$87,TOTALCO!V1412,'O&amp;M'!$G$3:$G$87)</f>
        <v>0</v>
      </c>
      <c r="X1412" s="85">
        <f t="shared" ca="1" si="443"/>
        <v>0</v>
      </c>
      <c r="Y1412" s="50" t="s">
        <v>454</v>
      </c>
    </row>
    <row r="1413" spans="1:25" x14ac:dyDescent="0.2">
      <c r="A1413" s="33">
        <v>13</v>
      </c>
      <c r="B1413" s="33" t="s">
        <v>569</v>
      </c>
      <c r="C1413" s="56" t="s">
        <v>1339</v>
      </c>
      <c r="D1413" s="66">
        <f t="shared" ca="1" si="438"/>
        <v>0</v>
      </c>
      <c r="F1413" s="60">
        <f t="shared" ca="1" si="439"/>
        <v>0</v>
      </c>
      <c r="H1413" s="60">
        <f t="shared" ca="1" si="440"/>
        <v>0</v>
      </c>
      <c r="I1413" s="60">
        <f t="shared" ca="1" si="444"/>
        <v>0</v>
      </c>
      <c r="L1413" s="60">
        <f t="shared" ca="1" si="441"/>
        <v>0</v>
      </c>
      <c r="M1413" s="60"/>
      <c r="N1413" s="60">
        <f t="shared" ca="1" si="445"/>
        <v>0</v>
      </c>
      <c r="O1413" s="60">
        <f t="shared" ca="1" si="442"/>
        <v>0</v>
      </c>
      <c r="P1413" s="60">
        <f t="shared" ca="1" si="442"/>
        <v>0</v>
      </c>
      <c r="Q1413" s="60">
        <f t="shared" ca="1" si="442"/>
        <v>0</v>
      </c>
      <c r="T1413" s="345">
        <v>0</v>
      </c>
      <c r="U1413" s="91">
        <v>916</v>
      </c>
      <c r="W1413" s="92">
        <f>SUMIF('O&amp;M'!$B$3:$B$87,TOTALCO!U1413,'O&amp;M'!$G$3:$G$87)+SUMIF('O&amp;M'!$B$3:$B$87,TOTALCO!V1413,'O&amp;M'!$G$3:$G$87)</f>
        <v>0</v>
      </c>
      <c r="X1413" s="85">
        <f t="shared" ca="1" si="443"/>
        <v>0</v>
      </c>
      <c r="Y1413" s="50" t="s">
        <v>454</v>
      </c>
    </row>
    <row r="1414" spans="1:25" x14ac:dyDescent="0.2">
      <c r="B1414" s="48"/>
      <c r="D1414" s="66"/>
      <c r="F1414" s="60"/>
      <c r="H1414" s="60"/>
      <c r="I1414" s="60"/>
      <c r="L1414" s="60"/>
      <c r="M1414" s="60"/>
      <c r="N1414" s="60"/>
      <c r="O1414" s="60"/>
      <c r="P1414" s="60"/>
      <c r="Q1414" s="60"/>
      <c r="T1414" s="80"/>
      <c r="U1414" s="91"/>
      <c r="W1414" s="50"/>
    </row>
    <row r="1415" spans="1:25" x14ac:dyDescent="0.2">
      <c r="A1415" s="33">
        <v>14</v>
      </c>
      <c r="B1415" s="113" t="s">
        <v>585</v>
      </c>
      <c r="D1415" s="66">
        <f ca="1">SUM(F1415:I1415)+K1415</f>
        <v>1457202.11</v>
      </c>
      <c r="F1415" s="33">
        <f ca="1">SUM(F1407:F1413)</f>
        <v>1456176.4356822884</v>
      </c>
      <c r="H1415" s="33">
        <f ca="1">SUM(H1407:H1413)</f>
        <v>1025.5336361196496</v>
      </c>
      <c r="I1415" s="60">
        <f t="shared" ca="1" si="444"/>
        <v>0.14068159211490786</v>
      </c>
      <c r="L1415" s="33">
        <f ca="1">SUM(L1407:L1413)</f>
        <v>0.14068159211490786</v>
      </c>
      <c r="N1415" s="60">
        <f t="shared" ca="1" si="445"/>
        <v>0</v>
      </c>
      <c r="O1415" s="33">
        <f ca="1">SUM(O1407:O1413)</f>
        <v>0</v>
      </c>
      <c r="P1415" s="33">
        <f ca="1">SUM(P1407:P1413)</f>
        <v>0</v>
      </c>
      <c r="Q1415" s="33">
        <f ca="1">SUM(Q1407:Q1413)</f>
        <v>0</v>
      </c>
      <c r="T1415" s="112"/>
      <c r="U1415" s="91"/>
      <c r="W1415" s="50"/>
    </row>
    <row r="1416" spans="1:25" x14ac:dyDescent="0.2">
      <c r="T1416" s="112"/>
      <c r="U1416" s="91"/>
      <c r="W1416" s="50"/>
    </row>
    <row r="1417" spans="1:25" x14ac:dyDescent="0.2">
      <c r="A1417" s="33">
        <v>15</v>
      </c>
      <c r="B1417" s="114" t="s">
        <v>742</v>
      </c>
      <c r="D1417" s="66">
        <f ca="1">SUM(F1417:I1417)+K1417</f>
        <v>86705625.650000006</v>
      </c>
      <c r="F1417" s="33">
        <f ca="1">F1415+F1404+F1392</f>
        <v>77114147.550367326</v>
      </c>
      <c r="H1417" s="33">
        <f ca="1">H1415+H1404+H1392</f>
        <v>4750860.1268153582</v>
      </c>
      <c r="I1417" s="60">
        <f ca="1">(L1417+M1417+N1417)</f>
        <v>4840617.9728173101</v>
      </c>
      <c r="L1417" s="33">
        <f ca="1">L1415+L1404+L1392</f>
        <v>2661.7439903384416</v>
      </c>
      <c r="N1417" s="60">
        <f ca="1">SUM(O1417:Q1417)</f>
        <v>4837956.2288269717</v>
      </c>
      <c r="O1417" s="33">
        <f ca="1">O1415+O1404+O1392</f>
        <v>1571670.8628577269</v>
      </c>
      <c r="P1417" s="33">
        <f ca="1">P1415+P1404+P1392</f>
        <v>3266285.3659692449</v>
      </c>
      <c r="T1417" s="112"/>
      <c r="U1417" s="91"/>
      <c r="W1417" s="50"/>
    </row>
    <row r="1418" spans="1:25" x14ac:dyDescent="0.2">
      <c r="T1418" s="112"/>
      <c r="U1418" s="91"/>
      <c r="W1418" s="50"/>
    </row>
    <row r="1419" spans="1:25" x14ac:dyDescent="0.2">
      <c r="B1419" s="33" t="s">
        <v>570</v>
      </c>
      <c r="T1419" s="112"/>
      <c r="U1419" s="91"/>
      <c r="W1419" s="50"/>
    </row>
    <row r="1420" spans="1:25" x14ac:dyDescent="0.2">
      <c r="A1420" s="33">
        <v>16</v>
      </c>
      <c r="B1420" s="33" t="s">
        <v>571</v>
      </c>
      <c r="C1420" s="56" t="s">
        <v>741</v>
      </c>
      <c r="D1420" s="66">
        <f t="shared" ref="D1420:D1431" ca="1" si="446">SUM(F1420:I1420)+K1420</f>
        <v>21837389.060000002</v>
      </c>
      <c r="F1420" s="60">
        <f t="shared" ref="F1420:F1431" ca="1" si="447">INDEX(INDIRECT($C1420),1,F$12+1)*$T1420</f>
        <v>19421711.445635792</v>
      </c>
      <c r="H1420" s="60">
        <f t="shared" ref="H1420:H1431" ca="1" si="448">INDEX(INDIRECT($C1420),1,H$12+1)*$T1420</f>
        <v>1196535.7516442523</v>
      </c>
      <c r="I1420" s="60">
        <f t="shared" ref="I1420:I1431" ca="1" si="449">(L1420+M1420+N1420)</f>
        <v>1219141.8627199552</v>
      </c>
      <c r="L1420" s="60">
        <f t="shared" ref="L1420:L1431" ca="1" si="450">INDEX(INDIRECT($C1420),1,L$12+1)*$T1420</f>
        <v>670.37794444583915</v>
      </c>
      <c r="M1420" s="60"/>
      <c r="N1420" s="60">
        <f t="shared" ref="N1420:N1431" ca="1" si="451">SUM(O1420:Q1420)</f>
        <v>1218471.4847755092</v>
      </c>
      <c r="O1420" s="60">
        <f t="shared" ref="O1420:Q1431" ca="1" si="452">INDEX(INDIRECT($C1420),1,O$12+1)*$T1420</f>
        <v>395835.7701613573</v>
      </c>
      <c r="P1420" s="60">
        <f t="shared" ca="1" si="452"/>
        <v>822635.71461415198</v>
      </c>
      <c r="Q1420" s="60">
        <f t="shared" ca="1" si="452"/>
        <v>0</v>
      </c>
      <c r="T1420" s="325">
        <v>21837389.060000002</v>
      </c>
      <c r="U1420" s="91">
        <v>920</v>
      </c>
      <c r="W1420" s="92">
        <f>SUMIF('O&amp;M'!$B$3:$B$87,TOTALCO!U1420,'O&amp;M'!$G$3:$G$87)+SUMIF('O&amp;M'!$B$3:$B$87,TOTALCO!V1420,'O&amp;M'!$G$3:$G$87)</f>
        <v>21837389.060000002</v>
      </c>
      <c r="X1420" s="85">
        <f t="shared" ref="X1420:X1431" ca="1" si="453">D1420-T1420</f>
        <v>0</v>
      </c>
      <c r="Y1420" s="50" t="s">
        <v>454</v>
      </c>
    </row>
    <row r="1421" spans="1:25" x14ac:dyDescent="0.2">
      <c r="A1421" s="33">
        <v>17</v>
      </c>
      <c r="B1421" s="33" t="s">
        <v>572</v>
      </c>
      <c r="C1421" s="56" t="s">
        <v>741</v>
      </c>
      <c r="D1421" s="66">
        <f t="shared" ca="1" si="446"/>
        <v>38924.779999999992</v>
      </c>
      <c r="F1421" s="60">
        <f t="shared" ca="1" si="447"/>
        <v>34618.875139684627</v>
      </c>
      <c r="H1421" s="60">
        <f t="shared" ca="1" si="448"/>
        <v>2132.8049231031632</v>
      </c>
      <c r="I1421" s="60">
        <f t="shared" ca="1" si="449"/>
        <v>2173.0999372122033</v>
      </c>
      <c r="L1421" s="60">
        <f t="shared" ca="1" si="450"/>
        <v>1.1949374502927188</v>
      </c>
      <c r="M1421" s="60"/>
      <c r="N1421" s="60">
        <f t="shared" ca="1" si="451"/>
        <v>2171.9049997619104</v>
      </c>
      <c r="O1421" s="60">
        <f t="shared" ca="1" si="452"/>
        <v>705.5706260179345</v>
      </c>
      <c r="P1421" s="60">
        <f t="shared" ca="1" si="452"/>
        <v>1466.3343737439757</v>
      </c>
      <c r="Q1421" s="60">
        <f t="shared" ca="1" si="452"/>
        <v>0</v>
      </c>
      <c r="T1421" s="325">
        <v>38924.78</v>
      </c>
      <c r="U1421" s="91">
        <v>921</v>
      </c>
      <c r="W1421" s="92">
        <f>SUMIF('O&amp;M'!$B$3:$B$87,TOTALCO!U1421,'O&amp;M'!$G$3:$G$87)+SUMIF('O&amp;M'!$B$3:$B$87,TOTALCO!V1421,'O&amp;M'!$G$3:$G$87)</f>
        <v>38924.78</v>
      </c>
      <c r="X1421" s="85">
        <f t="shared" ca="1" si="453"/>
        <v>0</v>
      </c>
      <c r="Y1421" s="50" t="s">
        <v>454</v>
      </c>
    </row>
    <row r="1422" spans="1:25" x14ac:dyDescent="0.2">
      <c r="A1422" s="33">
        <v>18</v>
      </c>
      <c r="B1422" s="33" t="s">
        <v>573</v>
      </c>
      <c r="C1422" s="56" t="s">
        <v>741</v>
      </c>
      <c r="D1422" s="66">
        <f t="shared" ca="1" si="446"/>
        <v>-2118578.75</v>
      </c>
      <c r="F1422" s="60">
        <f t="shared" ca="1" si="447"/>
        <v>-1884219.0815166878</v>
      </c>
      <c r="H1422" s="60">
        <f t="shared" ca="1" si="448"/>
        <v>-116083.25565312753</v>
      </c>
      <c r="I1422" s="60">
        <f t="shared" ca="1" si="449"/>
        <v>-118276.41283018446</v>
      </c>
      <c r="L1422" s="60">
        <f t="shared" ca="1" si="450"/>
        <v>-65.037466872499607</v>
      </c>
      <c r="M1422" s="60"/>
      <c r="N1422" s="60">
        <f t="shared" ca="1" si="451"/>
        <v>-118211.37536331196</v>
      </c>
      <c r="O1422" s="60">
        <f t="shared" ca="1" si="452"/>
        <v>-38402.450441744135</v>
      </c>
      <c r="P1422" s="60">
        <f t="shared" ca="1" si="452"/>
        <v>-79808.924921567828</v>
      </c>
      <c r="Q1422" s="60">
        <f t="shared" ca="1" si="452"/>
        <v>0</v>
      </c>
      <c r="T1422" s="325">
        <v>-2118578.75</v>
      </c>
      <c r="U1422" s="91">
        <v>922</v>
      </c>
      <c r="W1422" s="92">
        <f>SUMIF('O&amp;M'!$B$3:$B$87,TOTALCO!U1422,'O&amp;M'!$G$3:$G$87)+SUMIF('O&amp;M'!$B$3:$B$87,TOTALCO!V1422,'O&amp;M'!$G$3:$G$87)</f>
        <v>-2118578.75</v>
      </c>
      <c r="X1422" s="85">
        <f t="shared" ca="1" si="453"/>
        <v>0</v>
      </c>
      <c r="Y1422" s="50" t="s">
        <v>454</v>
      </c>
    </row>
    <row r="1423" spans="1:25" x14ac:dyDescent="0.2">
      <c r="A1423" s="33">
        <v>19</v>
      </c>
      <c r="B1423" s="33" t="s">
        <v>574</v>
      </c>
      <c r="C1423" s="56" t="s">
        <v>741</v>
      </c>
      <c r="D1423" s="66">
        <f t="shared" ca="1" si="446"/>
        <v>0</v>
      </c>
      <c r="F1423" s="60">
        <f t="shared" ca="1" si="447"/>
        <v>0</v>
      </c>
      <c r="H1423" s="60">
        <f t="shared" ca="1" si="448"/>
        <v>0</v>
      </c>
      <c r="I1423" s="60">
        <f t="shared" ca="1" si="449"/>
        <v>0</v>
      </c>
      <c r="L1423" s="60">
        <f t="shared" ca="1" si="450"/>
        <v>0</v>
      </c>
      <c r="M1423" s="60"/>
      <c r="N1423" s="60">
        <f t="shared" ca="1" si="451"/>
        <v>0</v>
      </c>
      <c r="O1423" s="60">
        <f t="shared" ca="1" si="452"/>
        <v>0</v>
      </c>
      <c r="P1423" s="60">
        <f t="shared" ca="1" si="452"/>
        <v>0</v>
      </c>
      <c r="Q1423" s="60">
        <f t="shared" ca="1" si="452"/>
        <v>0</v>
      </c>
      <c r="T1423" s="325">
        <v>0</v>
      </c>
      <c r="U1423" s="91">
        <v>923</v>
      </c>
      <c r="W1423" s="92">
        <f>SUMIF('O&amp;M'!$B$3:$B$87,TOTALCO!U1423,'O&amp;M'!$G$3:$G$87)+SUMIF('O&amp;M'!$B$3:$B$87,TOTALCO!V1423,'O&amp;M'!$G$3:$G$87)</f>
        <v>0</v>
      </c>
      <c r="X1423" s="85">
        <f t="shared" ca="1" si="453"/>
        <v>0</v>
      </c>
      <c r="Y1423" s="50" t="s">
        <v>454</v>
      </c>
    </row>
    <row r="1424" spans="1:25" x14ac:dyDescent="0.2">
      <c r="A1424" s="33">
        <v>20</v>
      </c>
      <c r="B1424" s="33" t="s">
        <v>575</v>
      </c>
      <c r="C1424" s="56" t="s">
        <v>741</v>
      </c>
      <c r="D1424" s="66">
        <f t="shared" ca="1" si="446"/>
        <v>0</v>
      </c>
      <c r="F1424" s="60">
        <f t="shared" ca="1" si="447"/>
        <v>0</v>
      </c>
      <c r="H1424" s="60">
        <f t="shared" ca="1" si="448"/>
        <v>0</v>
      </c>
      <c r="I1424" s="60">
        <f t="shared" ca="1" si="449"/>
        <v>0</v>
      </c>
      <c r="L1424" s="60">
        <f t="shared" ca="1" si="450"/>
        <v>0</v>
      </c>
      <c r="M1424" s="60"/>
      <c r="N1424" s="60">
        <f t="shared" ca="1" si="451"/>
        <v>0</v>
      </c>
      <c r="O1424" s="60">
        <f t="shared" ca="1" si="452"/>
        <v>0</v>
      </c>
      <c r="P1424" s="60">
        <f t="shared" ca="1" si="452"/>
        <v>0</v>
      </c>
      <c r="Q1424" s="60">
        <f t="shared" ca="1" si="452"/>
        <v>0</v>
      </c>
      <c r="T1424" s="325">
        <v>0</v>
      </c>
      <c r="U1424" s="91">
        <v>924</v>
      </c>
      <c r="W1424" s="92">
        <f>SUMIF('O&amp;M'!$B$3:$B$87,TOTALCO!U1424,'O&amp;M'!$G$3:$G$87)+SUMIF('O&amp;M'!$B$3:$B$87,TOTALCO!V1424,'O&amp;M'!$G$3:$G$87)</f>
        <v>0</v>
      </c>
      <c r="X1424" s="85">
        <f t="shared" ca="1" si="453"/>
        <v>0</v>
      </c>
      <c r="Y1424" s="50" t="s">
        <v>454</v>
      </c>
    </row>
    <row r="1425" spans="1:25" x14ac:dyDescent="0.2">
      <c r="A1425" s="33">
        <v>21</v>
      </c>
      <c r="B1425" s="33" t="s">
        <v>576</v>
      </c>
      <c r="C1425" s="56" t="s">
        <v>741</v>
      </c>
      <c r="D1425" s="66">
        <f t="shared" ca="1" si="446"/>
        <v>894372.42</v>
      </c>
      <c r="F1425" s="60">
        <f t="shared" ca="1" si="447"/>
        <v>795435.89292881254</v>
      </c>
      <c r="H1425" s="60">
        <f t="shared" ca="1" si="448"/>
        <v>49005.335430635445</v>
      </c>
      <c r="I1425" s="60">
        <f t="shared" ca="1" si="449"/>
        <v>49931.19164055201</v>
      </c>
      <c r="L1425" s="60">
        <f t="shared" ca="1" si="450"/>
        <v>27.456008721614577</v>
      </c>
      <c r="M1425" s="60"/>
      <c r="N1425" s="60">
        <f t="shared" ca="1" si="451"/>
        <v>49903.735631830394</v>
      </c>
      <c r="O1425" s="60">
        <f t="shared" ca="1" si="452"/>
        <v>16211.855488266732</v>
      </c>
      <c r="P1425" s="60">
        <f t="shared" ca="1" si="452"/>
        <v>33691.880143563663</v>
      </c>
      <c r="Q1425" s="60">
        <f t="shared" ca="1" si="452"/>
        <v>0</v>
      </c>
      <c r="T1425" s="325">
        <v>894372.42</v>
      </c>
      <c r="U1425" s="91">
        <v>925</v>
      </c>
      <c r="W1425" s="92">
        <f>SUMIF('O&amp;M'!$B$3:$B$87,TOTALCO!U1425,'O&amp;M'!$G$3:$G$87)+SUMIF('O&amp;M'!$B$3:$B$87,TOTALCO!V1425,'O&amp;M'!$G$3:$G$87)</f>
        <v>894372.42</v>
      </c>
      <c r="X1425" s="85">
        <f t="shared" ca="1" si="453"/>
        <v>0</v>
      </c>
      <c r="Y1425" s="50" t="s">
        <v>454</v>
      </c>
    </row>
    <row r="1426" spans="1:25" x14ac:dyDescent="0.2">
      <c r="A1426" s="33">
        <v>22</v>
      </c>
      <c r="B1426" s="33" t="s">
        <v>577</v>
      </c>
      <c r="C1426" s="56" t="s">
        <v>741</v>
      </c>
      <c r="D1426" s="66">
        <f t="shared" ca="1" si="446"/>
        <v>39264089.25</v>
      </c>
      <c r="F1426" s="60">
        <f t="shared" ca="1" si="447"/>
        <v>34920649.602109082</v>
      </c>
      <c r="H1426" s="60">
        <f t="shared" ca="1" si="448"/>
        <v>2151396.690066379</v>
      </c>
      <c r="I1426" s="60">
        <f t="shared" ca="1" si="449"/>
        <v>2192042.9578245357</v>
      </c>
      <c r="L1426" s="60">
        <f t="shared" ca="1" si="450"/>
        <v>1205.3537796863784</v>
      </c>
      <c r="M1426" s="60"/>
      <c r="N1426" s="60">
        <f t="shared" ca="1" si="451"/>
        <v>2190837.6040448495</v>
      </c>
      <c r="O1426" s="60">
        <f t="shared" ca="1" si="452"/>
        <v>711721.12038003956</v>
      </c>
      <c r="P1426" s="60">
        <f t="shared" ca="1" si="452"/>
        <v>1479116.48366481</v>
      </c>
      <c r="Q1426" s="60">
        <f t="shared" ca="1" si="452"/>
        <v>0</v>
      </c>
      <c r="T1426" s="325">
        <v>39264089.25</v>
      </c>
      <c r="U1426" s="91">
        <v>926</v>
      </c>
      <c r="W1426" s="92">
        <f>SUMIF('O&amp;M'!$B$3:$B$87,TOTALCO!U1426,'O&amp;M'!$G$3:$G$87)+SUMIF('O&amp;M'!$B$3:$B$87,TOTALCO!V1426,'O&amp;M'!$G$3:$G$87)</f>
        <v>39264089.25</v>
      </c>
      <c r="X1426" s="85">
        <f t="shared" ca="1" si="453"/>
        <v>0</v>
      </c>
      <c r="Y1426" s="50" t="s">
        <v>454</v>
      </c>
    </row>
    <row r="1427" spans="1:25" x14ac:dyDescent="0.2">
      <c r="A1427" s="33">
        <v>23</v>
      </c>
      <c r="B1427" s="33" t="s">
        <v>578</v>
      </c>
      <c r="C1427" s="56" t="s">
        <v>741</v>
      </c>
      <c r="D1427" s="66">
        <f t="shared" ca="1" si="446"/>
        <v>0</v>
      </c>
      <c r="F1427" s="60">
        <f t="shared" ca="1" si="447"/>
        <v>0</v>
      </c>
      <c r="H1427" s="60">
        <f t="shared" ca="1" si="448"/>
        <v>0</v>
      </c>
      <c r="I1427" s="60">
        <f t="shared" ca="1" si="449"/>
        <v>0</v>
      </c>
      <c r="L1427" s="60">
        <f t="shared" ca="1" si="450"/>
        <v>0</v>
      </c>
      <c r="M1427" s="60"/>
      <c r="N1427" s="60">
        <f t="shared" ca="1" si="451"/>
        <v>0</v>
      </c>
      <c r="O1427" s="60">
        <f t="shared" ca="1" si="452"/>
        <v>0</v>
      </c>
      <c r="P1427" s="60">
        <f t="shared" ca="1" si="452"/>
        <v>0</v>
      </c>
      <c r="Q1427" s="60">
        <f t="shared" ca="1" si="452"/>
        <v>0</v>
      </c>
      <c r="T1427" s="325">
        <v>0</v>
      </c>
      <c r="U1427" s="91">
        <v>927</v>
      </c>
      <c r="W1427" s="92">
        <f>SUMIF('O&amp;M'!$B$3:$B$87,TOTALCO!U1427,'O&amp;M'!$G$3:$G$87)+SUMIF('O&amp;M'!$B$3:$B$87,TOTALCO!V1427,'O&amp;M'!$G$3:$G$87)</f>
        <v>0</v>
      </c>
      <c r="X1427" s="85">
        <f t="shared" ca="1" si="453"/>
        <v>0</v>
      </c>
      <c r="Y1427" s="50" t="s">
        <v>454</v>
      </c>
    </row>
    <row r="1428" spans="1:25" x14ac:dyDescent="0.2">
      <c r="A1428" s="33">
        <v>24</v>
      </c>
      <c r="B1428" s="33" t="s">
        <v>579</v>
      </c>
      <c r="C1428" s="56" t="s">
        <v>741</v>
      </c>
      <c r="D1428" s="66">
        <f t="shared" ca="1" si="446"/>
        <v>0</v>
      </c>
      <c r="F1428" s="60">
        <f t="shared" ca="1" si="447"/>
        <v>0</v>
      </c>
      <c r="H1428" s="60">
        <f t="shared" ca="1" si="448"/>
        <v>0</v>
      </c>
      <c r="I1428" s="60">
        <f t="shared" ca="1" si="449"/>
        <v>0</v>
      </c>
      <c r="L1428" s="60">
        <f t="shared" ca="1" si="450"/>
        <v>0</v>
      </c>
      <c r="M1428" s="60"/>
      <c r="N1428" s="60">
        <f t="shared" ca="1" si="451"/>
        <v>0</v>
      </c>
      <c r="O1428" s="60">
        <f t="shared" ca="1" si="452"/>
        <v>0</v>
      </c>
      <c r="P1428" s="60">
        <f t="shared" ca="1" si="452"/>
        <v>0</v>
      </c>
      <c r="Q1428" s="60">
        <f t="shared" ca="1" si="452"/>
        <v>0</v>
      </c>
      <c r="T1428" s="325">
        <v>0</v>
      </c>
      <c r="U1428" s="91">
        <v>929</v>
      </c>
      <c r="W1428" s="92">
        <f>SUMIF('O&amp;M'!$B$3:$B$87,TOTALCO!U1428,'O&amp;M'!$G$3:$G$87)+SUMIF('O&amp;M'!$B$3:$B$87,TOTALCO!V1428,'O&amp;M'!$G$3:$G$87)</f>
        <v>0</v>
      </c>
      <c r="X1428" s="85">
        <f t="shared" ca="1" si="453"/>
        <v>0</v>
      </c>
      <c r="Y1428" s="50" t="s">
        <v>454</v>
      </c>
    </row>
    <row r="1429" spans="1:25" x14ac:dyDescent="0.2">
      <c r="A1429" s="33">
        <v>25</v>
      </c>
      <c r="B1429" s="33" t="s">
        <v>580</v>
      </c>
      <c r="C1429" s="56" t="s">
        <v>741</v>
      </c>
      <c r="D1429" s="66">
        <f t="shared" ca="1" si="446"/>
        <v>34852.629999999997</v>
      </c>
      <c r="F1429" s="60">
        <f t="shared" ca="1" si="447"/>
        <v>30997.191153286592</v>
      </c>
      <c r="H1429" s="60">
        <f t="shared" ca="1" si="448"/>
        <v>1909.6796654237482</v>
      </c>
      <c r="I1429" s="60">
        <f t="shared" ca="1" si="449"/>
        <v>1945.7591812896605</v>
      </c>
      <c r="L1429" s="60">
        <f t="shared" ca="1" si="450"/>
        <v>1.0699280208698809</v>
      </c>
      <c r="M1429" s="60"/>
      <c r="N1429" s="60">
        <f t="shared" ca="1" si="451"/>
        <v>1944.6892532687907</v>
      </c>
      <c r="O1429" s="60">
        <f t="shared" ca="1" si="452"/>
        <v>631.75673613239303</v>
      </c>
      <c r="P1429" s="60">
        <f t="shared" ca="1" si="452"/>
        <v>1312.9325171363976</v>
      </c>
      <c r="Q1429" s="60">
        <f t="shared" ca="1" si="452"/>
        <v>0</v>
      </c>
      <c r="T1429" s="325">
        <v>34852.630000000005</v>
      </c>
      <c r="U1429" s="358">
        <v>930.1</v>
      </c>
      <c r="V1429" s="359">
        <v>930.2</v>
      </c>
      <c r="W1429" s="92">
        <f>SUMIF('O&amp;M'!$B$3:$B$87,TOTALCO!U1429,'O&amp;M'!$G$3:$G$87)+SUMIF('O&amp;M'!$B$3:$B$87,TOTALCO!V1429,'O&amp;M'!$G$3:$G$87)</f>
        <v>34852.630000000005</v>
      </c>
      <c r="X1429" s="85">
        <f t="shared" ca="1" si="453"/>
        <v>0</v>
      </c>
      <c r="Y1429" s="50" t="s">
        <v>454</v>
      </c>
    </row>
    <row r="1430" spans="1:25" x14ac:dyDescent="0.2">
      <c r="A1430" s="33">
        <v>26</v>
      </c>
      <c r="B1430" s="33" t="s">
        <v>581</v>
      </c>
      <c r="C1430" s="56" t="s">
        <v>741</v>
      </c>
      <c r="D1430" s="66">
        <f t="shared" ca="1" si="446"/>
        <v>0</v>
      </c>
      <c r="F1430" s="60">
        <f t="shared" ca="1" si="447"/>
        <v>0</v>
      </c>
      <c r="H1430" s="60">
        <f t="shared" ca="1" si="448"/>
        <v>0</v>
      </c>
      <c r="I1430" s="60">
        <f t="shared" ca="1" si="449"/>
        <v>0</v>
      </c>
      <c r="L1430" s="60">
        <f t="shared" ca="1" si="450"/>
        <v>0</v>
      </c>
      <c r="M1430" s="60"/>
      <c r="N1430" s="60">
        <f t="shared" ca="1" si="451"/>
        <v>0</v>
      </c>
      <c r="O1430" s="60">
        <f t="shared" ca="1" si="452"/>
        <v>0</v>
      </c>
      <c r="P1430" s="60">
        <f t="shared" ca="1" si="452"/>
        <v>0</v>
      </c>
      <c r="Q1430" s="60">
        <f t="shared" ca="1" si="452"/>
        <v>0</v>
      </c>
      <c r="T1430" s="325">
        <v>0</v>
      </c>
      <c r="U1430" s="91">
        <v>931</v>
      </c>
      <c r="W1430" s="92">
        <f>SUMIF('O&amp;M'!$B$3:$B$87,TOTALCO!U1430,'O&amp;M'!$G$3:$G$87)+SUMIF('O&amp;M'!$B$3:$B$87,TOTALCO!V1430,'O&amp;M'!$G$3:$G$87)</f>
        <v>0</v>
      </c>
      <c r="X1430" s="85">
        <f t="shared" ca="1" si="453"/>
        <v>0</v>
      </c>
      <c r="Y1430" s="50" t="s">
        <v>454</v>
      </c>
    </row>
    <row r="1431" spans="1:25" x14ac:dyDescent="0.2">
      <c r="A1431" s="33">
        <v>27</v>
      </c>
      <c r="B1431" s="33" t="s">
        <v>582</v>
      </c>
      <c r="C1431" s="56" t="s">
        <v>741</v>
      </c>
      <c r="D1431" s="66">
        <f t="shared" ca="1" si="446"/>
        <v>5695280.1600000001</v>
      </c>
      <c r="F1431" s="60">
        <f t="shared" ca="1" si="447"/>
        <v>5065261.5825847471</v>
      </c>
      <c r="H1431" s="60">
        <f t="shared" ca="1" si="448"/>
        <v>312061.40570864553</v>
      </c>
      <c r="I1431" s="60">
        <f t="shared" ca="1" si="449"/>
        <v>317957.1717066071</v>
      </c>
      <c r="L1431" s="60">
        <f t="shared" ca="1" si="450"/>
        <v>174.83730294925513</v>
      </c>
      <c r="M1431" s="60"/>
      <c r="N1431" s="60">
        <f t="shared" ca="1" si="451"/>
        <v>317782.33440365782</v>
      </c>
      <c r="O1431" s="60">
        <f t="shared" ca="1" si="452"/>
        <v>103235.5838064781</v>
      </c>
      <c r="P1431" s="60">
        <f t="shared" ca="1" si="452"/>
        <v>214546.75059717972</v>
      </c>
      <c r="Q1431" s="60">
        <f t="shared" ca="1" si="452"/>
        <v>0</v>
      </c>
      <c r="T1431" s="325">
        <v>5695280.1600000001</v>
      </c>
      <c r="U1431" s="358">
        <v>935.3</v>
      </c>
      <c r="V1431" s="359">
        <v>935.4</v>
      </c>
      <c r="W1431" s="92">
        <f>SUMIF('O&amp;M'!$B$3:$B$87,TOTALCO!U1431,'O&amp;M'!$G$3:$G$87)+SUMIF('O&amp;M'!$B$3:$B$87,TOTALCO!V1431,'O&amp;M'!$G$3:$G$87)</f>
        <v>5695280.1600000001</v>
      </c>
      <c r="X1431" s="85">
        <f t="shared" ca="1" si="453"/>
        <v>0</v>
      </c>
      <c r="Y1431" s="50" t="s">
        <v>454</v>
      </c>
    </row>
    <row r="1432" spans="1:25" x14ac:dyDescent="0.2">
      <c r="W1432" s="50"/>
    </row>
    <row r="1433" spans="1:25" x14ac:dyDescent="0.2">
      <c r="A1433" s="33">
        <v>28</v>
      </c>
      <c r="B1433" s="33" t="s">
        <v>583</v>
      </c>
      <c r="D1433" s="66">
        <f ca="1">SUM(F1433:I1433)+K1433</f>
        <v>65646329.549999997</v>
      </c>
      <c r="F1433" s="33">
        <f ca="1">SUM(F1420:F1431)</f>
        <v>58384455.508034714</v>
      </c>
      <c r="H1433" s="33">
        <f ca="1">SUM(H1420:H1431)</f>
        <v>3596958.411785312</v>
      </c>
      <c r="I1433" s="60">
        <f ca="1">(L1433+M1433+N1433)</f>
        <v>3664915.6301799677</v>
      </c>
      <c r="L1433" s="33">
        <f ca="1">SUM(L1420:L1431)</f>
        <v>2015.2524344017502</v>
      </c>
      <c r="N1433" s="60">
        <f ca="1">SUM(O1433:Q1433)</f>
        <v>3662900.377745566</v>
      </c>
      <c r="O1433" s="33">
        <f ca="1">SUM(O1420:O1431)</f>
        <v>1189939.2067565478</v>
      </c>
      <c r="P1433" s="33">
        <f ca="1">SUM(P1420:P1431)</f>
        <v>2472961.1709890179</v>
      </c>
      <c r="Q1433" s="33">
        <f ca="1">SUM(Q1420:Q1431)</f>
        <v>0</v>
      </c>
      <c r="W1433" s="50"/>
    </row>
    <row r="1434" spans="1:25" x14ac:dyDescent="0.2">
      <c r="W1434" s="50"/>
    </row>
    <row r="1435" spans="1:25" x14ac:dyDescent="0.2">
      <c r="A1435" s="33">
        <v>29</v>
      </c>
      <c r="B1435" s="33" t="s">
        <v>446</v>
      </c>
      <c r="D1435" s="66">
        <f ca="1">SUM(F1435:I1435)+K1435</f>
        <v>152351955.20000002</v>
      </c>
      <c r="F1435" s="33">
        <f ca="1">F1433+F1415+F1404+F1392</f>
        <v>135498603.05840206</v>
      </c>
      <c r="H1435" s="33">
        <f ca="1">H1433+H1415+H1404+H1392</f>
        <v>8347818.5386006702</v>
      </c>
      <c r="I1435" s="60">
        <f ca="1">(L1435+M1435+N1435)</f>
        <v>8505533.6029972769</v>
      </c>
      <c r="L1435" s="33">
        <f ca="1">L1433+L1415+L1404+L1392</f>
        <v>4676.9964247401913</v>
      </c>
      <c r="N1435" s="60">
        <f ca="1">SUM(O1435:Q1435)</f>
        <v>8500856.6065725368</v>
      </c>
      <c r="O1435" s="33">
        <f ca="1">O1433+O1415+O1404+O1392</f>
        <v>2761610.0696142744</v>
      </c>
      <c r="P1435" s="33">
        <f ca="1">P1433+P1415+P1404+P1392</f>
        <v>5739246.5369582623</v>
      </c>
      <c r="Q1435" s="491">
        <f ca="1">Q1433+Q1415+Q1404+Q1392</f>
        <v>0</v>
      </c>
      <c r="U1435" s="34" t="str">
        <f ca="1">IF(ROUND(D1435,0)=ROUND('O&amp;M'!G90,0),"ok","err")</f>
        <v>ok</v>
      </c>
      <c r="W1435" s="50"/>
    </row>
    <row r="1436" spans="1:25" x14ac:dyDescent="0.2">
      <c r="W1436" s="50"/>
    </row>
    <row r="1437" spans="1:25" x14ac:dyDescent="0.2">
      <c r="W1437" s="50"/>
    </row>
    <row r="1438" spans="1:25" x14ac:dyDescent="0.2">
      <c r="W1438" s="50"/>
    </row>
    <row r="1439" spans="1:25" x14ac:dyDescent="0.2">
      <c r="W1439" s="50"/>
    </row>
    <row r="1440" spans="1:25" x14ac:dyDescent="0.2">
      <c r="W1440" s="50"/>
    </row>
    <row r="1441" spans="23:23" x14ac:dyDescent="0.2">
      <c r="W1441" s="50"/>
    </row>
    <row r="1442" spans="23:23" x14ac:dyDescent="0.2">
      <c r="W1442" s="50"/>
    </row>
    <row r="1443" spans="23:23" x14ac:dyDescent="0.2">
      <c r="W1443" s="50"/>
    </row>
    <row r="1444" spans="23:23" x14ac:dyDescent="0.2">
      <c r="W1444" s="50"/>
    </row>
    <row r="1445" spans="23:23" x14ac:dyDescent="0.2">
      <c r="W1445" s="50"/>
    </row>
    <row r="1446" spans="23:23" x14ac:dyDescent="0.2">
      <c r="W1446" s="50"/>
    </row>
    <row r="1447" spans="23:23" x14ac:dyDescent="0.2">
      <c r="W1447" s="50"/>
    </row>
    <row r="1448" spans="23:23" x14ac:dyDescent="0.2">
      <c r="W1448" s="50"/>
    </row>
    <row r="1449" spans="23:23" x14ac:dyDescent="0.2">
      <c r="W1449" s="50"/>
    </row>
    <row r="1450" spans="23:23" x14ac:dyDescent="0.2">
      <c r="W1450" s="50"/>
    </row>
    <row r="1451" spans="23:23" x14ac:dyDescent="0.2">
      <c r="W1451" s="50"/>
    </row>
    <row r="1452" spans="23:23" x14ac:dyDescent="0.2">
      <c r="W1452" s="50"/>
    </row>
    <row r="1453" spans="23:23" x14ac:dyDescent="0.2">
      <c r="W1453" s="50"/>
    </row>
    <row r="1454" spans="23:23" x14ac:dyDescent="0.2">
      <c r="W1454" s="50"/>
    </row>
    <row r="1455" spans="23:23" x14ac:dyDescent="0.2">
      <c r="W1455" s="50"/>
    </row>
    <row r="1456" spans="23:23" x14ac:dyDescent="0.2">
      <c r="W1456" s="50"/>
    </row>
    <row r="1457" spans="23:23" x14ac:dyDescent="0.2">
      <c r="W1457" s="50"/>
    </row>
    <row r="1458" spans="23:23" x14ac:dyDescent="0.2">
      <c r="W1458" s="50"/>
    </row>
    <row r="1459" spans="23:23" x14ac:dyDescent="0.2">
      <c r="W1459" s="50"/>
    </row>
    <row r="1460" spans="23:23" x14ac:dyDescent="0.2">
      <c r="W1460" s="50"/>
    </row>
    <row r="1461" spans="23:23" x14ac:dyDescent="0.2">
      <c r="W1461" s="50"/>
    </row>
    <row r="1462" spans="23:23" x14ac:dyDescent="0.2">
      <c r="W1462" s="50"/>
    </row>
    <row r="1463" spans="23:23" x14ac:dyDescent="0.2">
      <c r="W1463" s="50"/>
    </row>
    <row r="1464" spans="23:23" x14ac:dyDescent="0.2">
      <c r="W1464" s="50"/>
    </row>
    <row r="1465" spans="23:23" x14ac:dyDescent="0.2">
      <c r="W1465" s="50"/>
    </row>
    <row r="1466" spans="23:23" x14ac:dyDescent="0.2">
      <c r="W1466" s="50"/>
    </row>
    <row r="1467" spans="23:23" x14ac:dyDescent="0.2">
      <c r="W1467" s="50"/>
    </row>
    <row r="1468" spans="23:23" x14ac:dyDescent="0.2">
      <c r="W1468" s="50"/>
    </row>
    <row r="1469" spans="23:23" x14ac:dyDescent="0.2">
      <c r="W1469" s="50"/>
    </row>
    <row r="1470" spans="23:23" x14ac:dyDescent="0.2">
      <c r="W1470" s="50"/>
    </row>
    <row r="1471" spans="23:23" x14ac:dyDescent="0.2">
      <c r="W1471" s="50"/>
    </row>
    <row r="1472" spans="23:23" x14ac:dyDescent="0.2">
      <c r="W1472" s="50"/>
    </row>
    <row r="1473" spans="23:23" x14ac:dyDescent="0.2">
      <c r="W1473" s="50"/>
    </row>
    <row r="1474" spans="23:23" x14ac:dyDescent="0.2">
      <c r="W1474" s="50"/>
    </row>
    <row r="1475" spans="23:23" x14ac:dyDescent="0.2">
      <c r="W1475" s="50"/>
    </row>
    <row r="1476" spans="23:23" x14ac:dyDescent="0.2">
      <c r="W1476" s="50"/>
    </row>
    <row r="1477" spans="23:23" x14ac:dyDescent="0.2">
      <c r="W1477" s="50"/>
    </row>
    <row r="1478" spans="23:23" x14ac:dyDescent="0.2">
      <c r="W1478" s="50"/>
    </row>
    <row r="1479" spans="23:23" x14ac:dyDescent="0.2">
      <c r="W1479" s="50"/>
    </row>
    <row r="1480" spans="23:23" x14ac:dyDescent="0.2">
      <c r="W1480" s="50"/>
    </row>
    <row r="1481" spans="23:23" x14ac:dyDescent="0.2">
      <c r="W1481" s="50"/>
    </row>
    <row r="1482" spans="23:23" x14ac:dyDescent="0.2">
      <c r="W1482" s="50"/>
    </row>
    <row r="1483" spans="23:23" x14ac:dyDescent="0.2">
      <c r="W1483" s="50"/>
    </row>
    <row r="1484" spans="23:23" x14ac:dyDescent="0.2">
      <c r="W1484" s="50"/>
    </row>
    <row r="1485" spans="23:23" x14ac:dyDescent="0.2">
      <c r="W1485" s="50"/>
    </row>
    <row r="1486" spans="23:23" x14ac:dyDescent="0.2">
      <c r="W1486" s="50"/>
    </row>
    <row r="1487" spans="23:23" x14ac:dyDescent="0.2">
      <c r="W1487" s="50"/>
    </row>
    <row r="1488" spans="23:23" x14ac:dyDescent="0.2">
      <c r="W1488" s="50"/>
    </row>
    <row r="1489" spans="23:23" x14ac:dyDescent="0.2">
      <c r="W1489" s="50"/>
    </row>
    <row r="1490" spans="23:23" x14ac:dyDescent="0.2">
      <c r="W1490" s="50"/>
    </row>
    <row r="1491" spans="23:23" x14ac:dyDescent="0.2">
      <c r="W1491" s="50"/>
    </row>
    <row r="1492" spans="23:23" x14ac:dyDescent="0.2">
      <c r="W1492" s="50"/>
    </row>
    <row r="1493" spans="23:23" x14ac:dyDescent="0.2">
      <c r="W1493" s="50"/>
    </row>
    <row r="1494" spans="23:23" x14ac:dyDescent="0.2">
      <c r="W1494" s="50"/>
    </row>
    <row r="1495" spans="23:23" x14ac:dyDescent="0.2">
      <c r="W1495" s="50"/>
    </row>
    <row r="1496" spans="23:23" x14ac:dyDescent="0.2">
      <c r="W1496" s="50"/>
    </row>
    <row r="1497" spans="23:23" x14ac:dyDescent="0.2">
      <c r="W1497" s="50"/>
    </row>
    <row r="1498" spans="23:23" x14ac:dyDescent="0.2">
      <c r="W1498" s="50"/>
    </row>
    <row r="1499" spans="23:23" x14ac:dyDescent="0.2">
      <c r="W1499" s="50"/>
    </row>
    <row r="1500" spans="23:23" x14ac:dyDescent="0.2">
      <c r="W1500" s="50"/>
    </row>
    <row r="1501" spans="23:23" x14ac:dyDescent="0.2">
      <c r="W1501" s="50"/>
    </row>
    <row r="1502" spans="23:23" x14ac:dyDescent="0.2">
      <c r="W1502" s="50"/>
    </row>
    <row r="1503" spans="23:23" x14ac:dyDescent="0.2">
      <c r="W1503" s="50"/>
    </row>
    <row r="1504" spans="23:23" x14ac:dyDescent="0.2">
      <c r="W1504" s="50"/>
    </row>
    <row r="1505" spans="23:23" x14ac:dyDescent="0.2">
      <c r="W1505" s="50"/>
    </row>
    <row r="1506" spans="23:23" x14ac:dyDescent="0.2">
      <c r="W1506" s="50"/>
    </row>
    <row r="1507" spans="23:23" x14ac:dyDescent="0.2">
      <c r="W1507" s="50"/>
    </row>
    <row r="1508" spans="23:23" x14ac:dyDescent="0.2">
      <c r="W1508" s="50"/>
    </row>
    <row r="1509" spans="23:23" x14ac:dyDescent="0.2">
      <c r="W1509" s="50"/>
    </row>
    <row r="1510" spans="23:23" x14ac:dyDescent="0.2">
      <c r="W1510" s="50"/>
    </row>
    <row r="1511" spans="23:23" x14ac:dyDescent="0.2">
      <c r="W1511" s="50"/>
    </row>
    <row r="1512" spans="23:23" x14ac:dyDescent="0.2">
      <c r="W1512" s="50"/>
    </row>
    <row r="1513" spans="23:23" x14ac:dyDescent="0.2">
      <c r="W1513" s="50"/>
    </row>
    <row r="1514" spans="23:23" x14ac:dyDescent="0.2">
      <c r="W1514" s="50"/>
    </row>
    <row r="1515" spans="23:23" x14ac:dyDescent="0.2">
      <c r="W1515" s="50"/>
    </row>
    <row r="1516" spans="23:23" x14ac:dyDescent="0.2">
      <c r="W1516" s="50"/>
    </row>
    <row r="1517" spans="23:23" x14ac:dyDescent="0.2">
      <c r="W1517" s="50"/>
    </row>
    <row r="1518" spans="23:23" x14ac:dyDescent="0.2">
      <c r="W1518" s="50"/>
    </row>
    <row r="1519" spans="23:23" x14ac:dyDescent="0.2">
      <c r="W1519" s="50"/>
    </row>
    <row r="1520" spans="23:23" x14ac:dyDescent="0.2">
      <c r="W1520" s="50"/>
    </row>
    <row r="1521" spans="23:23" x14ac:dyDescent="0.2">
      <c r="W1521" s="50"/>
    </row>
    <row r="1522" spans="23:23" x14ac:dyDescent="0.2">
      <c r="W1522" s="50"/>
    </row>
    <row r="1523" spans="23:23" x14ac:dyDescent="0.2">
      <c r="W1523" s="50"/>
    </row>
    <row r="1524" spans="23:23" x14ac:dyDescent="0.2">
      <c r="W1524" s="50"/>
    </row>
    <row r="1525" spans="23:23" x14ac:dyDescent="0.2">
      <c r="W1525" s="50"/>
    </row>
    <row r="1526" spans="23:23" x14ac:dyDescent="0.2">
      <c r="W1526" s="50"/>
    </row>
    <row r="1527" spans="23:23" x14ac:dyDescent="0.2">
      <c r="W1527" s="50"/>
    </row>
    <row r="1528" spans="23:23" x14ac:dyDescent="0.2">
      <c r="W1528" s="50"/>
    </row>
    <row r="1529" spans="23:23" x14ac:dyDescent="0.2">
      <c r="W1529" s="50"/>
    </row>
    <row r="1530" spans="23:23" x14ac:dyDescent="0.2">
      <c r="W1530" s="50"/>
    </row>
    <row r="1531" spans="23:23" x14ac:dyDescent="0.2">
      <c r="W1531" s="50"/>
    </row>
    <row r="1532" spans="23:23" x14ac:dyDescent="0.2">
      <c r="W1532" s="50"/>
    </row>
    <row r="1533" spans="23:23" x14ac:dyDescent="0.2">
      <c r="W1533" s="50"/>
    </row>
    <row r="1534" spans="23:23" x14ac:dyDescent="0.2">
      <c r="W1534" s="50"/>
    </row>
    <row r="1535" spans="23:23" x14ac:dyDescent="0.2">
      <c r="W1535" s="50"/>
    </row>
    <row r="1536" spans="23:23" x14ac:dyDescent="0.2">
      <c r="W1536" s="50"/>
    </row>
    <row r="1537" spans="23:23" x14ac:dyDescent="0.2">
      <c r="W1537" s="50"/>
    </row>
    <row r="1538" spans="23:23" x14ac:dyDescent="0.2">
      <c r="W1538" s="50"/>
    </row>
    <row r="1539" spans="23:23" x14ac:dyDescent="0.2">
      <c r="W1539" s="50"/>
    </row>
    <row r="1540" spans="23:23" x14ac:dyDescent="0.2">
      <c r="W1540" s="50"/>
    </row>
    <row r="1541" spans="23:23" x14ac:dyDescent="0.2">
      <c r="W1541" s="50"/>
    </row>
    <row r="1542" spans="23:23" x14ac:dyDescent="0.2">
      <c r="W1542" s="50"/>
    </row>
    <row r="1543" spans="23:23" x14ac:dyDescent="0.2">
      <c r="W1543" s="50"/>
    </row>
    <row r="1544" spans="23:23" x14ac:dyDescent="0.2">
      <c r="W1544" s="50"/>
    </row>
    <row r="1545" spans="23:23" x14ac:dyDescent="0.2">
      <c r="W1545" s="50"/>
    </row>
    <row r="1546" spans="23:23" x14ac:dyDescent="0.2">
      <c r="W1546" s="50"/>
    </row>
    <row r="1547" spans="23:23" x14ac:dyDescent="0.2">
      <c r="W1547" s="50"/>
    </row>
    <row r="1548" spans="23:23" x14ac:dyDescent="0.2">
      <c r="W1548" s="50"/>
    </row>
    <row r="1549" spans="23:23" x14ac:dyDescent="0.2">
      <c r="W1549" s="50"/>
    </row>
    <row r="1550" spans="23:23" x14ac:dyDescent="0.2">
      <c r="W1550" s="50"/>
    </row>
    <row r="1551" spans="23:23" x14ac:dyDescent="0.2">
      <c r="W1551" s="50"/>
    </row>
    <row r="1552" spans="23:23" x14ac:dyDescent="0.2">
      <c r="W1552" s="50"/>
    </row>
    <row r="1553" spans="23:23" x14ac:dyDescent="0.2">
      <c r="W1553" s="50"/>
    </row>
    <row r="1554" spans="23:23" x14ac:dyDescent="0.2">
      <c r="W1554" s="50"/>
    </row>
    <row r="1555" spans="23:23" x14ac:dyDescent="0.2">
      <c r="W1555" s="50"/>
    </row>
    <row r="1556" spans="23:23" x14ac:dyDescent="0.2">
      <c r="W1556" s="50"/>
    </row>
    <row r="1557" spans="23:23" x14ac:dyDescent="0.2">
      <c r="W1557" s="50"/>
    </row>
    <row r="1558" spans="23:23" x14ac:dyDescent="0.2">
      <c r="W1558" s="50"/>
    </row>
    <row r="1559" spans="23:23" x14ac:dyDescent="0.2">
      <c r="W1559" s="50"/>
    </row>
    <row r="1560" spans="23:23" x14ac:dyDescent="0.2">
      <c r="W1560" s="50"/>
    </row>
    <row r="1561" spans="23:23" x14ac:dyDescent="0.2">
      <c r="W1561" s="50"/>
    </row>
    <row r="1562" spans="23:23" x14ac:dyDescent="0.2">
      <c r="W1562" s="50"/>
    </row>
    <row r="1563" spans="23:23" x14ac:dyDescent="0.2">
      <c r="W1563" s="50"/>
    </row>
    <row r="1564" spans="23:23" x14ac:dyDescent="0.2">
      <c r="W1564" s="50"/>
    </row>
    <row r="1565" spans="23:23" x14ac:dyDescent="0.2">
      <c r="W1565" s="50"/>
    </row>
    <row r="1566" spans="23:23" x14ac:dyDescent="0.2">
      <c r="W1566" s="50"/>
    </row>
    <row r="1567" spans="23:23" x14ac:dyDescent="0.2">
      <c r="W1567" s="50"/>
    </row>
    <row r="1568" spans="23:23" x14ac:dyDescent="0.2">
      <c r="W1568" s="50"/>
    </row>
    <row r="1569" spans="23:23" x14ac:dyDescent="0.2">
      <c r="W1569" s="50"/>
    </row>
    <row r="1570" spans="23:23" x14ac:dyDescent="0.2">
      <c r="W1570" s="50"/>
    </row>
    <row r="1571" spans="23:23" x14ac:dyDescent="0.2">
      <c r="W1571" s="50"/>
    </row>
    <row r="1572" spans="23:23" x14ac:dyDescent="0.2">
      <c r="W1572" s="50"/>
    </row>
    <row r="1573" spans="23:23" x14ac:dyDescent="0.2">
      <c r="W1573" s="50"/>
    </row>
    <row r="1574" spans="23:23" x14ac:dyDescent="0.2">
      <c r="W1574" s="50"/>
    </row>
    <row r="1575" spans="23:23" x14ac:dyDescent="0.2">
      <c r="W1575" s="50"/>
    </row>
    <row r="1576" spans="23:23" x14ac:dyDescent="0.2">
      <c r="W1576" s="50"/>
    </row>
    <row r="1577" spans="23:23" x14ac:dyDescent="0.2">
      <c r="W1577" s="50"/>
    </row>
    <row r="1578" spans="23:23" x14ac:dyDescent="0.2">
      <c r="W1578" s="50"/>
    </row>
    <row r="1579" spans="23:23" x14ac:dyDescent="0.2">
      <c r="W1579" s="50"/>
    </row>
    <row r="1580" spans="23:23" x14ac:dyDescent="0.2">
      <c r="W1580" s="50"/>
    </row>
    <row r="1581" spans="23:23" x14ac:dyDescent="0.2">
      <c r="W1581" s="50"/>
    </row>
    <row r="1582" spans="23:23" x14ac:dyDescent="0.2">
      <c r="W1582" s="50"/>
    </row>
    <row r="1583" spans="23:23" x14ac:dyDescent="0.2">
      <c r="W1583" s="50"/>
    </row>
    <row r="1584" spans="23:23" x14ac:dyDescent="0.2">
      <c r="W1584" s="50"/>
    </row>
    <row r="1585" spans="23:23" x14ac:dyDescent="0.2">
      <c r="W1585" s="50"/>
    </row>
    <row r="1586" spans="23:23" x14ac:dyDescent="0.2">
      <c r="W1586" s="50"/>
    </row>
    <row r="1587" spans="23:23" x14ac:dyDescent="0.2">
      <c r="W1587" s="50"/>
    </row>
    <row r="1588" spans="23:23" x14ac:dyDescent="0.2">
      <c r="W1588" s="50"/>
    </row>
    <row r="1589" spans="23:23" x14ac:dyDescent="0.2">
      <c r="W1589" s="50"/>
    </row>
    <row r="1590" spans="23:23" x14ac:dyDescent="0.2">
      <c r="W1590" s="50"/>
    </row>
    <row r="1591" spans="23:23" x14ac:dyDescent="0.2">
      <c r="W1591" s="50"/>
    </row>
    <row r="1592" spans="23:23" x14ac:dyDescent="0.2">
      <c r="W1592" s="50"/>
    </row>
    <row r="1593" spans="23:23" x14ac:dyDescent="0.2">
      <c r="W1593" s="50"/>
    </row>
    <row r="1594" spans="23:23" x14ac:dyDescent="0.2">
      <c r="W1594" s="50"/>
    </row>
    <row r="1595" spans="23:23" x14ac:dyDescent="0.2">
      <c r="W1595" s="50"/>
    </row>
    <row r="1596" spans="23:23" x14ac:dyDescent="0.2">
      <c r="W1596" s="50"/>
    </row>
    <row r="1597" spans="23:23" x14ac:dyDescent="0.2">
      <c r="W1597" s="50"/>
    </row>
    <row r="1598" spans="23:23" x14ac:dyDescent="0.2">
      <c r="W1598" s="50"/>
    </row>
    <row r="1599" spans="23:23" x14ac:dyDescent="0.2">
      <c r="W1599" s="50"/>
    </row>
    <row r="1600" spans="23:23" x14ac:dyDescent="0.2">
      <c r="W1600" s="50"/>
    </row>
    <row r="1601" spans="23:23" x14ac:dyDescent="0.2">
      <c r="W1601" s="50"/>
    </row>
    <row r="1602" spans="23:23" x14ac:dyDescent="0.2">
      <c r="W1602" s="50"/>
    </row>
    <row r="1603" spans="23:23" x14ac:dyDescent="0.2">
      <c r="W1603" s="50"/>
    </row>
    <row r="1604" spans="23:23" x14ac:dyDescent="0.2">
      <c r="W1604" s="50"/>
    </row>
    <row r="1605" spans="23:23" x14ac:dyDescent="0.2">
      <c r="W1605" s="50"/>
    </row>
    <row r="1606" spans="23:23" x14ac:dyDescent="0.2">
      <c r="W1606" s="50"/>
    </row>
    <row r="1607" spans="23:23" x14ac:dyDescent="0.2">
      <c r="W1607" s="50"/>
    </row>
    <row r="1608" spans="23:23" x14ac:dyDescent="0.2">
      <c r="W1608" s="50"/>
    </row>
    <row r="1609" spans="23:23" x14ac:dyDescent="0.2">
      <c r="W1609" s="50"/>
    </row>
    <row r="1610" spans="23:23" x14ac:dyDescent="0.2">
      <c r="W1610" s="50"/>
    </row>
    <row r="1611" spans="23:23" x14ac:dyDescent="0.2">
      <c r="W1611" s="50"/>
    </row>
    <row r="1612" spans="23:23" x14ac:dyDescent="0.2">
      <c r="W1612" s="50"/>
    </row>
    <row r="1613" spans="23:23" x14ac:dyDescent="0.2">
      <c r="W1613" s="50"/>
    </row>
    <row r="1614" spans="23:23" x14ac:dyDescent="0.2">
      <c r="W1614" s="50"/>
    </row>
    <row r="1615" spans="23:23" x14ac:dyDescent="0.2">
      <c r="W1615" s="50"/>
    </row>
    <row r="1616" spans="23:23" x14ac:dyDescent="0.2">
      <c r="W1616" s="50"/>
    </row>
    <row r="1617" spans="23:23" x14ac:dyDescent="0.2">
      <c r="W1617" s="50"/>
    </row>
    <row r="1618" spans="23:23" x14ac:dyDescent="0.2">
      <c r="W1618" s="50"/>
    </row>
    <row r="1619" spans="23:23" x14ac:dyDescent="0.2">
      <c r="W1619" s="50"/>
    </row>
    <row r="1620" spans="23:23" x14ac:dyDescent="0.2">
      <c r="W1620" s="50"/>
    </row>
    <row r="1621" spans="23:23" x14ac:dyDescent="0.2">
      <c r="W1621" s="50"/>
    </row>
    <row r="1622" spans="23:23" x14ac:dyDescent="0.2">
      <c r="W1622" s="50"/>
    </row>
    <row r="1623" spans="23:23" x14ac:dyDescent="0.2">
      <c r="W1623" s="50"/>
    </row>
    <row r="1624" spans="23:23" x14ac:dyDescent="0.2">
      <c r="W1624" s="50"/>
    </row>
    <row r="1625" spans="23:23" x14ac:dyDescent="0.2">
      <c r="W1625" s="50"/>
    </row>
    <row r="1626" spans="23:23" x14ac:dyDescent="0.2">
      <c r="W1626" s="50"/>
    </row>
    <row r="1627" spans="23:23" x14ac:dyDescent="0.2">
      <c r="W1627" s="50"/>
    </row>
    <row r="1628" spans="23:23" x14ac:dyDescent="0.2">
      <c r="W1628" s="50"/>
    </row>
    <row r="1629" spans="23:23" x14ac:dyDescent="0.2">
      <c r="W1629" s="50"/>
    </row>
    <row r="1630" spans="23:23" x14ac:dyDescent="0.2">
      <c r="W1630" s="50"/>
    </row>
    <row r="1631" spans="23:23" x14ac:dyDescent="0.2">
      <c r="W1631" s="50"/>
    </row>
    <row r="1632" spans="23:23" x14ac:dyDescent="0.2">
      <c r="W1632" s="50"/>
    </row>
    <row r="1633" spans="23:23" x14ac:dyDescent="0.2">
      <c r="W1633" s="50"/>
    </row>
    <row r="1634" spans="23:23" x14ac:dyDescent="0.2">
      <c r="W1634" s="50"/>
    </row>
    <row r="1635" spans="23:23" x14ac:dyDescent="0.2">
      <c r="W1635" s="50"/>
    </row>
    <row r="1636" spans="23:23" x14ac:dyDescent="0.2">
      <c r="W1636" s="50"/>
    </row>
    <row r="1637" spans="23:23" x14ac:dyDescent="0.2">
      <c r="W1637" s="50"/>
    </row>
    <row r="1638" spans="23:23" x14ac:dyDescent="0.2">
      <c r="W1638" s="50"/>
    </row>
    <row r="1639" spans="23:23" x14ac:dyDescent="0.2">
      <c r="W1639" s="50"/>
    </row>
    <row r="1640" spans="23:23" x14ac:dyDescent="0.2">
      <c r="W1640" s="50"/>
    </row>
    <row r="1641" spans="23:23" x14ac:dyDescent="0.2">
      <c r="W1641" s="50"/>
    </row>
    <row r="1642" spans="23:23" x14ac:dyDescent="0.2">
      <c r="W1642" s="50"/>
    </row>
    <row r="1643" spans="23:23" x14ac:dyDescent="0.2">
      <c r="W1643" s="50"/>
    </row>
    <row r="1644" spans="23:23" x14ac:dyDescent="0.2">
      <c r="W1644" s="50"/>
    </row>
    <row r="1645" spans="23:23" x14ac:dyDescent="0.2">
      <c r="W1645" s="50"/>
    </row>
    <row r="1646" spans="23:23" x14ac:dyDescent="0.2">
      <c r="W1646" s="50"/>
    </row>
    <row r="1647" spans="23:23" x14ac:dyDescent="0.2">
      <c r="W1647" s="50"/>
    </row>
    <row r="1648" spans="23:23" x14ac:dyDescent="0.2">
      <c r="W1648" s="50"/>
    </row>
    <row r="1649" spans="23:23" x14ac:dyDescent="0.2">
      <c r="W1649" s="50"/>
    </row>
    <row r="1650" spans="23:23" x14ac:dyDescent="0.2">
      <c r="W1650" s="50"/>
    </row>
    <row r="1651" spans="23:23" x14ac:dyDescent="0.2">
      <c r="W1651" s="50"/>
    </row>
    <row r="1652" spans="23:23" x14ac:dyDescent="0.2">
      <c r="W1652" s="50"/>
    </row>
    <row r="1653" spans="23:23" x14ac:dyDescent="0.2">
      <c r="W1653" s="50"/>
    </row>
    <row r="1654" spans="23:23" x14ac:dyDescent="0.2">
      <c r="W1654" s="50"/>
    </row>
    <row r="1655" spans="23:23" x14ac:dyDescent="0.2">
      <c r="W1655" s="50"/>
    </row>
    <row r="1656" spans="23:23" x14ac:dyDescent="0.2">
      <c r="W1656" s="50"/>
    </row>
    <row r="1657" spans="23:23" x14ac:dyDescent="0.2">
      <c r="W1657" s="50"/>
    </row>
    <row r="1658" spans="23:23" x14ac:dyDescent="0.2">
      <c r="W1658" s="50"/>
    </row>
    <row r="1659" spans="23:23" x14ac:dyDescent="0.2">
      <c r="W1659" s="50"/>
    </row>
    <row r="1660" spans="23:23" x14ac:dyDescent="0.2">
      <c r="W1660" s="50"/>
    </row>
    <row r="1661" spans="23:23" x14ac:dyDescent="0.2">
      <c r="W1661" s="50"/>
    </row>
    <row r="1662" spans="23:23" x14ac:dyDescent="0.2">
      <c r="W1662" s="50"/>
    </row>
    <row r="1663" spans="23:23" x14ac:dyDescent="0.2">
      <c r="W1663" s="50"/>
    </row>
    <row r="1664" spans="23:23" x14ac:dyDescent="0.2">
      <c r="W1664" s="50"/>
    </row>
    <row r="1665" spans="23:23" x14ac:dyDescent="0.2">
      <c r="W1665" s="50"/>
    </row>
    <row r="1666" spans="23:23" x14ac:dyDescent="0.2">
      <c r="W1666" s="50"/>
    </row>
    <row r="1667" spans="23:23" x14ac:dyDescent="0.2">
      <c r="W1667" s="50"/>
    </row>
    <row r="1668" spans="23:23" x14ac:dyDescent="0.2">
      <c r="W1668" s="50"/>
    </row>
    <row r="1669" spans="23:23" x14ac:dyDescent="0.2">
      <c r="W1669" s="50"/>
    </row>
    <row r="1670" spans="23:23" x14ac:dyDescent="0.2">
      <c r="W1670" s="50"/>
    </row>
    <row r="1671" spans="23:23" x14ac:dyDescent="0.2">
      <c r="W1671" s="50"/>
    </row>
    <row r="1672" spans="23:23" x14ac:dyDescent="0.2">
      <c r="W1672" s="50"/>
    </row>
    <row r="1673" spans="23:23" x14ac:dyDescent="0.2">
      <c r="W1673" s="50"/>
    </row>
    <row r="1674" spans="23:23" x14ac:dyDescent="0.2">
      <c r="W1674" s="50"/>
    </row>
    <row r="1675" spans="23:23" x14ac:dyDescent="0.2">
      <c r="W1675" s="50"/>
    </row>
    <row r="1676" spans="23:23" x14ac:dyDescent="0.2">
      <c r="W1676" s="50"/>
    </row>
    <row r="1677" spans="23:23" x14ac:dyDescent="0.2">
      <c r="W1677" s="50"/>
    </row>
    <row r="1678" spans="23:23" x14ac:dyDescent="0.2">
      <c r="W1678" s="50"/>
    </row>
    <row r="1679" spans="23:23" x14ac:dyDescent="0.2">
      <c r="W1679" s="50"/>
    </row>
    <row r="1680" spans="23:23" x14ac:dyDescent="0.2">
      <c r="W1680" s="50"/>
    </row>
    <row r="1681" spans="23:23" x14ac:dyDescent="0.2">
      <c r="W1681" s="50"/>
    </row>
    <row r="1682" spans="23:23" x14ac:dyDescent="0.2">
      <c r="W1682" s="50"/>
    </row>
    <row r="1683" spans="23:23" x14ac:dyDescent="0.2">
      <c r="W1683" s="50"/>
    </row>
    <row r="1684" spans="23:23" x14ac:dyDescent="0.2">
      <c r="W1684" s="50"/>
    </row>
    <row r="1685" spans="23:23" x14ac:dyDescent="0.2">
      <c r="W1685" s="50"/>
    </row>
    <row r="1686" spans="23:23" x14ac:dyDescent="0.2">
      <c r="W1686" s="50"/>
    </row>
    <row r="1687" spans="23:23" x14ac:dyDescent="0.2">
      <c r="W1687" s="50"/>
    </row>
    <row r="1688" spans="23:23" x14ac:dyDescent="0.2">
      <c r="W1688" s="50"/>
    </row>
    <row r="1689" spans="23:23" x14ac:dyDescent="0.2">
      <c r="W1689" s="50"/>
    </row>
    <row r="1690" spans="23:23" x14ac:dyDescent="0.2">
      <c r="W1690" s="50"/>
    </row>
    <row r="1691" spans="23:23" x14ac:dyDescent="0.2">
      <c r="W1691" s="50"/>
    </row>
    <row r="1692" spans="23:23" x14ac:dyDescent="0.2">
      <c r="W1692" s="50"/>
    </row>
    <row r="1693" spans="23:23" x14ac:dyDescent="0.2">
      <c r="W1693" s="50"/>
    </row>
    <row r="1694" spans="23:23" x14ac:dyDescent="0.2">
      <c r="W1694" s="50"/>
    </row>
    <row r="1695" spans="23:23" x14ac:dyDescent="0.2">
      <c r="W1695" s="50"/>
    </row>
    <row r="1696" spans="23:23" x14ac:dyDescent="0.2">
      <c r="W1696" s="50"/>
    </row>
    <row r="1697" spans="23:23" x14ac:dyDescent="0.2">
      <c r="W1697" s="50"/>
    </row>
    <row r="1698" spans="23:23" x14ac:dyDescent="0.2">
      <c r="W1698" s="50"/>
    </row>
    <row r="1699" spans="23:23" x14ac:dyDescent="0.2">
      <c r="W1699" s="50"/>
    </row>
    <row r="1700" spans="23:23" x14ac:dyDescent="0.2">
      <c r="W1700" s="50"/>
    </row>
    <row r="1701" spans="23:23" x14ac:dyDescent="0.2">
      <c r="W1701" s="50"/>
    </row>
    <row r="1702" spans="23:23" x14ac:dyDescent="0.2">
      <c r="W1702" s="50"/>
    </row>
    <row r="1703" spans="23:23" x14ac:dyDescent="0.2">
      <c r="W1703" s="50"/>
    </row>
    <row r="1704" spans="23:23" x14ac:dyDescent="0.2">
      <c r="W1704" s="50"/>
    </row>
    <row r="1705" spans="23:23" x14ac:dyDescent="0.2">
      <c r="W1705" s="50"/>
    </row>
    <row r="1706" spans="23:23" x14ac:dyDescent="0.2">
      <c r="W1706" s="50"/>
    </row>
    <row r="1707" spans="23:23" x14ac:dyDescent="0.2">
      <c r="W1707" s="50"/>
    </row>
    <row r="1708" spans="23:23" x14ac:dyDescent="0.2">
      <c r="W1708" s="50"/>
    </row>
    <row r="1709" spans="23:23" x14ac:dyDescent="0.2">
      <c r="W1709" s="50"/>
    </row>
    <row r="1710" spans="23:23" x14ac:dyDescent="0.2">
      <c r="W1710" s="50"/>
    </row>
    <row r="1711" spans="23:23" x14ac:dyDescent="0.2">
      <c r="W1711" s="50"/>
    </row>
    <row r="1712" spans="23:23" x14ac:dyDescent="0.2">
      <c r="W1712" s="50"/>
    </row>
    <row r="1713" spans="23:23" x14ac:dyDescent="0.2">
      <c r="W1713" s="50"/>
    </row>
    <row r="1714" spans="23:23" x14ac:dyDescent="0.2">
      <c r="W1714" s="50"/>
    </row>
    <row r="1715" spans="23:23" x14ac:dyDescent="0.2">
      <c r="W1715" s="50"/>
    </row>
    <row r="1716" spans="23:23" x14ac:dyDescent="0.2">
      <c r="W1716" s="50"/>
    </row>
    <row r="1717" spans="23:23" x14ac:dyDescent="0.2">
      <c r="W1717" s="50"/>
    </row>
    <row r="1718" spans="23:23" x14ac:dyDescent="0.2">
      <c r="W1718" s="50"/>
    </row>
    <row r="1719" spans="23:23" x14ac:dyDescent="0.2">
      <c r="W1719" s="50"/>
    </row>
    <row r="1720" spans="23:23" x14ac:dyDescent="0.2">
      <c r="W1720" s="50"/>
    </row>
    <row r="1721" spans="23:23" x14ac:dyDescent="0.2">
      <c r="W1721" s="50"/>
    </row>
    <row r="1722" spans="23:23" x14ac:dyDescent="0.2">
      <c r="W1722" s="50"/>
    </row>
    <row r="1723" spans="23:23" x14ac:dyDescent="0.2">
      <c r="W1723" s="50"/>
    </row>
    <row r="1724" spans="23:23" x14ac:dyDescent="0.2">
      <c r="W1724" s="50"/>
    </row>
    <row r="1725" spans="23:23" x14ac:dyDescent="0.2">
      <c r="W1725" s="50"/>
    </row>
    <row r="1726" spans="23:23" x14ac:dyDescent="0.2">
      <c r="W1726" s="50"/>
    </row>
    <row r="1727" spans="23:23" x14ac:dyDescent="0.2">
      <c r="W1727" s="50"/>
    </row>
    <row r="1728" spans="23:23" x14ac:dyDescent="0.2">
      <c r="W1728" s="50"/>
    </row>
    <row r="1729" spans="23:23" x14ac:dyDescent="0.2">
      <c r="W1729" s="50"/>
    </row>
    <row r="1730" spans="23:23" x14ac:dyDescent="0.2">
      <c r="W1730" s="50"/>
    </row>
    <row r="1731" spans="23:23" x14ac:dyDescent="0.2">
      <c r="W1731" s="50"/>
    </row>
    <row r="1732" spans="23:23" x14ac:dyDescent="0.2">
      <c r="W1732" s="50"/>
    </row>
    <row r="1733" spans="23:23" x14ac:dyDescent="0.2">
      <c r="W1733" s="50"/>
    </row>
    <row r="1734" spans="23:23" x14ac:dyDescent="0.2">
      <c r="W1734" s="50"/>
    </row>
    <row r="1735" spans="23:23" x14ac:dyDescent="0.2">
      <c r="W1735" s="50"/>
    </row>
    <row r="1736" spans="23:23" x14ac:dyDescent="0.2">
      <c r="W1736" s="50"/>
    </row>
    <row r="1737" spans="23:23" x14ac:dyDescent="0.2">
      <c r="W1737" s="50"/>
    </row>
    <row r="1738" spans="23:23" x14ac:dyDescent="0.2">
      <c r="W1738" s="50"/>
    </row>
    <row r="1739" spans="23:23" x14ac:dyDescent="0.2">
      <c r="W1739" s="50"/>
    </row>
    <row r="1740" spans="23:23" x14ac:dyDescent="0.2">
      <c r="W1740" s="50"/>
    </row>
    <row r="1741" spans="23:23" x14ac:dyDescent="0.2">
      <c r="W1741" s="50"/>
    </row>
    <row r="1742" spans="23:23" x14ac:dyDescent="0.2">
      <c r="W1742" s="50"/>
    </row>
    <row r="1743" spans="23:23" x14ac:dyDescent="0.2">
      <c r="W1743" s="50"/>
    </row>
    <row r="1744" spans="23:23" x14ac:dyDescent="0.2">
      <c r="W1744" s="50"/>
    </row>
    <row r="1745" spans="23:23" x14ac:dyDescent="0.2">
      <c r="W1745" s="50"/>
    </row>
    <row r="1746" spans="23:23" x14ac:dyDescent="0.2">
      <c r="W1746" s="50"/>
    </row>
    <row r="1747" spans="23:23" x14ac:dyDescent="0.2">
      <c r="W1747" s="50"/>
    </row>
    <row r="1748" spans="23:23" x14ac:dyDescent="0.2">
      <c r="W1748" s="50"/>
    </row>
    <row r="1749" spans="23:23" x14ac:dyDescent="0.2">
      <c r="W1749" s="50"/>
    </row>
    <row r="1750" spans="23:23" x14ac:dyDescent="0.2">
      <c r="W1750" s="50"/>
    </row>
    <row r="1751" spans="23:23" x14ac:dyDescent="0.2">
      <c r="W1751" s="50"/>
    </row>
    <row r="1752" spans="23:23" x14ac:dyDescent="0.2">
      <c r="W1752" s="50"/>
    </row>
    <row r="1753" spans="23:23" x14ac:dyDescent="0.2">
      <c r="W1753" s="50"/>
    </row>
    <row r="1754" spans="23:23" x14ac:dyDescent="0.2">
      <c r="W1754" s="50"/>
    </row>
    <row r="1755" spans="23:23" x14ac:dyDescent="0.2">
      <c r="W1755" s="50"/>
    </row>
    <row r="1756" spans="23:23" x14ac:dyDescent="0.2">
      <c r="W1756" s="50"/>
    </row>
    <row r="1757" spans="23:23" x14ac:dyDescent="0.2">
      <c r="W1757" s="50"/>
    </row>
    <row r="1758" spans="23:23" x14ac:dyDescent="0.2">
      <c r="W1758" s="50"/>
    </row>
    <row r="1759" spans="23:23" x14ac:dyDescent="0.2">
      <c r="W1759" s="50"/>
    </row>
    <row r="1760" spans="23:23" x14ac:dyDescent="0.2">
      <c r="W1760" s="50"/>
    </row>
    <row r="1761" spans="23:23" x14ac:dyDescent="0.2">
      <c r="W1761" s="50"/>
    </row>
    <row r="1762" spans="23:23" x14ac:dyDescent="0.2">
      <c r="W1762" s="50"/>
    </row>
    <row r="1763" spans="23:23" x14ac:dyDescent="0.2">
      <c r="W1763" s="50"/>
    </row>
    <row r="1764" spans="23:23" x14ac:dyDescent="0.2">
      <c r="W1764" s="50"/>
    </row>
    <row r="1765" spans="23:23" x14ac:dyDescent="0.2">
      <c r="W1765" s="50"/>
    </row>
    <row r="1766" spans="23:23" x14ac:dyDescent="0.2">
      <c r="W1766" s="50"/>
    </row>
    <row r="1767" spans="23:23" x14ac:dyDescent="0.2">
      <c r="W1767" s="50"/>
    </row>
    <row r="1768" spans="23:23" x14ac:dyDescent="0.2">
      <c r="W1768" s="50"/>
    </row>
    <row r="1769" spans="23:23" x14ac:dyDescent="0.2">
      <c r="W1769" s="50"/>
    </row>
    <row r="1770" spans="23:23" x14ac:dyDescent="0.2">
      <c r="W1770" s="50"/>
    </row>
    <row r="1771" spans="23:23" x14ac:dyDescent="0.2">
      <c r="W1771" s="50"/>
    </row>
    <row r="1772" spans="23:23" x14ac:dyDescent="0.2">
      <c r="W1772" s="50"/>
    </row>
    <row r="1773" spans="23:23" x14ac:dyDescent="0.2">
      <c r="W1773" s="50"/>
    </row>
    <row r="1774" spans="23:23" x14ac:dyDescent="0.2">
      <c r="W1774" s="50"/>
    </row>
    <row r="1775" spans="23:23" x14ac:dyDescent="0.2">
      <c r="W1775" s="50"/>
    </row>
    <row r="1776" spans="23:23" x14ac:dyDescent="0.2">
      <c r="W1776" s="50"/>
    </row>
    <row r="1777" spans="23:23" x14ac:dyDescent="0.2">
      <c r="W1777" s="50"/>
    </row>
    <row r="1778" spans="23:23" x14ac:dyDescent="0.2">
      <c r="W1778" s="50"/>
    </row>
    <row r="1779" spans="23:23" x14ac:dyDescent="0.2">
      <c r="W1779" s="50"/>
    </row>
    <row r="1780" spans="23:23" x14ac:dyDescent="0.2">
      <c r="W1780" s="50"/>
    </row>
    <row r="1781" spans="23:23" x14ac:dyDescent="0.2">
      <c r="W1781" s="50"/>
    </row>
    <row r="1782" spans="23:23" x14ac:dyDescent="0.2">
      <c r="W1782" s="50"/>
    </row>
    <row r="1783" spans="23:23" x14ac:dyDescent="0.2">
      <c r="W1783" s="50"/>
    </row>
    <row r="1784" spans="23:23" x14ac:dyDescent="0.2">
      <c r="W1784" s="50"/>
    </row>
    <row r="1785" spans="23:23" x14ac:dyDescent="0.2">
      <c r="W1785" s="50"/>
    </row>
    <row r="1786" spans="23:23" x14ac:dyDescent="0.2">
      <c r="W1786" s="50"/>
    </row>
    <row r="1787" spans="23:23" x14ac:dyDescent="0.2">
      <c r="W1787" s="50"/>
    </row>
    <row r="1788" spans="23:23" x14ac:dyDescent="0.2">
      <c r="W1788" s="50"/>
    </row>
    <row r="1789" spans="23:23" x14ac:dyDescent="0.2">
      <c r="W1789" s="50"/>
    </row>
    <row r="1790" spans="23:23" x14ac:dyDescent="0.2">
      <c r="W1790" s="50"/>
    </row>
    <row r="1791" spans="23:23" x14ac:dyDescent="0.2">
      <c r="W1791" s="50"/>
    </row>
    <row r="1792" spans="23:23" x14ac:dyDescent="0.2">
      <c r="W1792" s="50"/>
    </row>
    <row r="1793" spans="23:23" x14ac:dyDescent="0.2">
      <c r="W1793" s="50"/>
    </row>
    <row r="1794" spans="23:23" x14ac:dyDescent="0.2">
      <c r="W1794" s="50"/>
    </row>
    <row r="1795" spans="23:23" x14ac:dyDescent="0.2">
      <c r="W1795" s="50"/>
    </row>
    <row r="1796" spans="23:23" x14ac:dyDescent="0.2">
      <c r="W1796" s="50"/>
    </row>
    <row r="1797" spans="23:23" x14ac:dyDescent="0.2">
      <c r="W1797" s="50"/>
    </row>
    <row r="1798" spans="23:23" x14ac:dyDescent="0.2">
      <c r="W1798" s="50"/>
    </row>
    <row r="1799" spans="23:23" x14ac:dyDescent="0.2">
      <c r="W1799" s="50"/>
    </row>
    <row r="1800" spans="23:23" x14ac:dyDescent="0.2">
      <c r="W1800" s="50"/>
    </row>
    <row r="1801" spans="23:23" x14ac:dyDescent="0.2">
      <c r="W1801" s="50"/>
    </row>
    <row r="1802" spans="23:23" x14ac:dyDescent="0.2">
      <c r="W1802" s="50"/>
    </row>
    <row r="1803" spans="23:23" x14ac:dyDescent="0.2">
      <c r="W1803" s="50"/>
    </row>
    <row r="1804" spans="23:23" x14ac:dyDescent="0.2">
      <c r="W1804" s="50"/>
    </row>
    <row r="1805" spans="23:23" x14ac:dyDescent="0.2">
      <c r="W1805" s="50"/>
    </row>
    <row r="1806" spans="23:23" x14ac:dyDescent="0.2">
      <c r="W1806" s="50"/>
    </row>
    <row r="1807" spans="23:23" x14ac:dyDescent="0.2">
      <c r="W1807" s="50"/>
    </row>
    <row r="1808" spans="23:23" x14ac:dyDescent="0.2">
      <c r="W1808" s="50"/>
    </row>
    <row r="1809" spans="23:23" x14ac:dyDescent="0.2">
      <c r="W1809" s="50"/>
    </row>
    <row r="1810" spans="23:23" x14ac:dyDescent="0.2">
      <c r="W1810" s="50"/>
    </row>
    <row r="1811" spans="23:23" x14ac:dyDescent="0.2">
      <c r="W1811" s="50"/>
    </row>
    <row r="1812" spans="23:23" x14ac:dyDescent="0.2">
      <c r="W1812" s="50"/>
    </row>
    <row r="1813" spans="23:23" x14ac:dyDescent="0.2">
      <c r="W1813" s="50"/>
    </row>
    <row r="1814" spans="23:23" x14ac:dyDescent="0.2">
      <c r="W1814" s="50"/>
    </row>
    <row r="1815" spans="23:23" x14ac:dyDescent="0.2">
      <c r="W1815" s="50"/>
    </row>
    <row r="1816" spans="23:23" x14ac:dyDescent="0.2">
      <c r="W1816" s="50"/>
    </row>
    <row r="1817" spans="23:23" x14ac:dyDescent="0.2">
      <c r="W1817" s="50"/>
    </row>
    <row r="1818" spans="23:23" x14ac:dyDescent="0.2">
      <c r="W1818" s="50"/>
    </row>
    <row r="1819" spans="23:23" x14ac:dyDescent="0.2">
      <c r="W1819" s="50"/>
    </row>
    <row r="1820" spans="23:23" x14ac:dyDescent="0.2">
      <c r="W1820" s="50"/>
    </row>
    <row r="1821" spans="23:23" x14ac:dyDescent="0.2">
      <c r="W1821" s="50"/>
    </row>
    <row r="1822" spans="23:23" x14ac:dyDescent="0.2">
      <c r="W1822" s="50"/>
    </row>
    <row r="1823" spans="23:23" x14ac:dyDescent="0.2">
      <c r="W1823" s="50"/>
    </row>
    <row r="1824" spans="23:23" x14ac:dyDescent="0.2">
      <c r="W1824" s="50"/>
    </row>
    <row r="1825" spans="23:23" x14ac:dyDescent="0.2">
      <c r="W1825" s="50"/>
    </row>
    <row r="1826" spans="23:23" x14ac:dyDescent="0.2">
      <c r="W1826" s="50"/>
    </row>
    <row r="1827" spans="23:23" x14ac:dyDescent="0.2">
      <c r="W1827" s="50"/>
    </row>
    <row r="1828" spans="23:23" x14ac:dyDescent="0.2">
      <c r="W1828" s="50"/>
    </row>
    <row r="1829" spans="23:23" x14ac:dyDescent="0.2">
      <c r="W1829" s="50"/>
    </row>
    <row r="1830" spans="23:23" x14ac:dyDescent="0.2">
      <c r="W1830" s="50"/>
    </row>
    <row r="1831" spans="23:23" x14ac:dyDescent="0.2">
      <c r="W1831" s="50"/>
    </row>
    <row r="1832" spans="23:23" x14ac:dyDescent="0.2">
      <c r="W1832" s="50"/>
    </row>
    <row r="1833" spans="23:23" x14ac:dyDescent="0.2">
      <c r="W1833" s="50"/>
    </row>
    <row r="1834" spans="23:23" x14ac:dyDescent="0.2">
      <c r="W1834" s="50"/>
    </row>
    <row r="1835" spans="23:23" x14ac:dyDescent="0.2">
      <c r="W1835" s="50"/>
    </row>
    <row r="1836" spans="23:23" x14ac:dyDescent="0.2">
      <c r="W1836" s="50"/>
    </row>
    <row r="1837" spans="23:23" x14ac:dyDescent="0.2">
      <c r="W1837" s="50"/>
    </row>
    <row r="1838" spans="23:23" x14ac:dyDescent="0.2">
      <c r="W1838" s="50"/>
    </row>
    <row r="1839" spans="23:23" x14ac:dyDescent="0.2">
      <c r="W1839" s="50"/>
    </row>
    <row r="1840" spans="23:23" x14ac:dyDescent="0.2">
      <c r="W1840" s="50"/>
    </row>
    <row r="1841" spans="23:23" x14ac:dyDescent="0.2">
      <c r="W1841" s="50"/>
    </row>
    <row r="1842" spans="23:23" x14ac:dyDescent="0.2">
      <c r="W1842" s="50"/>
    </row>
    <row r="1843" spans="23:23" x14ac:dyDescent="0.2">
      <c r="W1843" s="50"/>
    </row>
    <row r="1844" spans="23:23" x14ac:dyDescent="0.2">
      <c r="W1844" s="50"/>
    </row>
    <row r="1845" spans="23:23" x14ac:dyDescent="0.2">
      <c r="W1845" s="50"/>
    </row>
    <row r="1846" spans="23:23" x14ac:dyDescent="0.2">
      <c r="W1846" s="50"/>
    </row>
    <row r="1847" spans="23:23" x14ac:dyDescent="0.2">
      <c r="W1847" s="50"/>
    </row>
    <row r="1848" spans="23:23" x14ac:dyDescent="0.2">
      <c r="W1848" s="50"/>
    </row>
    <row r="1849" spans="23:23" x14ac:dyDescent="0.2">
      <c r="W1849" s="50"/>
    </row>
    <row r="1850" spans="23:23" x14ac:dyDescent="0.2">
      <c r="W1850" s="50"/>
    </row>
    <row r="1851" spans="23:23" x14ac:dyDescent="0.2">
      <c r="W1851" s="50"/>
    </row>
    <row r="1852" spans="23:23" x14ac:dyDescent="0.2">
      <c r="W1852" s="50"/>
    </row>
    <row r="1853" spans="23:23" x14ac:dyDescent="0.2">
      <c r="W1853" s="50"/>
    </row>
    <row r="1854" spans="23:23" x14ac:dyDescent="0.2">
      <c r="W1854" s="50"/>
    </row>
    <row r="1855" spans="23:23" x14ac:dyDescent="0.2">
      <c r="W1855" s="50"/>
    </row>
    <row r="1856" spans="23:23" x14ac:dyDescent="0.2">
      <c r="W1856" s="50"/>
    </row>
    <row r="1857" spans="23:23" x14ac:dyDescent="0.2">
      <c r="W1857" s="50"/>
    </row>
    <row r="1858" spans="23:23" x14ac:dyDescent="0.2">
      <c r="W1858" s="50"/>
    </row>
    <row r="1859" spans="23:23" x14ac:dyDescent="0.2">
      <c r="W1859" s="50"/>
    </row>
    <row r="1860" spans="23:23" x14ac:dyDescent="0.2">
      <c r="W1860" s="50"/>
    </row>
    <row r="1861" spans="23:23" x14ac:dyDescent="0.2">
      <c r="W1861" s="50"/>
    </row>
    <row r="1862" spans="23:23" x14ac:dyDescent="0.2">
      <c r="W1862" s="50"/>
    </row>
    <row r="1863" spans="23:23" x14ac:dyDescent="0.2">
      <c r="W1863" s="50"/>
    </row>
    <row r="1864" spans="23:23" x14ac:dyDescent="0.2">
      <c r="W1864" s="50"/>
    </row>
    <row r="1865" spans="23:23" x14ac:dyDescent="0.2">
      <c r="W1865" s="50"/>
    </row>
    <row r="1866" spans="23:23" x14ac:dyDescent="0.2">
      <c r="W1866" s="50"/>
    </row>
    <row r="1867" spans="23:23" x14ac:dyDescent="0.2">
      <c r="W1867" s="50"/>
    </row>
    <row r="1868" spans="23:23" x14ac:dyDescent="0.2">
      <c r="W1868" s="50"/>
    </row>
    <row r="1869" spans="23:23" x14ac:dyDescent="0.2">
      <c r="W1869" s="50"/>
    </row>
    <row r="1870" spans="23:23" x14ac:dyDescent="0.2">
      <c r="W1870" s="50"/>
    </row>
    <row r="1871" spans="23:23" x14ac:dyDescent="0.2">
      <c r="W1871" s="50"/>
    </row>
    <row r="1872" spans="23:23" x14ac:dyDescent="0.2">
      <c r="W1872" s="50"/>
    </row>
    <row r="1873" spans="23:23" x14ac:dyDescent="0.2">
      <c r="W1873" s="50"/>
    </row>
    <row r="1874" spans="23:23" x14ac:dyDescent="0.2">
      <c r="W1874" s="50"/>
    </row>
    <row r="1875" spans="23:23" x14ac:dyDescent="0.2">
      <c r="W1875" s="50"/>
    </row>
    <row r="1876" spans="23:23" x14ac:dyDescent="0.2">
      <c r="W1876" s="50"/>
    </row>
    <row r="1877" spans="23:23" x14ac:dyDescent="0.2">
      <c r="W1877" s="50"/>
    </row>
    <row r="1878" spans="23:23" x14ac:dyDescent="0.2">
      <c r="W1878" s="50"/>
    </row>
    <row r="1879" spans="23:23" x14ac:dyDescent="0.2">
      <c r="W1879" s="50"/>
    </row>
    <row r="1880" spans="23:23" x14ac:dyDescent="0.2">
      <c r="W1880" s="50"/>
    </row>
    <row r="1881" spans="23:23" x14ac:dyDescent="0.2">
      <c r="W1881" s="50"/>
    </row>
    <row r="1882" spans="23:23" x14ac:dyDescent="0.2">
      <c r="W1882" s="50"/>
    </row>
    <row r="1883" spans="23:23" x14ac:dyDescent="0.2">
      <c r="W1883" s="50"/>
    </row>
    <row r="1884" spans="23:23" x14ac:dyDescent="0.2">
      <c r="W1884" s="50"/>
    </row>
    <row r="1885" spans="23:23" x14ac:dyDescent="0.2">
      <c r="W1885" s="50"/>
    </row>
    <row r="1886" spans="23:23" x14ac:dyDescent="0.2">
      <c r="W1886" s="50"/>
    </row>
    <row r="1887" spans="23:23" x14ac:dyDescent="0.2">
      <c r="W1887" s="50"/>
    </row>
    <row r="1888" spans="23:23" x14ac:dyDescent="0.2">
      <c r="W1888" s="50"/>
    </row>
    <row r="1889" spans="23:23" x14ac:dyDescent="0.2">
      <c r="W1889" s="50"/>
    </row>
    <row r="1890" spans="23:23" x14ac:dyDescent="0.2">
      <c r="W1890" s="50"/>
    </row>
    <row r="1891" spans="23:23" x14ac:dyDescent="0.2">
      <c r="W1891" s="50"/>
    </row>
    <row r="1892" spans="23:23" x14ac:dyDescent="0.2">
      <c r="W1892" s="50"/>
    </row>
    <row r="1893" spans="23:23" x14ac:dyDescent="0.2">
      <c r="W1893" s="50"/>
    </row>
    <row r="1894" spans="23:23" x14ac:dyDescent="0.2">
      <c r="W1894" s="50"/>
    </row>
    <row r="1895" spans="23:23" x14ac:dyDescent="0.2">
      <c r="W1895" s="50"/>
    </row>
    <row r="1896" spans="23:23" x14ac:dyDescent="0.2">
      <c r="W1896" s="50"/>
    </row>
    <row r="1897" spans="23:23" x14ac:dyDescent="0.2">
      <c r="W1897" s="50"/>
    </row>
    <row r="1898" spans="23:23" x14ac:dyDescent="0.2">
      <c r="W1898" s="50"/>
    </row>
    <row r="1899" spans="23:23" x14ac:dyDescent="0.2">
      <c r="W1899" s="50"/>
    </row>
    <row r="1900" spans="23:23" x14ac:dyDescent="0.2">
      <c r="W1900" s="50"/>
    </row>
    <row r="1901" spans="23:23" x14ac:dyDescent="0.2">
      <c r="W1901" s="50"/>
    </row>
    <row r="1902" spans="23:23" x14ac:dyDescent="0.2">
      <c r="W1902" s="50"/>
    </row>
    <row r="1903" spans="23:23" x14ac:dyDescent="0.2">
      <c r="W1903" s="50"/>
    </row>
    <row r="1904" spans="23:23" x14ac:dyDescent="0.2">
      <c r="W1904" s="50"/>
    </row>
    <row r="1905" spans="23:23" x14ac:dyDescent="0.2">
      <c r="W1905" s="50"/>
    </row>
    <row r="1906" spans="23:23" x14ac:dyDescent="0.2">
      <c r="W1906" s="50"/>
    </row>
    <row r="1907" spans="23:23" x14ac:dyDescent="0.2">
      <c r="W1907" s="50"/>
    </row>
    <row r="1908" spans="23:23" x14ac:dyDescent="0.2">
      <c r="W1908" s="50"/>
    </row>
    <row r="1909" spans="23:23" x14ac:dyDescent="0.2">
      <c r="W1909" s="50"/>
    </row>
    <row r="1910" spans="23:23" x14ac:dyDescent="0.2">
      <c r="W1910" s="50"/>
    </row>
    <row r="1911" spans="23:23" x14ac:dyDescent="0.2">
      <c r="W1911" s="50"/>
    </row>
    <row r="1912" spans="23:23" x14ac:dyDescent="0.2">
      <c r="W1912" s="50"/>
    </row>
    <row r="1913" spans="23:23" x14ac:dyDescent="0.2">
      <c r="W1913" s="50"/>
    </row>
    <row r="1914" spans="23:23" x14ac:dyDescent="0.2">
      <c r="W1914" s="50"/>
    </row>
    <row r="1915" spans="23:23" x14ac:dyDescent="0.2">
      <c r="W1915" s="50"/>
    </row>
    <row r="1916" spans="23:23" x14ac:dyDescent="0.2">
      <c r="W1916" s="50"/>
    </row>
    <row r="1917" spans="23:23" x14ac:dyDescent="0.2">
      <c r="W1917" s="50"/>
    </row>
    <row r="1918" spans="23:23" x14ac:dyDescent="0.2">
      <c r="W1918" s="50"/>
    </row>
    <row r="1919" spans="23:23" x14ac:dyDescent="0.2">
      <c r="W1919" s="50"/>
    </row>
    <row r="1920" spans="23:23" x14ac:dyDescent="0.2">
      <c r="W1920" s="50"/>
    </row>
    <row r="1921" spans="23:23" x14ac:dyDescent="0.2">
      <c r="W1921" s="50"/>
    </row>
    <row r="1922" spans="23:23" x14ac:dyDescent="0.2">
      <c r="W1922" s="50"/>
    </row>
    <row r="1923" spans="23:23" x14ac:dyDescent="0.2">
      <c r="W1923" s="50"/>
    </row>
    <row r="1924" spans="23:23" x14ac:dyDescent="0.2">
      <c r="W1924" s="50"/>
    </row>
    <row r="1925" spans="23:23" x14ac:dyDescent="0.2">
      <c r="W1925" s="50"/>
    </row>
    <row r="1926" spans="23:23" x14ac:dyDescent="0.2">
      <c r="W1926" s="50"/>
    </row>
    <row r="1927" spans="23:23" x14ac:dyDescent="0.2">
      <c r="W1927" s="50"/>
    </row>
    <row r="1928" spans="23:23" x14ac:dyDescent="0.2">
      <c r="W1928" s="50"/>
    </row>
    <row r="1929" spans="23:23" x14ac:dyDescent="0.2">
      <c r="W1929" s="50"/>
    </row>
    <row r="1930" spans="23:23" x14ac:dyDescent="0.2">
      <c r="W1930" s="50"/>
    </row>
    <row r="1931" spans="23:23" x14ac:dyDescent="0.2">
      <c r="W1931" s="50"/>
    </row>
    <row r="1932" spans="23:23" x14ac:dyDescent="0.2">
      <c r="W1932" s="50"/>
    </row>
    <row r="1933" spans="23:23" x14ac:dyDescent="0.2">
      <c r="W1933" s="50"/>
    </row>
    <row r="1934" spans="23:23" x14ac:dyDescent="0.2">
      <c r="W1934" s="50"/>
    </row>
    <row r="1935" spans="23:23" x14ac:dyDescent="0.2">
      <c r="W1935" s="50"/>
    </row>
    <row r="1936" spans="23:23" x14ac:dyDescent="0.2">
      <c r="W1936" s="50"/>
    </row>
    <row r="1937" spans="23:23" x14ac:dyDescent="0.2">
      <c r="W1937" s="50"/>
    </row>
    <row r="1938" spans="23:23" x14ac:dyDescent="0.2">
      <c r="W1938" s="50"/>
    </row>
    <row r="1939" spans="23:23" x14ac:dyDescent="0.2">
      <c r="W1939" s="50"/>
    </row>
    <row r="1940" spans="23:23" x14ac:dyDescent="0.2">
      <c r="W1940" s="50"/>
    </row>
    <row r="1941" spans="23:23" x14ac:dyDescent="0.2">
      <c r="W1941" s="50"/>
    </row>
    <row r="1942" spans="23:23" x14ac:dyDescent="0.2">
      <c r="W1942" s="50"/>
    </row>
    <row r="1943" spans="23:23" x14ac:dyDescent="0.2">
      <c r="W1943" s="50"/>
    </row>
    <row r="1944" spans="23:23" x14ac:dyDescent="0.2">
      <c r="W1944" s="50"/>
    </row>
    <row r="1945" spans="23:23" x14ac:dyDescent="0.2">
      <c r="W1945" s="50"/>
    </row>
    <row r="1946" spans="23:23" x14ac:dyDescent="0.2">
      <c r="W1946" s="50"/>
    </row>
    <row r="1947" spans="23:23" x14ac:dyDescent="0.2">
      <c r="W1947" s="50"/>
    </row>
    <row r="1948" spans="23:23" x14ac:dyDescent="0.2">
      <c r="W1948" s="50"/>
    </row>
    <row r="1949" spans="23:23" x14ac:dyDescent="0.2">
      <c r="W1949" s="50"/>
    </row>
    <row r="1950" spans="23:23" x14ac:dyDescent="0.2">
      <c r="W1950" s="50"/>
    </row>
    <row r="1951" spans="23:23" x14ac:dyDescent="0.2">
      <c r="W1951" s="50"/>
    </row>
    <row r="1952" spans="23:23" x14ac:dyDescent="0.2">
      <c r="W1952" s="50"/>
    </row>
    <row r="1953" spans="23:23" x14ac:dyDescent="0.2">
      <c r="W1953" s="50"/>
    </row>
    <row r="1954" spans="23:23" x14ac:dyDescent="0.2">
      <c r="W1954" s="50"/>
    </row>
    <row r="1955" spans="23:23" x14ac:dyDescent="0.2">
      <c r="W1955" s="50"/>
    </row>
    <row r="1956" spans="23:23" x14ac:dyDescent="0.2">
      <c r="W1956" s="50"/>
    </row>
    <row r="1957" spans="23:23" x14ac:dyDescent="0.2">
      <c r="W1957" s="50"/>
    </row>
    <row r="1958" spans="23:23" x14ac:dyDescent="0.2">
      <c r="W1958" s="50"/>
    </row>
    <row r="1959" spans="23:23" x14ac:dyDescent="0.2">
      <c r="W1959" s="50"/>
    </row>
    <row r="1960" spans="23:23" x14ac:dyDescent="0.2">
      <c r="W1960" s="50"/>
    </row>
    <row r="1961" spans="23:23" x14ac:dyDescent="0.2">
      <c r="W1961" s="50"/>
    </row>
    <row r="1962" spans="23:23" x14ac:dyDescent="0.2">
      <c r="W1962" s="50"/>
    </row>
    <row r="1963" spans="23:23" x14ac:dyDescent="0.2">
      <c r="W1963" s="50"/>
    </row>
    <row r="1964" spans="23:23" x14ac:dyDescent="0.2">
      <c r="W1964" s="50"/>
    </row>
    <row r="1965" spans="23:23" x14ac:dyDescent="0.2">
      <c r="W1965" s="50"/>
    </row>
    <row r="1966" spans="23:23" x14ac:dyDescent="0.2">
      <c r="W1966" s="50"/>
    </row>
    <row r="1967" spans="23:23" x14ac:dyDescent="0.2">
      <c r="W1967" s="50"/>
    </row>
    <row r="1968" spans="23:23" x14ac:dyDescent="0.2">
      <c r="W1968" s="50"/>
    </row>
    <row r="1969" spans="23:23" x14ac:dyDescent="0.2">
      <c r="W1969" s="50"/>
    </row>
    <row r="1970" spans="23:23" x14ac:dyDescent="0.2">
      <c r="W1970" s="50"/>
    </row>
    <row r="1971" spans="23:23" x14ac:dyDescent="0.2">
      <c r="W1971" s="50"/>
    </row>
    <row r="1972" spans="23:23" x14ac:dyDescent="0.2">
      <c r="W1972" s="50"/>
    </row>
    <row r="1973" spans="23:23" x14ac:dyDescent="0.2">
      <c r="W1973" s="50"/>
    </row>
    <row r="1974" spans="23:23" x14ac:dyDescent="0.2">
      <c r="W1974" s="50"/>
    </row>
    <row r="1975" spans="23:23" x14ac:dyDescent="0.2">
      <c r="W1975" s="50"/>
    </row>
    <row r="1976" spans="23:23" x14ac:dyDescent="0.2">
      <c r="W1976" s="50"/>
    </row>
    <row r="1977" spans="23:23" x14ac:dyDescent="0.2">
      <c r="W1977" s="50"/>
    </row>
    <row r="1978" spans="23:23" x14ac:dyDescent="0.2">
      <c r="W1978" s="50"/>
    </row>
    <row r="1979" spans="23:23" x14ac:dyDescent="0.2">
      <c r="W1979" s="50"/>
    </row>
    <row r="1980" spans="23:23" x14ac:dyDescent="0.2">
      <c r="W1980" s="50"/>
    </row>
    <row r="1981" spans="23:23" x14ac:dyDescent="0.2">
      <c r="W1981" s="50"/>
    </row>
    <row r="1982" spans="23:23" x14ac:dyDescent="0.2">
      <c r="W1982" s="50"/>
    </row>
    <row r="1983" spans="23:23" x14ac:dyDescent="0.2">
      <c r="W1983" s="50"/>
    </row>
    <row r="1984" spans="23:23" x14ac:dyDescent="0.2">
      <c r="W1984" s="50"/>
    </row>
    <row r="1985" spans="23:23" x14ac:dyDescent="0.2">
      <c r="W1985" s="50"/>
    </row>
    <row r="1986" spans="23:23" x14ac:dyDescent="0.2">
      <c r="W1986" s="50"/>
    </row>
    <row r="1987" spans="23:23" x14ac:dyDescent="0.2">
      <c r="W1987" s="50"/>
    </row>
    <row r="1988" spans="23:23" x14ac:dyDescent="0.2">
      <c r="W1988" s="50"/>
    </row>
    <row r="1989" spans="23:23" x14ac:dyDescent="0.2">
      <c r="W1989" s="50"/>
    </row>
    <row r="1990" spans="23:23" x14ac:dyDescent="0.2">
      <c r="W1990" s="50"/>
    </row>
    <row r="1991" spans="23:23" x14ac:dyDescent="0.2">
      <c r="W1991" s="50"/>
    </row>
    <row r="1992" spans="23:23" x14ac:dyDescent="0.2">
      <c r="W1992" s="50"/>
    </row>
    <row r="1993" spans="23:23" x14ac:dyDescent="0.2">
      <c r="W1993" s="50"/>
    </row>
    <row r="1994" spans="23:23" x14ac:dyDescent="0.2">
      <c r="W1994" s="50"/>
    </row>
    <row r="1995" spans="23:23" x14ac:dyDescent="0.2">
      <c r="W1995" s="50"/>
    </row>
    <row r="1996" spans="23:23" x14ac:dyDescent="0.2">
      <c r="W1996" s="50"/>
    </row>
    <row r="1997" spans="23:23" x14ac:dyDescent="0.2">
      <c r="W1997" s="50"/>
    </row>
    <row r="1998" spans="23:23" x14ac:dyDescent="0.2">
      <c r="W1998" s="50"/>
    </row>
    <row r="1999" spans="23:23" x14ac:dyDescent="0.2">
      <c r="W1999" s="50"/>
    </row>
    <row r="2000" spans="23:23" x14ac:dyDescent="0.2">
      <c r="W2000" s="50"/>
    </row>
    <row r="2001" spans="23:23" x14ac:dyDescent="0.2">
      <c r="W2001" s="50"/>
    </row>
    <row r="2002" spans="23:23" x14ac:dyDescent="0.2">
      <c r="W2002" s="50"/>
    </row>
    <row r="2003" spans="23:23" x14ac:dyDescent="0.2">
      <c r="W2003" s="50"/>
    </row>
    <row r="2004" spans="23:23" x14ac:dyDescent="0.2">
      <c r="W2004" s="50"/>
    </row>
    <row r="2005" spans="23:23" x14ac:dyDescent="0.2">
      <c r="W2005" s="50"/>
    </row>
    <row r="2006" spans="23:23" x14ac:dyDescent="0.2">
      <c r="W2006" s="50"/>
    </row>
    <row r="2007" spans="23:23" x14ac:dyDescent="0.2">
      <c r="W2007" s="50"/>
    </row>
    <row r="2008" spans="23:23" x14ac:dyDescent="0.2">
      <c r="W2008" s="50"/>
    </row>
    <row r="2009" spans="23:23" x14ac:dyDescent="0.2">
      <c r="W2009" s="50"/>
    </row>
    <row r="2010" spans="23:23" x14ac:dyDescent="0.2">
      <c r="W2010" s="50"/>
    </row>
    <row r="2011" spans="23:23" x14ac:dyDescent="0.2">
      <c r="W2011" s="50"/>
    </row>
    <row r="2012" spans="23:23" x14ac:dyDescent="0.2">
      <c r="W2012" s="50"/>
    </row>
    <row r="2013" spans="23:23" x14ac:dyDescent="0.2">
      <c r="W2013" s="50"/>
    </row>
    <row r="2014" spans="23:23" x14ac:dyDescent="0.2">
      <c r="W2014" s="50"/>
    </row>
    <row r="2015" spans="23:23" x14ac:dyDescent="0.2">
      <c r="W2015" s="50"/>
    </row>
    <row r="2016" spans="23:23" x14ac:dyDescent="0.2">
      <c r="W2016" s="50"/>
    </row>
    <row r="2017" spans="23:23" x14ac:dyDescent="0.2">
      <c r="W2017" s="50"/>
    </row>
    <row r="2018" spans="23:23" x14ac:dyDescent="0.2">
      <c r="W2018" s="50"/>
    </row>
    <row r="2019" spans="23:23" x14ac:dyDescent="0.2">
      <c r="W2019" s="50"/>
    </row>
    <row r="2020" spans="23:23" x14ac:dyDescent="0.2">
      <c r="W2020" s="50"/>
    </row>
    <row r="2021" spans="23:23" x14ac:dyDescent="0.2">
      <c r="W2021" s="50"/>
    </row>
    <row r="2022" spans="23:23" x14ac:dyDescent="0.2">
      <c r="W2022" s="50"/>
    </row>
    <row r="2023" spans="23:23" x14ac:dyDescent="0.2">
      <c r="W2023" s="50"/>
    </row>
    <row r="2024" spans="23:23" x14ac:dyDescent="0.2">
      <c r="W2024" s="50"/>
    </row>
    <row r="2025" spans="23:23" x14ac:dyDescent="0.2">
      <c r="W2025" s="50"/>
    </row>
    <row r="2026" spans="23:23" x14ac:dyDescent="0.2">
      <c r="W2026" s="50"/>
    </row>
    <row r="2027" spans="23:23" x14ac:dyDescent="0.2">
      <c r="W2027" s="50"/>
    </row>
    <row r="2028" spans="23:23" x14ac:dyDescent="0.2">
      <c r="W2028" s="50"/>
    </row>
    <row r="2029" spans="23:23" x14ac:dyDescent="0.2">
      <c r="W2029" s="50"/>
    </row>
    <row r="2030" spans="23:23" x14ac:dyDescent="0.2">
      <c r="W2030" s="50"/>
    </row>
    <row r="2031" spans="23:23" x14ac:dyDescent="0.2">
      <c r="W2031" s="50"/>
    </row>
    <row r="2032" spans="23:23" x14ac:dyDescent="0.2">
      <c r="W2032" s="50"/>
    </row>
    <row r="2033" spans="23:23" x14ac:dyDescent="0.2">
      <c r="W2033" s="50"/>
    </row>
    <row r="2034" spans="23:23" x14ac:dyDescent="0.2">
      <c r="W2034" s="50"/>
    </row>
    <row r="2035" spans="23:23" x14ac:dyDescent="0.2">
      <c r="W2035" s="50"/>
    </row>
    <row r="2036" spans="23:23" x14ac:dyDescent="0.2">
      <c r="W2036" s="50"/>
    </row>
    <row r="2037" spans="23:23" x14ac:dyDescent="0.2">
      <c r="W2037" s="50"/>
    </row>
    <row r="2038" spans="23:23" x14ac:dyDescent="0.2">
      <c r="W2038" s="50"/>
    </row>
    <row r="2039" spans="23:23" x14ac:dyDescent="0.2">
      <c r="W2039" s="50"/>
    </row>
    <row r="2040" spans="23:23" x14ac:dyDescent="0.2">
      <c r="W2040" s="50"/>
    </row>
    <row r="2041" spans="23:23" x14ac:dyDescent="0.2">
      <c r="W2041" s="50"/>
    </row>
    <row r="2042" spans="23:23" x14ac:dyDescent="0.2">
      <c r="W2042" s="50"/>
    </row>
    <row r="2043" spans="23:23" x14ac:dyDescent="0.2">
      <c r="W2043" s="50"/>
    </row>
    <row r="2044" spans="23:23" x14ac:dyDescent="0.2">
      <c r="W2044" s="50"/>
    </row>
    <row r="2045" spans="23:23" x14ac:dyDescent="0.2">
      <c r="W2045" s="50"/>
    </row>
    <row r="2046" spans="23:23" x14ac:dyDescent="0.2">
      <c r="W2046" s="50"/>
    </row>
    <row r="2047" spans="23:23" x14ac:dyDescent="0.2">
      <c r="W2047" s="50"/>
    </row>
    <row r="2048" spans="23:23" x14ac:dyDescent="0.2">
      <c r="W2048" s="50"/>
    </row>
    <row r="2049" spans="23:23" x14ac:dyDescent="0.2">
      <c r="W2049" s="50"/>
    </row>
    <row r="2050" spans="23:23" x14ac:dyDescent="0.2">
      <c r="W2050" s="50"/>
    </row>
    <row r="2051" spans="23:23" x14ac:dyDescent="0.2">
      <c r="W2051" s="50"/>
    </row>
    <row r="2052" spans="23:23" x14ac:dyDescent="0.2">
      <c r="W2052" s="50"/>
    </row>
    <row r="2053" spans="23:23" x14ac:dyDescent="0.2">
      <c r="W2053" s="50"/>
    </row>
    <row r="2054" spans="23:23" x14ac:dyDescent="0.2">
      <c r="W2054" s="50"/>
    </row>
    <row r="2055" spans="23:23" x14ac:dyDescent="0.2">
      <c r="W2055" s="50"/>
    </row>
    <row r="2056" spans="23:23" x14ac:dyDescent="0.2">
      <c r="W2056" s="50"/>
    </row>
    <row r="2057" spans="23:23" x14ac:dyDescent="0.2">
      <c r="W2057" s="50"/>
    </row>
    <row r="2058" spans="23:23" x14ac:dyDescent="0.2">
      <c r="W2058" s="50"/>
    </row>
    <row r="2059" spans="23:23" x14ac:dyDescent="0.2">
      <c r="W2059" s="50"/>
    </row>
    <row r="2060" spans="23:23" x14ac:dyDescent="0.2">
      <c r="W2060" s="50"/>
    </row>
    <row r="2061" spans="23:23" x14ac:dyDescent="0.2">
      <c r="W2061" s="50"/>
    </row>
    <row r="2062" spans="23:23" x14ac:dyDescent="0.2">
      <c r="W2062" s="50"/>
    </row>
    <row r="2063" spans="23:23" x14ac:dyDescent="0.2">
      <c r="W2063" s="50"/>
    </row>
    <row r="2064" spans="23:23" x14ac:dyDescent="0.2">
      <c r="W2064" s="50"/>
    </row>
    <row r="2065" spans="23:23" x14ac:dyDescent="0.2">
      <c r="W2065" s="50"/>
    </row>
    <row r="2066" spans="23:23" x14ac:dyDescent="0.2">
      <c r="W2066" s="50"/>
    </row>
    <row r="2067" spans="23:23" x14ac:dyDescent="0.2">
      <c r="W2067" s="50"/>
    </row>
    <row r="2068" spans="23:23" x14ac:dyDescent="0.2">
      <c r="W2068" s="50"/>
    </row>
    <row r="2069" spans="23:23" x14ac:dyDescent="0.2">
      <c r="W2069" s="50"/>
    </row>
    <row r="2070" spans="23:23" x14ac:dyDescent="0.2">
      <c r="W2070" s="50"/>
    </row>
    <row r="2071" spans="23:23" x14ac:dyDescent="0.2">
      <c r="W2071" s="50"/>
    </row>
    <row r="2072" spans="23:23" x14ac:dyDescent="0.2">
      <c r="W2072" s="50"/>
    </row>
    <row r="2073" spans="23:23" x14ac:dyDescent="0.2">
      <c r="W2073" s="50"/>
    </row>
    <row r="2074" spans="23:23" x14ac:dyDescent="0.2">
      <c r="W2074" s="50"/>
    </row>
    <row r="2075" spans="23:23" x14ac:dyDescent="0.2">
      <c r="W2075" s="50"/>
    </row>
    <row r="2076" spans="23:23" x14ac:dyDescent="0.2">
      <c r="W2076" s="50"/>
    </row>
    <row r="2077" spans="23:23" x14ac:dyDescent="0.2">
      <c r="W2077" s="50"/>
    </row>
    <row r="2078" spans="23:23" x14ac:dyDescent="0.2">
      <c r="W2078" s="50"/>
    </row>
    <row r="2079" spans="23:23" x14ac:dyDescent="0.2">
      <c r="W2079" s="50"/>
    </row>
    <row r="2080" spans="23:23" x14ac:dyDescent="0.2">
      <c r="W2080" s="50"/>
    </row>
    <row r="2081" spans="23:23" x14ac:dyDescent="0.2">
      <c r="W2081" s="50"/>
    </row>
    <row r="2082" spans="23:23" x14ac:dyDescent="0.2">
      <c r="W2082" s="50"/>
    </row>
    <row r="2083" spans="23:23" x14ac:dyDescent="0.2">
      <c r="W2083" s="50"/>
    </row>
    <row r="2084" spans="23:23" x14ac:dyDescent="0.2">
      <c r="W2084" s="50"/>
    </row>
    <row r="2085" spans="23:23" x14ac:dyDescent="0.2">
      <c r="W2085" s="50"/>
    </row>
    <row r="2086" spans="23:23" x14ac:dyDescent="0.2">
      <c r="W2086" s="50"/>
    </row>
    <row r="2087" spans="23:23" x14ac:dyDescent="0.2">
      <c r="W2087" s="50"/>
    </row>
    <row r="2088" spans="23:23" x14ac:dyDescent="0.2">
      <c r="W2088" s="50"/>
    </row>
    <row r="2089" spans="23:23" x14ac:dyDescent="0.2">
      <c r="W2089" s="50"/>
    </row>
    <row r="2090" spans="23:23" x14ac:dyDescent="0.2">
      <c r="W2090" s="50"/>
    </row>
    <row r="2091" spans="23:23" x14ac:dyDescent="0.2">
      <c r="W2091" s="50"/>
    </row>
    <row r="2092" spans="23:23" x14ac:dyDescent="0.2">
      <c r="W2092" s="50"/>
    </row>
    <row r="2093" spans="23:23" x14ac:dyDescent="0.2">
      <c r="W2093" s="50"/>
    </row>
    <row r="2094" spans="23:23" x14ac:dyDescent="0.2">
      <c r="W2094" s="50"/>
    </row>
    <row r="2095" spans="23:23" x14ac:dyDescent="0.2">
      <c r="W2095" s="50"/>
    </row>
    <row r="2096" spans="23:23" x14ac:dyDescent="0.2">
      <c r="W2096" s="50"/>
    </row>
    <row r="2097" spans="23:23" x14ac:dyDescent="0.2">
      <c r="W2097" s="50"/>
    </row>
    <row r="2098" spans="23:23" x14ac:dyDescent="0.2">
      <c r="W2098" s="50"/>
    </row>
    <row r="2099" spans="23:23" x14ac:dyDescent="0.2">
      <c r="W2099" s="50"/>
    </row>
    <row r="2100" spans="23:23" x14ac:dyDescent="0.2">
      <c r="W2100" s="50"/>
    </row>
    <row r="2101" spans="23:23" x14ac:dyDescent="0.2">
      <c r="W2101" s="50"/>
    </row>
    <row r="2102" spans="23:23" x14ac:dyDescent="0.2">
      <c r="W2102" s="50"/>
    </row>
    <row r="2103" spans="23:23" x14ac:dyDescent="0.2">
      <c r="W2103" s="50"/>
    </row>
    <row r="2104" spans="23:23" x14ac:dyDescent="0.2">
      <c r="W2104" s="50"/>
    </row>
    <row r="2105" spans="23:23" x14ac:dyDescent="0.2">
      <c r="W2105" s="50"/>
    </row>
    <row r="2106" spans="23:23" x14ac:dyDescent="0.2">
      <c r="W2106" s="50"/>
    </row>
    <row r="2107" spans="23:23" x14ac:dyDescent="0.2">
      <c r="W2107" s="50"/>
    </row>
    <row r="2108" spans="23:23" x14ac:dyDescent="0.2">
      <c r="W2108" s="50"/>
    </row>
    <row r="2109" spans="23:23" x14ac:dyDescent="0.2">
      <c r="W2109" s="50"/>
    </row>
    <row r="2110" spans="23:23" x14ac:dyDescent="0.2">
      <c r="W2110" s="50"/>
    </row>
    <row r="2111" spans="23:23" x14ac:dyDescent="0.2">
      <c r="W2111" s="50"/>
    </row>
    <row r="2112" spans="23:23" x14ac:dyDescent="0.2">
      <c r="W2112" s="50"/>
    </row>
    <row r="2113" spans="23:23" x14ac:dyDescent="0.2">
      <c r="W2113" s="50"/>
    </row>
    <row r="2114" spans="23:23" x14ac:dyDescent="0.2">
      <c r="W2114" s="50"/>
    </row>
    <row r="2115" spans="23:23" x14ac:dyDescent="0.2">
      <c r="W2115" s="50"/>
    </row>
    <row r="2116" spans="23:23" x14ac:dyDescent="0.2">
      <c r="W2116" s="50"/>
    </row>
    <row r="2117" spans="23:23" x14ac:dyDescent="0.2">
      <c r="W2117" s="50"/>
    </row>
    <row r="2118" spans="23:23" x14ac:dyDescent="0.2">
      <c r="W2118" s="50"/>
    </row>
    <row r="2119" spans="23:23" x14ac:dyDescent="0.2">
      <c r="W2119" s="50"/>
    </row>
    <row r="2120" spans="23:23" x14ac:dyDescent="0.2">
      <c r="W2120" s="50"/>
    </row>
    <row r="2121" spans="23:23" x14ac:dyDescent="0.2">
      <c r="W2121" s="50"/>
    </row>
    <row r="2122" spans="23:23" x14ac:dyDescent="0.2">
      <c r="W2122" s="50"/>
    </row>
    <row r="2123" spans="23:23" x14ac:dyDescent="0.2">
      <c r="W2123" s="50"/>
    </row>
    <row r="2124" spans="23:23" x14ac:dyDescent="0.2">
      <c r="W2124" s="50"/>
    </row>
    <row r="2125" spans="23:23" x14ac:dyDescent="0.2">
      <c r="W2125" s="50"/>
    </row>
    <row r="2126" spans="23:23" x14ac:dyDescent="0.2">
      <c r="W2126" s="50"/>
    </row>
    <row r="2127" spans="23:23" x14ac:dyDescent="0.2">
      <c r="W2127" s="50"/>
    </row>
    <row r="2128" spans="23:23" x14ac:dyDescent="0.2">
      <c r="W2128" s="50"/>
    </row>
    <row r="2129" spans="23:23" x14ac:dyDescent="0.2">
      <c r="W2129" s="50"/>
    </row>
    <row r="2130" spans="23:23" x14ac:dyDescent="0.2">
      <c r="W2130" s="50"/>
    </row>
    <row r="2131" spans="23:23" x14ac:dyDescent="0.2">
      <c r="W2131" s="50"/>
    </row>
    <row r="2132" spans="23:23" x14ac:dyDescent="0.2">
      <c r="W2132" s="50"/>
    </row>
    <row r="2133" spans="23:23" x14ac:dyDescent="0.2">
      <c r="W2133" s="50"/>
    </row>
    <row r="2134" spans="23:23" x14ac:dyDescent="0.2">
      <c r="W2134" s="50"/>
    </row>
    <row r="2135" spans="23:23" x14ac:dyDescent="0.2">
      <c r="W2135" s="50"/>
    </row>
    <row r="2136" spans="23:23" x14ac:dyDescent="0.2">
      <c r="W2136" s="50"/>
    </row>
    <row r="2137" spans="23:23" x14ac:dyDescent="0.2">
      <c r="W2137" s="50"/>
    </row>
    <row r="2138" spans="23:23" x14ac:dyDescent="0.2">
      <c r="W2138" s="50"/>
    </row>
    <row r="2139" spans="23:23" x14ac:dyDescent="0.2">
      <c r="W2139" s="50"/>
    </row>
    <row r="2140" spans="23:23" x14ac:dyDescent="0.2">
      <c r="W2140" s="50"/>
    </row>
    <row r="2141" spans="23:23" x14ac:dyDescent="0.2">
      <c r="W2141" s="50"/>
    </row>
    <row r="2142" spans="23:23" x14ac:dyDescent="0.2">
      <c r="W2142" s="50"/>
    </row>
    <row r="2143" spans="23:23" x14ac:dyDescent="0.2">
      <c r="W2143" s="50"/>
    </row>
    <row r="2144" spans="23:23" x14ac:dyDescent="0.2">
      <c r="W2144" s="50"/>
    </row>
    <row r="2145" spans="23:23" x14ac:dyDescent="0.2">
      <c r="W2145" s="50"/>
    </row>
    <row r="2146" spans="23:23" x14ac:dyDescent="0.2">
      <c r="W2146" s="50"/>
    </row>
    <row r="2147" spans="23:23" x14ac:dyDescent="0.2">
      <c r="W2147" s="50"/>
    </row>
    <row r="2148" spans="23:23" x14ac:dyDescent="0.2">
      <c r="W2148" s="50"/>
    </row>
    <row r="2149" spans="23:23" x14ac:dyDescent="0.2">
      <c r="W2149" s="50"/>
    </row>
    <row r="2150" spans="23:23" x14ac:dyDescent="0.2">
      <c r="W2150" s="50"/>
    </row>
    <row r="2151" spans="23:23" x14ac:dyDescent="0.2">
      <c r="W2151" s="50"/>
    </row>
    <row r="2152" spans="23:23" x14ac:dyDescent="0.2">
      <c r="W2152" s="50"/>
    </row>
    <row r="2153" spans="23:23" x14ac:dyDescent="0.2">
      <c r="W2153" s="50"/>
    </row>
    <row r="2154" spans="23:23" x14ac:dyDescent="0.2">
      <c r="W2154" s="50"/>
    </row>
    <row r="2155" spans="23:23" x14ac:dyDescent="0.2">
      <c r="W2155" s="50"/>
    </row>
    <row r="2156" spans="23:23" x14ac:dyDescent="0.2">
      <c r="W2156" s="50"/>
    </row>
    <row r="2157" spans="23:23" x14ac:dyDescent="0.2">
      <c r="W2157" s="50"/>
    </row>
    <row r="2158" spans="23:23" x14ac:dyDescent="0.2">
      <c r="W2158" s="50"/>
    </row>
    <row r="2159" spans="23:23" x14ac:dyDescent="0.2">
      <c r="W2159" s="50"/>
    </row>
    <row r="2160" spans="23:23" x14ac:dyDescent="0.2">
      <c r="W2160" s="50"/>
    </row>
    <row r="2161" spans="23:23" x14ac:dyDescent="0.2">
      <c r="W2161" s="50"/>
    </row>
    <row r="2162" spans="23:23" x14ac:dyDescent="0.2">
      <c r="W2162" s="50"/>
    </row>
    <row r="2163" spans="23:23" x14ac:dyDescent="0.2">
      <c r="W2163" s="50"/>
    </row>
    <row r="2164" spans="23:23" x14ac:dyDescent="0.2">
      <c r="W2164" s="50"/>
    </row>
    <row r="2165" spans="23:23" x14ac:dyDescent="0.2">
      <c r="W2165" s="50"/>
    </row>
    <row r="2166" spans="23:23" x14ac:dyDescent="0.2">
      <c r="W2166" s="50"/>
    </row>
    <row r="2167" spans="23:23" x14ac:dyDescent="0.2">
      <c r="W2167" s="50"/>
    </row>
    <row r="2168" spans="23:23" x14ac:dyDescent="0.2">
      <c r="W2168" s="50"/>
    </row>
    <row r="2169" spans="23:23" x14ac:dyDescent="0.2">
      <c r="W2169" s="50"/>
    </row>
    <row r="2170" spans="23:23" x14ac:dyDescent="0.2">
      <c r="W2170" s="50"/>
    </row>
    <row r="2171" spans="23:23" x14ac:dyDescent="0.2">
      <c r="W2171" s="50"/>
    </row>
    <row r="2172" spans="23:23" x14ac:dyDescent="0.2">
      <c r="W2172" s="50"/>
    </row>
    <row r="2173" spans="23:23" x14ac:dyDescent="0.2">
      <c r="W2173" s="50"/>
    </row>
    <row r="2174" spans="23:23" x14ac:dyDescent="0.2">
      <c r="W2174" s="50"/>
    </row>
    <row r="2175" spans="23:23" x14ac:dyDescent="0.2">
      <c r="W2175" s="50"/>
    </row>
    <row r="2176" spans="23:23" x14ac:dyDescent="0.2">
      <c r="W2176" s="50"/>
    </row>
    <row r="2177" spans="23:23" x14ac:dyDescent="0.2">
      <c r="W2177" s="50"/>
    </row>
    <row r="2178" spans="23:23" x14ac:dyDescent="0.2">
      <c r="W2178" s="50"/>
    </row>
    <row r="2179" spans="23:23" x14ac:dyDescent="0.2">
      <c r="W2179" s="50"/>
    </row>
    <row r="2180" spans="23:23" x14ac:dyDescent="0.2">
      <c r="W2180" s="50"/>
    </row>
    <row r="2181" spans="23:23" x14ac:dyDescent="0.2">
      <c r="W2181" s="50"/>
    </row>
    <row r="2182" spans="23:23" x14ac:dyDescent="0.2">
      <c r="W2182" s="50"/>
    </row>
    <row r="2183" spans="23:23" x14ac:dyDescent="0.2">
      <c r="W2183" s="50"/>
    </row>
    <row r="2184" spans="23:23" x14ac:dyDescent="0.2">
      <c r="W2184" s="50"/>
    </row>
    <row r="2185" spans="23:23" x14ac:dyDescent="0.2">
      <c r="W2185" s="50"/>
    </row>
    <row r="2186" spans="23:23" x14ac:dyDescent="0.2">
      <c r="W2186" s="50"/>
    </row>
    <row r="2187" spans="23:23" x14ac:dyDescent="0.2">
      <c r="W2187" s="50"/>
    </row>
    <row r="2188" spans="23:23" x14ac:dyDescent="0.2">
      <c r="W2188" s="50"/>
    </row>
    <row r="2189" spans="23:23" x14ac:dyDescent="0.2">
      <c r="W2189" s="50"/>
    </row>
    <row r="2190" spans="23:23" x14ac:dyDescent="0.2">
      <c r="W2190" s="50"/>
    </row>
    <row r="2191" spans="23:23" x14ac:dyDescent="0.2">
      <c r="W2191" s="50"/>
    </row>
    <row r="2192" spans="23:23" x14ac:dyDescent="0.2">
      <c r="W2192" s="50"/>
    </row>
    <row r="2193" spans="23:23" x14ac:dyDescent="0.2">
      <c r="W2193" s="50"/>
    </row>
    <row r="2194" spans="23:23" x14ac:dyDescent="0.2">
      <c r="W2194" s="50"/>
    </row>
    <row r="2195" spans="23:23" x14ac:dyDescent="0.2">
      <c r="W2195" s="50"/>
    </row>
    <row r="2196" spans="23:23" x14ac:dyDescent="0.2">
      <c r="W2196" s="50"/>
    </row>
    <row r="2197" spans="23:23" x14ac:dyDescent="0.2">
      <c r="W2197" s="50"/>
    </row>
    <row r="2198" spans="23:23" x14ac:dyDescent="0.2">
      <c r="W2198" s="50"/>
    </row>
    <row r="2199" spans="23:23" x14ac:dyDescent="0.2">
      <c r="W2199" s="50"/>
    </row>
    <row r="2200" spans="23:23" x14ac:dyDescent="0.2">
      <c r="W2200" s="50"/>
    </row>
    <row r="2201" spans="23:23" x14ac:dyDescent="0.2">
      <c r="W2201" s="50"/>
    </row>
    <row r="2202" spans="23:23" x14ac:dyDescent="0.2">
      <c r="W2202" s="50"/>
    </row>
    <row r="2203" spans="23:23" x14ac:dyDescent="0.2">
      <c r="W2203" s="50"/>
    </row>
    <row r="2204" spans="23:23" x14ac:dyDescent="0.2">
      <c r="W2204" s="50"/>
    </row>
    <row r="2205" spans="23:23" x14ac:dyDescent="0.2">
      <c r="W2205" s="50"/>
    </row>
    <row r="2206" spans="23:23" x14ac:dyDescent="0.2">
      <c r="W2206" s="50"/>
    </row>
    <row r="2207" spans="23:23" x14ac:dyDescent="0.2">
      <c r="W2207" s="50"/>
    </row>
    <row r="2208" spans="23:23" x14ac:dyDescent="0.2">
      <c r="W2208" s="50"/>
    </row>
    <row r="2209" spans="23:23" x14ac:dyDescent="0.2">
      <c r="W2209" s="50"/>
    </row>
    <row r="2210" spans="23:23" x14ac:dyDescent="0.2">
      <c r="W2210" s="50"/>
    </row>
    <row r="2211" spans="23:23" x14ac:dyDescent="0.2">
      <c r="W2211" s="50"/>
    </row>
    <row r="2212" spans="23:23" x14ac:dyDescent="0.2">
      <c r="W2212" s="50"/>
    </row>
    <row r="2213" spans="23:23" x14ac:dyDescent="0.2">
      <c r="W2213" s="50"/>
    </row>
    <row r="2214" spans="23:23" x14ac:dyDescent="0.2">
      <c r="W2214" s="50"/>
    </row>
    <row r="2215" spans="23:23" x14ac:dyDescent="0.2">
      <c r="W2215" s="50"/>
    </row>
    <row r="2216" spans="23:23" x14ac:dyDescent="0.2">
      <c r="W2216" s="50"/>
    </row>
    <row r="2217" spans="23:23" x14ac:dyDescent="0.2">
      <c r="W2217" s="50"/>
    </row>
    <row r="2218" spans="23:23" x14ac:dyDescent="0.2">
      <c r="W2218" s="50"/>
    </row>
    <row r="2219" spans="23:23" x14ac:dyDescent="0.2">
      <c r="W2219" s="50"/>
    </row>
    <row r="2220" spans="23:23" x14ac:dyDescent="0.2">
      <c r="W2220" s="50"/>
    </row>
    <row r="2221" spans="23:23" x14ac:dyDescent="0.2">
      <c r="W2221" s="50"/>
    </row>
    <row r="2222" spans="23:23" x14ac:dyDescent="0.2">
      <c r="W2222" s="50"/>
    </row>
    <row r="2223" spans="23:23" x14ac:dyDescent="0.2">
      <c r="W2223" s="50"/>
    </row>
    <row r="2224" spans="23:23" x14ac:dyDescent="0.2">
      <c r="W2224" s="50"/>
    </row>
    <row r="2225" spans="23:23" x14ac:dyDescent="0.2">
      <c r="W2225" s="50"/>
    </row>
    <row r="2226" spans="23:23" x14ac:dyDescent="0.2">
      <c r="W2226" s="50"/>
    </row>
    <row r="2227" spans="23:23" x14ac:dyDescent="0.2">
      <c r="W2227" s="50"/>
    </row>
    <row r="2228" spans="23:23" x14ac:dyDescent="0.2">
      <c r="W2228" s="50"/>
    </row>
    <row r="2229" spans="23:23" x14ac:dyDescent="0.2">
      <c r="W2229" s="50"/>
    </row>
    <row r="2230" spans="23:23" x14ac:dyDescent="0.2">
      <c r="W2230" s="50"/>
    </row>
    <row r="2231" spans="23:23" x14ac:dyDescent="0.2">
      <c r="W2231" s="50"/>
    </row>
    <row r="2232" spans="23:23" x14ac:dyDescent="0.2">
      <c r="W2232" s="50"/>
    </row>
    <row r="2233" spans="23:23" x14ac:dyDescent="0.2">
      <c r="W2233" s="50"/>
    </row>
    <row r="2234" spans="23:23" x14ac:dyDescent="0.2">
      <c r="W2234" s="50"/>
    </row>
    <row r="2235" spans="23:23" x14ac:dyDescent="0.2">
      <c r="W2235" s="50"/>
    </row>
    <row r="2236" spans="23:23" x14ac:dyDescent="0.2">
      <c r="W2236" s="50"/>
    </row>
    <row r="2237" spans="23:23" x14ac:dyDescent="0.2">
      <c r="W2237" s="50"/>
    </row>
    <row r="2238" spans="23:23" x14ac:dyDescent="0.2">
      <c r="W2238" s="50"/>
    </row>
    <row r="2239" spans="23:23" x14ac:dyDescent="0.2">
      <c r="W2239" s="50"/>
    </row>
    <row r="2240" spans="23:23" x14ac:dyDescent="0.2">
      <c r="W2240" s="50"/>
    </row>
    <row r="2241" spans="23:23" x14ac:dyDescent="0.2">
      <c r="W2241" s="50"/>
    </row>
    <row r="2242" spans="23:23" x14ac:dyDescent="0.2">
      <c r="W2242" s="50"/>
    </row>
    <row r="2243" spans="23:23" x14ac:dyDescent="0.2">
      <c r="W2243" s="50"/>
    </row>
    <row r="2244" spans="23:23" x14ac:dyDescent="0.2">
      <c r="W2244" s="50"/>
    </row>
    <row r="2245" spans="23:23" x14ac:dyDescent="0.2">
      <c r="W2245" s="50"/>
    </row>
    <row r="2246" spans="23:23" x14ac:dyDescent="0.2">
      <c r="W2246" s="50"/>
    </row>
    <row r="2247" spans="23:23" x14ac:dyDescent="0.2">
      <c r="W2247" s="50"/>
    </row>
    <row r="2248" spans="23:23" x14ac:dyDescent="0.2">
      <c r="W2248" s="50"/>
    </row>
    <row r="2249" spans="23:23" x14ac:dyDescent="0.2">
      <c r="W2249" s="50"/>
    </row>
    <row r="2250" spans="23:23" x14ac:dyDescent="0.2">
      <c r="W2250" s="50"/>
    </row>
    <row r="2251" spans="23:23" x14ac:dyDescent="0.2">
      <c r="W2251" s="50"/>
    </row>
    <row r="2252" spans="23:23" x14ac:dyDescent="0.2">
      <c r="W2252" s="50"/>
    </row>
    <row r="2253" spans="23:23" x14ac:dyDescent="0.2">
      <c r="W2253" s="50"/>
    </row>
    <row r="2254" spans="23:23" x14ac:dyDescent="0.2">
      <c r="W2254" s="50"/>
    </row>
    <row r="2255" spans="23:23" x14ac:dyDescent="0.2">
      <c r="W2255" s="50"/>
    </row>
    <row r="2256" spans="23:23" x14ac:dyDescent="0.2">
      <c r="W2256" s="50"/>
    </row>
    <row r="2257" spans="23:23" x14ac:dyDescent="0.2">
      <c r="W2257" s="50"/>
    </row>
    <row r="2258" spans="23:23" x14ac:dyDescent="0.2">
      <c r="W2258" s="50"/>
    </row>
    <row r="2259" spans="23:23" x14ac:dyDescent="0.2">
      <c r="W2259" s="50"/>
    </row>
    <row r="2260" spans="23:23" x14ac:dyDescent="0.2">
      <c r="W2260" s="50"/>
    </row>
    <row r="2261" spans="23:23" x14ac:dyDescent="0.2">
      <c r="W2261" s="50"/>
    </row>
    <row r="2262" spans="23:23" x14ac:dyDescent="0.2">
      <c r="W2262" s="50"/>
    </row>
    <row r="2263" spans="23:23" x14ac:dyDescent="0.2">
      <c r="W2263" s="50"/>
    </row>
    <row r="2264" spans="23:23" x14ac:dyDescent="0.2">
      <c r="W2264" s="50"/>
    </row>
    <row r="2265" spans="23:23" x14ac:dyDescent="0.2">
      <c r="W2265" s="50"/>
    </row>
    <row r="2266" spans="23:23" x14ac:dyDescent="0.2">
      <c r="W2266" s="50"/>
    </row>
    <row r="2267" spans="23:23" x14ac:dyDescent="0.2">
      <c r="W2267" s="50"/>
    </row>
    <row r="2268" spans="23:23" x14ac:dyDescent="0.2">
      <c r="W2268" s="50"/>
    </row>
    <row r="2269" spans="23:23" x14ac:dyDescent="0.2">
      <c r="W2269" s="50"/>
    </row>
    <row r="2270" spans="23:23" x14ac:dyDescent="0.2">
      <c r="W2270" s="50"/>
    </row>
    <row r="2271" spans="23:23" x14ac:dyDescent="0.2">
      <c r="W2271" s="50"/>
    </row>
    <row r="2272" spans="23:23" x14ac:dyDescent="0.2">
      <c r="W2272" s="50"/>
    </row>
    <row r="2273" spans="23:23" x14ac:dyDescent="0.2">
      <c r="W2273" s="50"/>
    </row>
    <row r="2274" spans="23:23" x14ac:dyDescent="0.2">
      <c r="W2274" s="50"/>
    </row>
    <row r="2275" spans="23:23" x14ac:dyDescent="0.2">
      <c r="W2275" s="50"/>
    </row>
    <row r="2276" spans="23:23" x14ac:dyDescent="0.2">
      <c r="W2276" s="50"/>
    </row>
    <row r="2277" spans="23:23" x14ac:dyDescent="0.2">
      <c r="W2277" s="50"/>
    </row>
    <row r="2278" spans="23:23" x14ac:dyDescent="0.2">
      <c r="W2278" s="50"/>
    </row>
    <row r="2279" spans="23:23" x14ac:dyDescent="0.2">
      <c r="W2279" s="50"/>
    </row>
    <row r="2280" spans="23:23" x14ac:dyDescent="0.2">
      <c r="W2280" s="50"/>
    </row>
    <row r="2281" spans="23:23" x14ac:dyDescent="0.2">
      <c r="W2281" s="50"/>
    </row>
    <row r="2282" spans="23:23" x14ac:dyDescent="0.2">
      <c r="W2282" s="50"/>
    </row>
    <row r="2283" spans="23:23" x14ac:dyDescent="0.2">
      <c r="W2283" s="50"/>
    </row>
    <row r="2284" spans="23:23" x14ac:dyDescent="0.2">
      <c r="W2284" s="50"/>
    </row>
    <row r="2285" spans="23:23" x14ac:dyDescent="0.2">
      <c r="W2285" s="50"/>
    </row>
    <row r="2286" spans="23:23" x14ac:dyDescent="0.2">
      <c r="W2286" s="50"/>
    </row>
    <row r="2287" spans="23:23" x14ac:dyDescent="0.2">
      <c r="W2287" s="50"/>
    </row>
    <row r="2288" spans="23:23" x14ac:dyDescent="0.2">
      <c r="W2288" s="50"/>
    </row>
    <row r="2289" spans="23:23" x14ac:dyDescent="0.2">
      <c r="W2289" s="50"/>
    </row>
    <row r="2290" spans="23:23" x14ac:dyDescent="0.2">
      <c r="W2290" s="50"/>
    </row>
    <row r="2291" spans="23:23" x14ac:dyDescent="0.2">
      <c r="W2291" s="50"/>
    </row>
    <row r="2292" spans="23:23" x14ac:dyDescent="0.2">
      <c r="W2292" s="50"/>
    </row>
    <row r="2293" spans="23:23" x14ac:dyDescent="0.2">
      <c r="W2293" s="50"/>
    </row>
    <row r="2294" spans="23:23" x14ac:dyDescent="0.2">
      <c r="W2294" s="50"/>
    </row>
    <row r="2295" spans="23:23" x14ac:dyDescent="0.2">
      <c r="W2295" s="50"/>
    </row>
    <row r="2296" spans="23:23" x14ac:dyDescent="0.2">
      <c r="W2296" s="50"/>
    </row>
    <row r="2297" spans="23:23" x14ac:dyDescent="0.2">
      <c r="W2297" s="50"/>
    </row>
    <row r="2298" spans="23:23" x14ac:dyDescent="0.2">
      <c r="W2298" s="50"/>
    </row>
    <row r="2299" spans="23:23" x14ac:dyDescent="0.2">
      <c r="W2299" s="50"/>
    </row>
    <row r="2300" spans="23:23" x14ac:dyDescent="0.2">
      <c r="W2300" s="50"/>
    </row>
    <row r="2301" spans="23:23" x14ac:dyDescent="0.2">
      <c r="W2301" s="50"/>
    </row>
    <row r="2302" spans="23:23" x14ac:dyDescent="0.2">
      <c r="W2302" s="50"/>
    </row>
    <row r="2303" spans="23:23" x14ac:dyDescent="0.2">
      <c r="W2303" s="50"/>
    </row>
    <row r="2304" spans="23:23" x14ac:dyDescent="0.2">
      <c r="W2304" s="50"/>
    </row>
    <row r="2305" spans="23:23" x14ac:dyDescent="0.2">
      <c r="W2305" s="50"/>
    </row>
    <row r="2306" spans="23:23" x14ac:dyDescent="0.2">
      <c r="W2306" s="50"/>
    </row>
    <row r="2307" spans="23:23" x14ac:dyDescent="0.2">
      <c r="W2307" s="50"/>
    </row>
    <row r="2308" spans="23:23" x14ac:dyDescent="0.2">
      <c r="W2308" s="50"/>
    </row>
    <row r="2309" spans="23:23" x14ac:dyDescent="0.2">
      <c r="W2309" s="50"/>
    </row>
    <row r="2310" spans="23:23" x14ac:dyDescent="0.2">
      <c r="W2310" s="50"/>
    </row>
    <row r="2311" spans="23:23" x14ac:dyDescent="0.2">
      <c r="W2311" s="50"/>
    </row>
    <row r="2312" spans="23:23" x14ac:dyDescent="0.2">
      <c r="W2312" s="50"/>
    </row>
    <row r="2313" spans="23:23" x14ac:dyDescent="0.2">
      <c r="W2313" s="50"/>
    </row>
    <row r="2314" spans="23:23" x14ac:dyDescent="0.2">
      <c r="W2314" s="50"/>
    </row>
    <row r="2315" spans="23:23" x14ac:dyDescent="0.2">
      <c r="W2315" s="50"/>
    </row>
    <row r="2316" spans="23:23" x14ac:dyDescent="0.2">
      <c r="W2316" s="50"/>
    </row>
    <row r="2317" spans="23:23" x14ac:dyDescent="0.2">
      <c r="W2317" s="50"/>
    </row>
    <row r="2318" spans="23:23" x14ac:dyDescent="0.2">
      <c r="W2318" s="50"/>
    </row>
    <row r="2319" spans="23:23" x14ac:dyDescent="0.2">
      <c r="W2319" s="50"/>
    </row>
    <row r="2320" spans="23:23" x14ac:dyDescent="0.2">
      <c r="W2320" s="50"/>
    </row>
    <row r="2321" spans="23:23" x14ac:dyDescent="0.2">
      <c r="W2321" s="50"/>
    </row>
    <row r="2322" spans="23:23" x14ac:dyDescent="0.2">
      <c r="W2322" s="50"/>
    </row>
    <row r="2323" spans="23:23" x14ac:dyDescent="0.2">
      <c r="W2323" s="50"/>
    </row>
    <row r="2324" spans="23:23" x14ac:dyDescent="0.2">
      <c r="W2324" s="50"/>
    </row>
    <row r="2325" spans="23:23" x14ac:dyDescent="0.2">
      <c r="W2325" s="50"/>
    </row>
    <row r="2326" spans="23:23" x14ac:dyDescent="0.2">
      <c r="W2326" s="50"/>
    </row>
    <row r="2327" spans="23:23" x14ac:dyDescent="0.2">
      <c r="W2327" s="50"/>
    </row>
    <row r="2328" spans="23:23" x14ac:dyDescent="0.2">
      <c r="W2328" s="50"/>
    </row>
    <row r="2329" spans="23:23" x14ac:dyDescent="0.2">
      <c r="W2329" s="50"/>
    </row>
    <row r="2330" spans="23:23" x14ac:dyDescent="0.2">
      <c r="W2330" s="50"/>
    </row>
    <row r="2331" spans="23:23" x14ac:dyDescent="0.2">
      <c r="W2331" s="50"/>
    </row>
    <row r="2332" spans="23:23" x14ac:dyDescent="0.2">
      <c r="W2332" s="50"/>
    </row>
    <row r="2333" spans="23:23" x14ac:dyDescent="0.2">
      <c r="W2333" s="50"/>
    </row>
    <row r="2334" spans="23:23" x14ac:dyDescent="0.2">
      <c r="W2334" s="50"/>
    </row>
    <row r="2335" spans="23:23" x14ac:dyDescent="0.2">
      <c r="W2335" s="50"/>
    </row>
    <row r="2336" spans="23:23" x14ac:dyDescent="0.2">
      <c r="W2336" s="50"/>
    </row>
    <row r="2337" spans="23:23" x14ac:dyDescent="0.2">
      <c r="W2337" s="50"/>
    </row>
    <row r="2338" spans="23:23" x14ac:dyDescent="0.2">
      <c r="W2338" s="50"/>
    </row>
    <row r="2339" spans="23:23" x14ac:dyDescent="0.2">
      <c r="W2339" s="50"/>
    </row>
    <row r="2340" spans="23:23" x14ac:dyDescent="0.2">
      <c r="W2340" s="50"/>
    </row>
    <row r="2341" spans="23:23" x14ac:dyDescent="0.2">
      <c r="W2341" s="50"/>
    </row>
    <row r="2342" spans="23:23" x14ac:dyDescent="0.2">
      <c r="W2342" s="50"/>
    </row>
    <row r="2343" spans="23:23" x14ac:dyDescent="0.2">
      <c r="W2343" s="50"/>
    </row>
    <row r="2344" spans="23:23" x14ac:dyDescent="0.2">
      <c r="W2344" s="50"/>
    </row>
    <row r="2345" spans="23:23" x14ac:dyDescent="0.2">
      <c r="W2345" s="50"/>
    </row>
    <row r="2346" spans="23:23" x14ac:dyDescent="0.2">
      <c r="W2346" s="50"/>
    </row>
    <row r="2347" spans="23:23" x14ac:dyDescent="0.2">
      <c r="W2347" s="50"/>
    </row>
    <row r="2348" spans="23:23" x14ac:dyDescent="0.2">
      <c r="W2348" s="50"/>
    </row>
    <row r="2349" spans="23:23" x14ac:dyDescent="0.2">
      <c r="W2349" s="50"/>
    </row>
    <row r="2350" spans="23:23" x14ac:dyDescent="0.2">
      <c r="W2350" s="50"/>
    </row>
    <row r="2351" spans="23:23" x14ac:dyDescent="0.2">
      <c r="W2351" s="50"/>
    </row>
    <row r="2352" spans="23:23" x14ac:dyDescent="0.2">
      <c r="W2352" s="50"/>
    </row>
    <row r="2353" spans="23:23" x14ac:dyDescent="0.2">
      <c r="W2353" s="50"/>
    </row>
    <row r="2354" spans="23:23" x14ac:dyDescent="0.2">
      <c r="W2354" s="50"/>
    </row>
    <row r="2355" spans="23:23" x14ac:dyDescent="0.2">
      <c r="W2355" s="50"/>
    </row>
    <row r="2356" spans="23:23" x14ac:dyDescent="0.2">
      <c r="W2356" s="50"/>
    </row>
    <row r="2357" spans="23:23" x14ac:dyDescent="0.2">
      <c r="W2357" s="50"/>
    </row>
    <row r="2358" spans="23:23" x14ac:dyDescent="0.2">
      <c r="W2358" s="50"/>
    </row>
    <row r="2359" spans="23:23" x14ac:dyDescent="0.2">
      <c r="W2359" s="50"/>
    </row>
    <row r="2360" spans="23:23" x14ac:dyDescent="0.2">
      <c r="W2360" s="50"/>
    </row>
    <row r="2361" spans="23:23" x14ac:dyDescent="0.2">
      <c r="W2361" s="50"/>
    </row>
    <row r="2362" spans="23:23" x14ac:dyDescent="0.2">
      <c r="W2362" s="50"/>
    </row>
    <row r="2363" spans="23:23" x14ac:dyDescent="0.2">
      <c r="W2363" s="50"/>
    </row>
    <row r="2364" spans="23:23" x14ac:dyDescent="0.2">
      <c r="W2364" s="50"/>
    </row>
    <row r="2365" spans="23:23" x14ac:dyDescent="0.2">
      <c r="W2365" s="50"/>
    </row>
    <row r="2366" spans="23:23" x14ac:dyDescent="0.2">
      <c r="W2366" s="50"/>
    </row>
    <row r="2367" spans="23:23" x14ac:dyDescent="0.2">
      <c r="W2367" s="50"/>
    </row>
    <row r="2368" spans="23:23" x14ac:dyDescent="0.2">
      <c r="W2368" s="50"/>
    </row>
    <row r="2369" spans="23:23" x14ac:dyDescent="0.2">
      <c r="W2369" s="50"/>
    </row>
    <row r="2370" spans="23:23" x14ac:dyDescent="0.2">
      <c r="W2370" s="50"/>
    </row>
    <row r="2371" spans="23:23" x14ac:dyDescent="0.2">
      <c r="W2371" s="50"/>
    </row>
    <row r="2372" spans="23:23" x14ac:dyDescent="0.2">
      <c r="W2372" s="50"/>
    </row>
    <row r="2373" spans="23:23" x14ac:dyDescent="0.2">
      <c r="W2373" s="50"/>
    </row>
    <row r="2374" spans="23:23" x14ac:dyDescent="0.2">
      <c r="W2374" s="50"/>
    </row>
    <row r="2375" spans="23:23" x14ac:dyDescent="0.2">
      <c r="W2375" s="50"/>
    </row>
    <row r="2376" spans="23:23" x14ac:dyDescent="0.2">
      <c r="W2376" s="50"/>
    </row>
    <row r="2377" spans="23:23" x14ac:dyDescent="0.2">
      <c r="W2377" s="50"/>
    </row>
    <row r="2378" spans="23:23" x14ac:dyDescent="0.2">
      <c r="W2378" s="50"/>
    </row>
    <row r="2379" spans="23:23" x14ac:dyDescent="0.2">
      <c r="W2379" s="50"/>
    </row>
    <row r="2380" spans="23:23" x14ac:dyDescent="0.2">
      <c r="W2380" s="50"/>
    </row>
    <row r="2381" spans="23:23" x14ac:dyDescent="0.2">
      <c r="W2381" s="50"/>
    </row>
    <row r="2382" spans="23:23" x14ac:dyDescent="0.2">
      <c r="W2382" s="50"/>
    </row>
    <row r="2383" spans="23:23" x14ac:dyDescent="0.2">
      <c r="W2383" s="50"/>
    </row>
    <row r="2384" spans="23:23" x14ac:dyDescent="0.2">
      <c r="W2384" s="50"/>
    </row>
    <row r="2385" spans="23:23" x14ac:dyDescent="0.2">
      <c r="W2385" s="50"/>
    </row>
    <row r="2386" spans="23:23" x14ac:dyDescent="0.2">
      <c r="W2386" s="50"/>
    </row>
    <row r="2387" spans="23:23" x14ac:dyDescent="0.2">
      <c r="W2387" s="50"/>
    </row>
    <row r="2388" spans="23:23" x14ac:dyDescent="0.2">
      <c r="W2388" s="50"/>
    </row>
    <row r="2389" spans="23:23" x14ac:dyDescent="0.2">
      <c r="W2389" s="50"/>
    </row>
    <row r="2390" spans="23:23" x14ac:dyDescent="0.2">
      <c r="W2390" s="50"/>
    </row>
    <row r="2391" spans="23:23" x14ac:dyDescent="0.2">
      <c r="W2391" s="50"/>
    </row>
    <row r="2392" spans="23:23" x14ac:dyDescent="0.2">
      <c r="W2392" s="50"/>
    </row>
    <row r="2393" spans="23:23" x14ac:dyDescent="0.2">
      <c r="W2393" s="50"/>
    </row>
    <row r="2394" spans="23:23" x14ac:dyDescent="0.2">
      <c r="W2394" s="50"/>
    </row>
    <row r="2395" spans="23:23" x14ac:dyDescent="0.2">
      <c r="W2395" s="50"/>
    </row>
    <row r="2396" spans="23:23" x14ac:dyDescent="0.2">
      <c r="W2396" s="50"/>
    </row>
    <row r="2397" spans="23:23" x14ac:dyDescent="0.2">
      <c r="W2397" s="50"/>
    </row>
    <row r="2398" spans="23:23" x14ac:dyDescent="0.2">
      <c r="W2398" s="50"/>
    </row>
    <row r="2399" spans="23:23" x14ac:dyDescent="0.2">
      <c r="W2399" s="50"/>
    </row>
    <row r="2400" spans="23:23" x14ac:dyDescent="0.2">
      <c r="W2400" s="50"/>
    </row>
    <row r="2401" spans="23:23" x14ac:dyDescent="0.2">
      <c r="W2401" s="50"/>
    </row>
    <row r="2402" spans="23:23" x14ac:dyDescent="0.2">
      <c r="W2402" s="50"/>
    </row>
    <row r="2403" spans="23:23" x14ac:dyDescent="0.2">
      <c r="W2403" s="50"/>
    </row>
    <row r="2404" spans="23:23" x14ac:dyDescent="0.2">
      <c r="W2404" s="50"/>
    </row>
    <row r="2405" spans="23:23" x14ac:dyDescent="0.2">
      <c r="W2405" s="50"/>
    </row>
    <row r="2406" spans="23:23" x14ac:dyDescent="0.2">
      <c r="W2406" s="50"/>
    </row>
    <row r="2407" spans="23:23" x14ac:dyDescent="0.2">
      <c r="W2407" s="50"/>
    </row>
    <row r="2408" spans="23:23" x14ac:dyDescent="0.2">
      <c r="W2408" s="50"/>
    </row>
    <row r="2409" spans="23:23" x14ac:dyDescent="0.2">
      <c r="W2409" s="50"/>
    </row>
    <row r="2410" spans="23:23" x14ac:dyDescent="0.2">
      <c r="W2410" s="50"/>
    </row>
    <row r="2411" spans="23:23" x14ac:dyDescent="0.2">
      <c r="W2411" s="50"/>
    </row>
    <row r="2412" spans="23:23" x14ac:dyDescent="0.2">
      <c r="W2412" s="50"/>
    </row>
    <row r="2413" spans="23:23" x14ac:dyDescent="0.2">
      <c r="W2413" s="50"/>
    </row>
    <row r="2414" spans="23:23" x14ac:dyDescent="0.2">
      <c r="W2414" s="50"/>
    </row>
    <row r="2415" spans="23:23" x14ac:dyDescent="0.2">
      <c r="W2415" s="50"/>
    </row>
    <row r="2416" spans="23:23" x14ac:dyDescent="0.2">
      <c r="W2416" s="50"/>
    </row>
    <row r="2417" spans="23:23" x14ac:dyDescent="0.2">
      <c r="W2417" s="50"/>
    </row>
    <row r="2418" spans="23:23" x14ac:dyDescent="0.2">
      <c r="W2418" s="50"/>
    </row>
    <row r="2419" spans="23:23" x14ac:dyDescent="0.2">
      <c r="W2419" s="50"/>
    </row>
    <row r="2420" spans="23:23" x14ac:dyDescent="0.2">
      <c r="W2420" s="50"/>
    </row>
    <row r="2421" spans="23:23" x14ac:dyDescent="0.2">
      <c r="W2421" s="50"/>
    </row>
    <row r="2422" spans="23:23" x14ac:dyDescent="0.2">
      <c r="W2422" s="50"/>
    </row>
    <row r="2423" spans="23:23" x14ac:dyDescent="0.2">
      <c r="W2423" s="50"/>
    </row>
    <row r="2424" spans="23:23" x14ac:dyDescent="0.2">
      <c r="W2424" s="50"/>
    </row>
    <row r="2425" spans="23:23" x14ac:dyDescent="0.2">
      <c r="W2425" s="50"/>
    </row>
    <row r="2426" spans="23:23" x14ac:dyDescent="0.2">
      <c r="W2426" s="50"/>
    </row>
    <row r="2427" spans="23:23" x14ac:dyDescent="0.2">
      <c r="W2427" s="50"/>
    </row>
    <row r="2428" spans="23:23" x14ac:dyDescent="0.2">
      <c r="W2428" s="50"/>
    </row>
    <row r="2429" spans="23:23" x14ac:dyDescent="0.2">
      <c r="W2429" s="50"/>
    </row>
    <row r="2430" spans="23:23" x14ac:dyDescent="0.2">
      <c r="W2430" s="50"/>
    </row>
    <row r="2431" spans="23:23" x14ac:dyDescent="0.2">
      <c r="W2431" s="50"/>
    </row>
    <row r="2432" spans="23:23" x14ac:dyDescent="0.2">
      <c r="W2432" s="50"/>
    </row>
    <row r="2433" spans="23:23" x14ac:dyDescent="0.2">
      <c r="W2433" s="50"/>
    </row>
    <row r="2434" spans="23:23" x14ac:dyDescent="0.2">
      <c r="W2434" s="50"/>
    </row>
    <row r="2435" spans="23:23" x14ac:dyDescent="0.2">
      <c r="W2435" s="50"/>
    </row>
    <row r="2436" spans="23:23" x14ac:dyDescent="0.2">
      <c r="W2436" s="50"/>
    </row>
    <row r="2437" spans="23:23" x14ac:dyDescent="0.2">
      <c r="W2437" s="50"/>
    </row>
    <row r="2438" spans="23:23" x14ac:dyDescent="0.2">
      <c r="W2438" s="50"/>
    </row>
    <row r="2439" spans="23:23" x14ac:dyDescent="0.2">
      <c r="W2439" s="50"/>
    </row>
    <row r="2440" spans="23:23" x14ac:dyDescent="0.2">
      <c r="W2440" s="50"/>
    </row>
    <row r="2441" spans="23:23" x14ac:dyDescent="0.2">
      <c r="W2441" s="50"/>
    </row>
    <row r="2442" spans="23:23" x14ac:dyDescent="0.2">
      <c r="W2442" s="50"/>
    </row>
    <row r="2443" spans="23:23" x14ac:dyDescent="0.2">
      <c r="W2443" s="50"/>
    </row>
    <row r="2444" spans="23:23" x14ac:dyDescent="0.2">
      <c r="W2444" s="50"/>
    </row>
    <row r="2445" spans="23:23" x14ac:dyDescent="0.2">
      <c r="W2445" s="50"/>
    </row>
    <row r="2446" spans="23:23" x14ac:dyDescent="0.2">
      <c r="W2446" s="50"/>
    </row>
    <row r="2447" spans="23:23" x14ac:dyDescent="0.2">
      <c r="W2447" s="50"/>
    </row>
    <row r="2448" spans="23:23" x14ac:dyDescent="0.2">
      <c r="W2448" s="50"/>
    </row>
    <row r="2449" spans="23:23" x14ac:dyDescent="0.2">
      <c r="W2449" s="50"/>
    </row>
    <row r="2450" spans="23:23" x14ac:dyDescent="0.2">
      <c r="W2450" s="50"/>
    </row>
    <row r="2451" spans="23:23" x14ac:dyDescent="0.2">
      <c r="W2451" s="50"/>
    </row>
    <row r="2452" spans="23:23" x14ac:dyDescent="0.2">
      <c r="W2452" s="50"/>
    </row>
    <row r="2453" spans="23:23" x14ac:dyDescent="0.2">
      <c r="W2453" s="50"/>
    </row>
    <row r="2454" spans="23:23" x14ac:dyDescent="0.2">
      <c r="W2454" s="50"/>
    </row>
    <row r="2455" spans="23:23" x14ac:dyDescent="0.2">
      <c r="W2455" s="50"/>
    </row>
    <row r="2456" spans="23:23" x14ac:dyDescent="0.2">
      <c r="W2456" s="50"/>
    </row>
    <row r="2457" spans="23:23" x14ac:dyDescent="0.2">
      <c r="W2457" s="50"/>
    </row>
    <row r="2458" spans="23:23" x14ac:dyDescent="0.2">
      <c r="W2458" s="50"/>
    </row>
    <row r="2459" spans="23:23" x14ac:dyDescent="0.2">
      <c r="W2459" s="50"/>
    </row>
    <row r="2460" spans="23:23" x14ac:dyDescent="0.2">
      <c r="W2460" s="50"/>
    </row>
    <row r="2461" spans="23:23" x14ac:dyDescent="0.2">
      <c r="W2461" s="50"/>
    </row>
    <row r="2462" spans="23:23" x14ac:dyDescent="0.2">
      <c r="W2462" s="50"/>
    </row>
    <row r="2463" spans="23:23" x14ac:dyDescent="0.2">
      <c r="W2463" s="50"/>
    </row>
    <row r="2464" spans="23:23" x14ac:dyDescent="0.2">
      <c r="W2464" s="50"/>
    </row>
    <row r="2465" spans="23:23" x14ac:dyDescent="0.2">
      <c r="W2465" s="50"/>
    </row>
    <row r="2466" spans="23:23" x14ac:dyDescent="0.2">
      <c r="W2466" s="50"/>
    </row>
    <row r="2467" spans="23:23" x14ac:dyDescent="0.2">
      <c r="W2467" s="50"/>
    </row>
    <row r="2468" spans="23:23" x14ac:dyDescent="0.2">
      <c r="W2468" s="50"/>
    </row>
    <row r="2469" spans="23:23" x14ac:dyDescent="0.2">
      <c r="W2469" s="50"/>
    </row>
    <row r="2470" spans="23:23" x14ac:dyDescent="0.2">
      <c r="W2470" s="50"/>
    </row>
    <row r="2471" spans="23:23" x14ac:dyDescent="0.2">
      <c r="W2471" s="50"/>
    </row>
    <row r="2472" spans="23:23" x14ac:dyDescent="0.2">
      <c r="W2472" s="50"/>
    </row>
    <row r="2473" spans="23:23" x14ac:dyDescent="0.2">
      <c r="W2473" s="50"/>
    </row>
    <row r="2474" spans="23:23" x14ac:dyDescent="0.2">
      <c r="W2474" s="50"/>
    </row>
    <row r="2475" spans="23:23" x14ac:dyDescent="0.2">
      <c r="W2475" s="50"/>
    </row>
    <row r="2476" spans="23:23" x14ac:dyDescent="0.2">
      <c r="W2476" s="50"/>
    </row>
    <row r="2477" spans="23:23" x14ac:dyDescent="0.2">
      <c r="W2477" s="50"/>
    </row>
    <row r="2478" spans="23:23" x14ac:dyDescent="0.2">
      <c r="W2478" s="50"/>
    </row>
    <row r="2479" spans="23:23" x14ac:dyDescent="0.2">
      <c r="W2479" s="50"/>
    </row>
    <row r="2480" spans="23:23" x14ac:dyDescent="0.2">
      <c r="W2480" s="50"/>
    </row>
    <row r="2481" spans="23:23" x14ac:dyDescent="0.2">
      <c r="W2481" s="50"/>
    </row>
    <row r="2482" spans="23:23" x14ac:dyDescent="0.2">
      <c r="W2482" s="50"/>
    </row>
    <row r="2483" spans="23:23" x14ac:dyDescent="0.2">
      <c r="W2483" s="50"/>
    </row>
    <row r="2484" spans="23:23" x14ac:dyDescent="0.2">
      <c r="W2484" s="50"/>
    </row>
    <row r="2485" spans="23:23" x14ac:dyDescent="0.2">
      <c r="W2485" s="50"/>
    </row>
    <row r="2486" spans="23:23" x14ac:dyDescent="0.2">
      <c r="W2486" s="50"/>
    </row>
    <row r="2487" spans="23:23" x14ac:dyDescent="0.2">
      <c r="W2487" s="50"/>
    </row>
    <row r="2488" spans="23:23" x14ac:dyDescent="0.2">
      <c r="W2488" s="50"/>
    </row>
    <row r="2489" spans="23:23" x14ac:dyDescent="0.2">
      <c r="W2489" s="50"/>
    </row>
    <row r="2490" spans="23:23" x14ac:dyDescent="0.2">
      <c r="W2490" s="50"/>
    </row>
    <row r="2491" spans="23:23" x14ac:dyDescent="0.2">
      <c r="W2491" s="50"/>
    </row>
    <row r="2492" spans="23:23" x14ac:dyDescent="0.2">
      <c r="W2492" s="50"/>
    </row>
    <row r="2493" spans="23:23" x14ac:dyDescent="0.2">
      <c r="W2493" s="50"/>
    </row>
    <row r="2494" spans="23:23" x14ac:dyDescent="0.2">
      <c r="W2494" s="50"/>
    </row>
    <row r="2495" spans="23:23" x14ac:dyDescent="0.2">
      <c r="W2495" s="50"/>
    </row>
    <row r="2496" spans="23:23" x14ac:dyDescent="0.2">
      <c r="W2496" s="50"/>
    </row>
    <row r="2497" spans="23:23" x14ac:dyDescent="0.2">
      <c r="W2497" s="50"/>
    </row>
    <row r="2498" spans="23:23" x14ac:dyDescent="0.2">
      <c r="W2498" s="50"/>
    </row>
    <row r="2499" spans="23:23" x14ac:dyDescent="0.2">
      <c r="W2499" s="50"/>
    </row>
    <row r="2500" spans="23:23" x14ac:dyDescent="0.2">
      <c r="W2500" s="50"/>
    </row>
    <row r="2501" spans="23:23" x14ac:dyDescent="0.2">
      <c r="W2501" s="50"/>
    </row>
    <row r="2502" spans="23:23" x14ac:dyDescent="0.2">
      <c r="W2502" s="50"/>
    </row>
    <row r="2503" spans="23:23" x14ac:dyDescent="0.2">
      <c r="W2503" s="50"/>
    </row>
    <row r="2504" spans="23:23" x14ac:dyDescent="0.2">
      <c r="W2504" s="50"/>
    </row>
    <row r="2505" spans="23:23" x14ac:dyDescent="0.2">
      <c r="W2505" s="50"/>
    </row>
    <row r="2506" spans="23:23" x14ac:dyDescent="0.2">
      <c r="W2506" s="50"/>
    </row>
    <row r="2507" spans="23:23" x14ac:dyDescent="0.2">
      <c r="W2507" s="50"/>
    </row>
    <row r="2508" spans="23:23" x14ac:dyDescent="0.2">
      <c r="W2508" s="50"/>
    </row>
    <row r="2509" spans="23:23" x14ac:dyDescent="0.2">
      <c r="W2509" s="50"/>
    </row>
    <row r="2510" spans="23:23" x14ac:dyDescent="0.2">
      <c r="W2510" s="50"/>
    </row>
    <row r="2511" spans="23:23" x14ac:dyDescent="0.2">
      <c r="W2511" s="50"/>
    </row>
    <row r="2512" spans="23:23" x14ac:dyDescent="0.2">
      <c r="W2512" s="50"/>
    </row>
    <row r="2513" spans="23:23" x14ac:dyDescent="0.2">
      <c r="W2513" s="50"/>
    </row>
    <row r="2514" spans="23:23" x14ac:dyDescent="0.2">
      <c r="W2514" s="50"/>
    </row>
    <row r="2515" spans="23:23" x14ac:dyDescent="0.2">
      <c r="W2515" s="50"/>
    </row>
    <row r="2516" spans="23:23" x14ac:dyDescent="0.2">
      <c r="W2516" s="50"/>
    </row>
    <row r="2517" spans="23:23" x14ac:dyDescent="0.2">
      <c r="W2517" s="50"/>
    </row>
    <row r="2518" spans="23:23" x14ac:dyDescent="0.2">
      <c r="W2518" s="50"/>
    </row>
    <row r="2519" spans="23:23" x14ac:dyDescent="0.2">
      <c r="W2519" s="50"/>
    </row>
    <row r="2520" spans="23:23" x14ac:dyDescent="0.2">
      <c r="W2520" s="50"/>
    </row>
    <row r="2521" spans="23:23" x14ac:dyDescent="0.2">
      <c r="W2521" s="50"/>
    </row>
    <row r="2522" spans="23:23" x14ac:dyDescent="0.2">
      <c r="W2522" s="50"/>
    </row>
    <row r="2523" spans="23:23" x14ac:dyDescent="0.2">
      <c r="W2523" s="50"/>
    </row>
    <row r="2524" spans="23:23" x14ac:dyDescent="0.2">
      <c r="W2524" s="50"/>
    </row>
    <row r="2525" spans="23:23" x14ac:dyDescent="0.2">
      <c r="W2525" s="50"/>
    </row>
    <row r="2526" spans="23:23" x14ac:dyDescent="0.2">
      <c r="W2526" s="50"/>
    </row>
    <row r="2527" spans="23:23" x14ac:dyDescent="0.2">
      <c r="W2527" s="50"/>
    </row>
    <row r="2528" spans="23:23" x14ac:dyDescent="0.2">
      <c r="W2528" s="50"/>
    </row>
    <row r="2529" spans="23:23" x14ac:dyDescent="0.2">
      <c r="W2529" s="50"/>
    </row>
    <row r="2530" spans="23:23" x14ac:dyDescent="0.2">
      <c r="W2530" s="50"/>
    </row>
    <row r="2531" spans="23:23" x14ac:dyDescent="0.2">
      <c r="W2531" s="50"/>
    </row>
    <row r="2532" spans="23:23" x14ac:dyDescent="0.2">
      <c r="W2532" s="50"/>
    </row>
    <row r="2533" spans="23:23" x14ac:dyDescent="0.2">
      <c r="W2533" s="50"/>
    </row>
    <row r="2534" spans="23:23" x14ac:dyDescent="0.2">
      <c r="W2534" s="50"/>
    </row>
    <row r="2535" spans="23:23" x14ac:dyDescent="0.2">
      <c r="W2535" s="50"/>
    </row>
    <row r="2536" spans="23:23" x14ac:dyDescent="0.2">
      <c r="W2536" s="50"/>
    </row>
    <row r="2537" spans="23:23" x14ac:dyDescent="0.2">
      <c r="W2537" s="50"/>
    </row>
    <row r="2538" spans="23:23" x14ac:dyDescent="0.2">
      <c r="W2538" s="50"/>
    </row>
    <row r="2539" spans="23:23" x14ac:dyDescent="0.2">
      <c r="W2539" s="50"/>
    </row>
    <row r="2540" spans="23:23" x14ac:dyDescent="0.2">
      <c r="W2540" s="50"/>
    </row>
    <row r="2541" spans="23:23" x14ac:dyDescent="0.2">
      <c r="W2541" s="50"/>
    </row>
    <row r="2542" spans="23:23" x14ac:dyDescent="0.2">
      <c r="W2542" s="50"/>
    </row>
    <row r="2543" spans="23:23" x14ac:dyDescent="0.2">
      <c r="W2543" s="50"/>
    </row>
    <row r="2544" spans="23:23" x14ac:dyDescent="0.2">
      <c r="W2544" s="50"/>
    </row>
    <row r="2545" spans="23:23" x14ac:dyDescent="0.2">
      <c r="W2545" s="50"/>
    </row>
    <row r="2546" spans="23:23" x14ac:dyDescent="0.2">
      <c r="W2546" s="50"/>
    </row>
    <row r="2547" spans="23:23" x14ac:dyDescent="0.2">
      <c r="W2547" s="50"/>
    </row>
    <row r="2548" spans="23:23" x14ac:dyDescent="0.2">
      <c r="W2548" s="50"/>
    </row>
    <row r="2549" spans="23:23" x14ac:dyDescent="0.2">
      <c r="W2549" s="50"/>
    </row>
    <row r="2550" spans="23:23" x14ac:dyDescent="0.2">
      <c r="W2550" s="50"/>
    </row>
    <row r="2551" spans="23:23" x14ac:dyDescent="0.2">
      <c r="W2551" s="50"/>
    </row>
    <row r="2552" spans="23:23" x14ac:dyDescent="0.2">
      <c r="W2552" s="50"/>
    </row>
    <row r="2553" spans="23:23" x14ac:dyDescent="0.2">
      <c r="W2553" s="50"/>
    </row>
    <row r="2554" spans="23:23" x14ac:dyDescent="0.2">
      <c r="W2554" s="50"/>
    </row>
    <row r="2555" spans="23:23" x14ac:dyDescent="0.2">
      <c r="W2555" s="50"/>
    </row>
    <row r="2556" spans="23:23" x14ac:dyDescent="0.2">
      <c r="W2556" s="50"/>
    </row>
    <row r="2557" spans="23:23" x14ac:dyDescent="0.2">
      <c r="W2557" s="50"/>
    </row>
    <row r="2558" spans="23:23" x14ac:dyDescent="0.2">
      <c r="W2558" s="50"/>
    </row>
    <row r="2559" spans="23:23" x14ac:dyDescent="0.2">
      <c r="W2559" s="50"/>
    </row>
    <row r="2560" spans="23:23" x14ac:dyDescent="0.2">
      <c r="W2560" s="50"/>
    </row>
    <row r="2561" spans="23:23" x14ac:dyDescent="0.2">
      <c r="W2561" s="50"/>
    </row>
    <row r="2562" spans="23:23" x14ac:dyDescent="0.2">
      <c r="W2562" s="50"/>
    </row>
    <row r="2563" spans="23:23" x14ac:dyDescent="0.2">
      <c r="W2563" s="50"/>
    </row>
    <row r="2564" spans="23:23" x14ac:dyDescent="0.2">
      <c r="W2564" s="50"/>
    </row>
    <row r="2565" spans="23:23" x14ac:dyDescent="0.2">
      <c r="W2565" s="50"/>
    </row>
    <row r="2566" spans="23:23" x14ac:dyDescent="0.2">
      <c r="W2566" s="50"/>
    </row>
    <row r="2567" spans="23:23" x14ac:dyDescent="0.2">
      <c r="W2567" s="50"/>
    </row>
    <row r="2568" spans="23:23" x14ac:dyDescent="0.2">
      <c r="W2568" s="50"/>
    </row>
    <row r="2569" spans="23:23" x14ac:dyDescent="0.2">
      <c r="W2569" s="50"/>
    </row>
    <row r="2570" spans="23:23" x14ac:dyDescent="0.2">
      <c r="W2570" s="50"/>
    </row>
    <row r="2571" spans="23:23" x14ac:dyDescent="0.2">
      <c r="W2571" s="50"/>
    </row>
    <row r="2572" spans="23:23" x14ac:dyDescent="0.2">
      <c r="W2572" s="50"/>
    </row>
    <row r="2573" spans="23:23" x14ac:dyDescent="0.2">
      <c r="W2573" s="50"/>
    </row>
    <row r="2574" spans="23:23" x14ac:dyDescent="0.2">
      <c r="W2574" s="50"/>
    </row>
    <row r="2575" spans="23:23" x14ac:dyDescent="0.2">
      <c r="W2575" s="50"/>
    </row>
    <row r="2576" spans="23:23" x14ac:dyDescent="0.2">
      <c r="W2576" s="50"/>
    </row>
    <row r="2577" spans="23:23" x14ac:dyDescent="0.2">
      <c r="W2577" s="50"/>
    </row>
    <row r="2578" spans="23:23" x14ac:dyDescent="0.2">
      <c r="W2578" s="50"/>
    </row>
    <row r="2579" spans="23:23" x14ac:dyDescent="0.2">
      <c r="W2579" s="50"/>
    </row>
    <row r="2580" spans="23:23" x14ac:dyDescent="0.2">
      <c r="W2580" s="50"/>
    </row>
    <row r="2581" spans="23:23" x14ac:dyDescent="0.2">
      <c r="W2581" s="50"/>
    </row>
    <row r="2582" spans="23:23" x14ac:dyDescent="0.2">
      <c r="W2582" s="50"/>
    </row>
    <row r="2583" spans="23:23" x14ac:dyDescent="0.2">
      <c r="W2583" s="50"/>
    </row>
    <row r="2584" spans="23:23" x14ac:dyDescent="0.2">
      <c r="W2584" s="50"/>
    </row>
    <row r="2585" spans="23:23" x14ac:dyDescent="0.2">
      <c r="W2585" s="50"/>
    </row>
    <row r="2586" spans="23:23" x14ac:dyDescent="0.2">
      <c r="W2586" s="50"/>
    </row>
    <row r="2587" spans="23:23" x14ac:dyDescent="0.2">
      <c r="W2587" s="50"/>
    </row>
    <row r="2588" spans="23:23" x14ac:dyDescent="0.2">
      <c r="W2588" s="50"/>
    </row>
    <row r="2589" spans="23:23" x14ac:dyDescent="0.2">
      <c r="W2589" s="50"/>
    </row>
    <row r="2590" spans="23:23" x14ac:dyDescent="0.2">
      <c r="W2590" s="50"/>
    </row>
    <row r="2591" spans="23:23" x14ac:dyDescent="0.2">
      <c r="W2591" s="50"/>
    </row>
    <row r="2592" spans="23:23" x14ac:dyDescent="0.2">
      <c r="W2592" s="50"/>
    </row>
    <row r="2593" spans="23:23" x14ac:dyDescent="0.2">
      <c r="W2593" s="50"/>
    </row>
    <row r="2594" spans="23:23" x14ac:dyDescent="0.2">
      <c r="W2594" s="50"/>
    </row>
    <row r="2595" spans="23:23" x14ac:dyDescent="0.2">
      <c r="W2595" s="50"/>
    </row>
    <row r="2596" spans="23:23" x14ac:dyDescent="0.2">
      <c r="W2596" s="50"/>
    </row>
    <row r="2597" spans="23:23" x14ac:dyDescent="0.2">
      <c r="W2597" s="50"/>
    </row>
    <row r="2598" spans="23:23" x14ac:dyDescent="0.2">
      <c r="W2598" s="50"/>
    </row>
    <row r="2599" spans="23:23" x14ac:dyDescent="0.2">
      <c r="W2599" s="50"/>
    </row>
    <row r="2600" spans="23:23" x14ac:dyDescent="0.2">
      <c r="W2600" s="50"/>
    </row>
    <row r="2601" spans="23:23" x14ac:dyDescent="0.2">
      <c r="W2601" s="50"/>
    </row>
    <row r="2602" spans="23:23" x14ac:dyDescent="0.2">
      <c r="W2602" s="50"/>
    </row>
    <row r="2603" spans="23:23" x14ac:dyDescent="0.2">
      <c r="W2603" s="50"/>
    </row>
    <row r="2604" spans="23:23" x14ac:dyDescent="0.2">
      <c r="W2604" s="50"/>
    </row>
    <row r="2605" spans="23:23" x14ac:dyDescent="0.2">
      <c r="W2605" s="50"/>
    </row>
    <row r="2606" spans="23:23" x14ac:dyDescent="0.2">
      <c r="W2606" s="50"/>
    </row>
    <row r="2607" spans="23:23" x14ac:dyDescent="0.2">
      <c r="W2607" s="50"/>
    </row>
    <row r="2608" spans="23:23" x14ac:dyDescent="0.2">
      <c r="W2608" s="50"/>
    </row>
    <row r="2609" spans="23:23" x14ac:dyDescent="0.2">
      <c r="W2609" s="50"/>
    </row>
    <row r="2610" spans="23:23" x14ac:dyDescent="0.2">
      <c r="W2610" s="50"/>
    </row>
    <row r="2611" spans="23:23" x14ac:dyDescent="0.2">
      <c r="W2611" s="50"/>
    </row>
    <row r="2612" spans="23:23" x14ac:dyDescent="0.2">
      <c r="W2612" s="50"/>
    </row>
    <row r="2613" spans="23:23" x14ac:dyDescent="0.2">
      <c r="W2613" s="50"/>
    </row>
    <row r="2614" spans="23:23" x14ac:dyDescent="0.2">
      <c r="W2614" s="50"/>
    </row>
    <row r="2615" spans="23:23" x14ac:dyDescent="0.2">
      <c r="W2615" s="50"/>
    </row>
    <row r="2616" spans="23:23" x14ac:dyDescent="0.2">
      <c r="W2616" s="50"/>
    </row>
    <row r="2617" spans="23:23" x14ac:dyDescent="0.2">
      <c r="W2617" s="50"/>
    </row>
    <row r="2618" spans="23:23" x14ac:dyDescent="0.2">
      <c r="W2618" s="50"/>
    </row>
    <row r="2619" spans="23:23" x14ac:dyDescent="0.2">
      <c r="W2619" s="50"/>
    </row>
    <row r="2620" spans="23:23" x14ac:dyDescent="0.2">
      <c r="W2620" s="50"/>
    </row>
    <row r="2621" spans="23:23" x14ac:dyDescent="0.2">
      <c r="W2621" s="50"/>
    </row>
    <row r="2622" spans="23:23" x14ac:dyDescent="0.2">
      <c r="W2622" s="50"/>
    </row>
    <row r="2623" spans="23:23" x14ac:dyDescent="0.2">
      <c r="W2623" s="50"/>
    </row>
    <row r="2624" spans="23:23" x14ac:dyDescent="0.2">
      <c r="W2624" s="50"/>
    </row>
    <row r="2625" spans="23:23" x14ac:dyDescent="0.2">
      <c r="W2625" s="50"/>
    </row>
    <row r="2626" spans="23:23" x14ac:dyDescent="0.2">
      <c r="W2626" s="50"/>
    </row>
    <row r="2627" spans="23:23" x14ac:dyDescent="0.2">
      <c r="W2627" s="50"/>
    </row>
    <row r="2628" spans="23:23" x14ac:dyDescent="0.2">
      <c r="W2628" s="50"/>
    </row>
    <row r="2629" spans="23:23" x14ac:dyDescent="0.2">
      <c r="W2629" s="50"/>
    </row>
    <row r="2630" spans="23:23" x14ac:dyDescent="0.2">
      <c r="W2630" s="50"/>
    </row>
    <row r="2631" spans="23:23" x14ac:dyDescent="0.2">
      <c r="W2631" s="50"/>
    </row>
    <row r="2632" spans="23:23" x14ac:dyDescent="0.2">
      <c r="W2632" s="50"/>
    </row>
    <row r="2633" spans="23:23" x14ac:dyDescent="0.2">
      <c r="W2633" s="50"/>
    </row>
    <row r="2634" spans="23:23" x14ac:dyDescent="0.2">
      <c r="W2634" s="50"/>
    </row>
    <row r="2635" spans="23:23" x14ac:dyDescent="0.2">
      <c r="W2635" s="50"/>
    </row>
    <row r="2636" spans="23:23" x14ac:dyDescent="0.2">
      <c r="W2636" s="50"/>
    </row>
    <row r="2637" spans="23:23" x14ac:dyDescent="0.2">
      <c r="W2637" s="50"/>
    </row>
    <row r="2638" spans="23:23" x14ac:dyDescent="0.2">
      <c r="W2638" s="50"/>
    </row>
    <row r="2639" spans="23:23" x14ac:dyDescent="0.2">
      <c r="W2639" s="50"/>
    </row>
    <row r="2640" spans="23:23" x14ac:dyDescent="0.2">
      <c r="W2640" s="50"/>
    </row>
    <row r="2641" spans="23:23" x14ac:dyDescent="0.2">
      <c r="W2641" s="50"/>
    </row>
    <row r="2642" spans="23:23" x14ac:dyDescent="0.2">
      <c r="W2642" s="50"/>
    </row>
    <row r="2643" spans="23:23" x14ac:dyDescent="0.2">
      <c r="W2643" s="50"/>
    </row>
    <row r="2644" spans="23:23" x14ac:dyDescent="0.2">
      <c r="W2644" s="50"/>
    </row>
    <row r="2645" spans="23:23" x14ac:dyDescent="0.2">
      <c r="W2645" s="50"/>
    </row>
    <row r="2646" spans="23:23" x14ac:dyDescent="0.2">
      <c r="W2646" s="50"/>
    </row>
    <row r="2647" spans="23:23" x14ac:dyDescent="0.2">
      <c r="W2647" s="50"/>
    </row>
    <row r="2648" spans="23:23" x14ac:dyDescent="0.2">
      <c r="W2648" s="50"/>
    </row>
    <row r="2649" spans="23:23" x14ac:dyDescent="0.2">
      <c r="W2649" s="50"/>
    </row>
    <row r="2650" spans="23:23" x14ac:dyDescent="0.2">
      <c r="W2650" s="50"/>
    </row>
    <row r="2651" spans="23:23" x14ac:dyDescent="0.2">
      <c r="W2651" s="50"/>
    </row>
    <row r="2652" spans="23:23" x14ac:dyDescent="0.2">
      <c r="W2652" s="50"/>
    </row>
    <row r="2653" spans="23:23" x14ac:dyDescent="0.2">
      <c r="W2653" s="50"/>
    </row>
    <row r="2654" spans="23:23" x14ac:dyDescent="0.2">
      <c r="W2654" s="50"/>
    </row>
    <row r="2655" spans="23:23" x14ac:dyDescent="0.2">
      <c r="W2655" s="50"/>
    </row>
    <row r="2656" spans="23:23" x14ac:dyDescent="0.2">
      <c r="W2656" s="50"/>
    </row>
    <row r="2657" spans="23:23" x14ac:dyDescent="0.2">
      <c r="W2657" s="50"/>
    </row>
    <row r="2658" spans="23:23" x14ac:dyDescent="0.2">
      <c r="W2658" s="50"/>
    </row>
    <row r="2659" spans="23:23" x14ac:dyDescent="0.2">
      <c r="W2659" s="50"/>
    </row>
    <row r="2660" spans="23:23" x14ac:dyDescent="0.2">
      <c r="W2660" s="50"/>
    </row>
    <row r="2661" spans="23:23" x14ac:dyDescent="0.2">
      <c r="W2661" s="50"/>
    </row>
    <row r="2662" spans="23:23" x14ac:dyDescent="0.2">
      <c r="W2662" s="50"/>
    </row>
    <row r="2663" spans="23:23" x14ac:dyDescent="0.2">
      <c r="W2663" s="50"/>
    </row>
    <row r="2664" spans="23:23" x14ac:dyDescent="0.2">
      <c r="W2664" s="50"/>
    </row>
    <row r="2665" spans="23:23" x14ac:dyDescent="0.2">
      <c r="W2665" s="50"/>
    </row>
    <row r="2666" spans="23:23" x14ac:dyDescent="0.2">
      <c r="W2666" s="50"/>
    </row>
    <row r="2667" spans="23:23" x14ac:dyDescent="0.2">
      <c r="W2667" s="50"/>
    </row>
    <row r="2668" spans="23:23" x14ac:dyDescent="0.2">
      <c r="W2668" s="50"/>
    </row>
    <row r="2669" spans="23:23" x14ac:dyDescent="0.2">
      <c r="W2669" s="50"/>
    </row>
    <row r="2670" spans="23:23" x14ac:dyDescent="0.2">
      <c r="W2670" s="50"/>
    </row>
    <row r="2671" spans="23:23" x14ac:dyDescent="0.2">
      <c r="W2671" s="50"/>
    </row>
    <row r="2672" spans="23:23" x14ac:dyDescent="0.2">
      <c r="W2672" s="50"/>
    </row>
    <row r="2673" spans="23:23" x14ac:dyDescent="0.2">
      <c r="W2673" s="50"/>
    </row>
    <row r="2674" spans="23:23" x14ac:dyDescent="0.2">
      <c r="W2674" s="50"/>
    </row>
    <row r="2675" spans="23:23" x14ac:dyDescent="0.2">
      <c r="W2675" s="50"/>
    </row>
    <row r="2676" spans="23:23" x14ac:dyDescent="0.2">
      <c r="W2676" s="50"/>
    </row>
    <row r="2677" spans="23:23" x14ac:dyDescent="0.2">
      <c r="W2677" s="50"/>
    </row>
    <row r="2678" spans="23:23" x14ac:dyDescent="0.2">
      <c r="W2678" s="50"/>
    </row>
    <row r="2679" spans="23:23" x14ac:dyDescent="0.2">
      <c r="W2679" s="50"/>
    </row>
    <row r="2680" spans="23:23" x14ac:dyDescent="0.2">
      <c r="W2680" s="50"/>
    </row>
    <row r="2681" spans="23:23" x14ac:dyDescent="0.2">
      <c r="W2681" s="50"/>
    </row>
    <row r="2682" spans="23:23" x14ac:dyDescent="0.2">
      <c r="W2682" s="50"/>
    </row>
    <row r="2683" spans="23:23" x14ac:dyDescent="0.2">
      <c r="W2683" s="50"/>
    </row>
    <row r="2684" spans="23:23" x14ac:dyDescent="0.2">
      <c r="W2684" s="50"/>
    </row>
    <row r="2685" spans="23:23" x14ac:dyDescent="0.2">
      <c r="W2685" s="50"/>
    </row>
    <row r="2686" spans="23:23" x14ac:dyDescent="0.2">
      <c r="W2686" s="50"/>
    </row>
    <row r="2687" spans="23:23" x14ac:dyDescent="0.2">
      <c r="W2687" s="50"/>
    </row>
    <row r="2688" spans="23:23" x14ac:dyDescent="0.2">
      <c r="W2688" s="50"/>
    </row>
    <row r="2689" spans="23:23" x14ac:dyDescent="0.2">
      <c r="W2689" s="50"/>
    </row>
    <row r="2690" spans="23:23" x14ac:dyDescent="0.2">
      <c r="W2690" s="50"/>
    </row>
    <row r="2691" spans="23:23" x14ac:dyDescent="0.2">
      <c r="W2691" s="50"/>
    </row>
    <row r="2692" spans="23:23" x14ac:dyDescent="0.2">
      <c r="W2692" s="50"/>
    </row>
    <row r="2693" spans="23:23" x14ac:dyDescent="0.2">
      <c r="W2693" s="50"/>
    </row>
    <row r="2694" spans="23:23" x14ac:dyDescent="0.2">
      <c r="W2694" s="50"/>
    </row>
    <row r="2695" spans="23:23" x14ac:dyDescent="0.2">
      <c r="W2695" s="50"/>
    </row>
    <row r="2696" spans="23:23" x14ac:dyDescent="0.2">
      <c r="W2696" s="50"/>
    </row>
    <row r="2697" spans="23:23" x14ac:dyDescent="0.2">
      <c r="W2697" s="50"/>
    </row>
    <row r="2698" spans="23:23" x14ac:dyDescent="0.2">
      <c r="W2698" s="50"/>
    </row>
    <row r="2699" spans="23:23" x14ac:dyDescent="0.2">
      <c r="W2699" s="50"/>
    </row>
    <row r="2700" spans="23:23" x14ac:dyDescent="0.2">
      <c r="W2700" s="50"/>
    </row>
    <row r="2701" spans="23:23" x14ac:dyDescent="0.2">
      <c r="W2701" s="50"/>
    </row>
    <row r="2702" spans="23:23" x14ac:dyDescent="0.2">
      <c r="W2702" s="50"/>
    </row>
    <row r="2703" spans="23:23" x14ac:dyDescent="0.2">
      <c r="W2703" s="50"/>
    </row>
    <row r="2704" spans="23:23" x14ac:dyDescent="0.2">
      <c r="W2704" s="50"/>
    </row>
    <row r="2705" spans="23:23" x14ac:dyDescent="0.2">
      <c r="W2705" s="50"/>
    </row>
    <row r="2706" spans="23:23" x14ac:dyDescent="0.2">
      <c r="W2706" s="50"/>
    </row>
    <row r="2707" spans="23:23" x14ac:dyDescent="0.2">
      <c r="W2707" s="50"/>
    </row>
    <row r="2708" spans="23:23" x14ac:dyDescent="0.2">
      <c r="W2708" s="50"/>
    </row>
    <row r="2709" spans="23:23" x14ac:dyDescent="0.2">
      <c r="W2709" s="50"/>
    </row>
    <row r="2710" spans="23:23" x14ac:dyDescent="0.2">
      <c r="W2710" s="50"/>
    </row>
    <row r="2711" spans="23:23" x14ac:dyDescent="0.2">
      <c r="W2711" s="50"/>
    </row>
    <row r="2712" spans="23:23" x14ac:dyDescent="0.2">
      <c r="W2712" s="50"/>
    </row>
    <row r="2713" spans="23:23" x14ac:dyDescent="0.2">
      <c r="W2713" s="50"/>
    </row>
    <row r="2714" spans="23:23" x14ac:dyDescent="0.2">
      <c r="W2714" s="50"/>
    </row>
    <row r="2715" spans="23:23" x14ac:dyDescent="0.2">
      <c r="W2715" s="50"/>
    </row>
    <row r="2716" spans="23:23" x14ac:dyDescent="0.2">
      <c r="W2716" s="50"/>
    </row>
    <row r="2717" spans="23:23" x14ac:dyDescent="0.2">
      <c r="W2717" s="50"/>
    </row>
    <row r="2718" spans="23:23" x14ac:dyDescent="0.2">
      <c r="W2718" s="50"/>
    </row>
    <row r="2719" spans="23:23" x14ac:dyDescent="0.2">
      <c r="W2719" s="50"/>
    </row>
    <row r="2720" spans="23:23" x14ac:dyDescent="0.2">
      <c r="W2720" s="50"/>
    </row>
    <row r="2721" spans="23:23" x14ac:dyDescent="0.2">
      <c r="W2721" s="50"/>
    </row>
    <row r="2722" spans="23:23" x14ac:dyDescent="0.2">
      <c r="W2722" s="50"/>
    </row>
    <row r="2723" spans="23:23" x14ac:dyDescent="0.2">
      <c r="W2723" s="50"/>
    </row>
    <row r="2724" spans="23:23" x14ac:dyDescent="0.2">
      <c r="W2724" s="50"/>
    </row>
    <row r="2725" spans="23:23" x14ac:dyDescent="0.2">
      <c r="W2725" s="50"/>
    </row>
    <row r="2726" spans="23:23" x14ac:dyDescent="0.2">
      <c r="W2726" s="50"/>
    </row>
    <row r="2727" spans="23:23" x14ac:dyDescent="0.2">
      <c r="W2727" s="50"/>
    </row>
    <row r="2728" spans="23:23" x14ac:dyDescent="0.2">
      <c r="W2728" s="50"/>
    </row>
    <row r="2729" spans="23:23" x14ac:dyDescent="0.2">
      <c r="W2729" s="50"/>
    </row>
    <row r="2730" spans="23:23" x14ac:dyDescent="0.2">
      <c r="W2730" s="50"/>
    </row>
    <row r="2731" spans="23:23" x14ac:dyDescent="0.2">
      <c r="W2731" s="50"/>
    </row>
    <row r="2732" spans="23:23" x14ac:dyDescent="0.2">
      <c r="W2732" s="50"/>
    </row>
    <row r="2733" spans="23:23" x14ac:dyDescent="0.2">
      <c r="W2733" s="50"/>
    </row>
    <row r="2734" spans="23:23" x14ac:dyDescent="0.2">
      <c r="W2734" s="50"/>
    </row>
    <row r="2735" spans="23:23" x14ac:dyDescent="0.2">
      <c r="W2735" s="50"/>
    </row>
    <row r="2736" spans="23:23" x14ac:dyDescent="0.2">
      <c r="W2736" s="50"/>
    </row>
    <row r="2737" spans="23:23" x14ac:dyDescent="0.2">
      <c r="W2737" s="50"/>
    </row>
    <row r="2738" spans="23:23" x14ac:dyDescent="0.2">
      <c r="W2738" s="50"/>
    </row>
    <row r="2739" spans="23:23" x14ac:dyDescent="0.2">
      <c r="W2739" s="50"/>
    </row>
    <row r="2740" spans="23:23" x14ac:dyDescent="0.2">
      <c r="W2740" s="50"/>
    </row>
    <row r="2741" spans="23:23" x14ac:dyDescent="0.2">
      <c r="W2741" s="50"/>
    </row>
    <row r="2742" spans="23:23" x14ac:dyDescent="0.2">
      <c r="W2742" s="50"/>
    </row>
    <row r="2743" spans="23:23" x14ac:dyDescent="0.2">
      <c r="W2743" s="50"/>
    </row>
    <row r="2744" spans="23:23" x14ac:dyDescent="0.2">
      <c r="W2744" s="50"/>
    </row>
    <row r="2745" spans="23:23" x14ac:dyDescent="0.2">
      <c r="W2745" s="50"/>
    </row>
    <row r="2746" spans="23:23" x14ac:dyDescent="0.2">
      <c r="W2746" s="50"/>
    </row>
    <row r="2747" spans="23:23" x14ac:dyDescent="0.2">
      <c r="W2747" s="50"/>
    </row>
    <row r="2748" spans="23:23" x14ac:dyDescent="0.2">
      <c r="W2748" s="50"/>
    </row>
    <row r="2749" spans="23:23" x14ac:dyDescent="0.2">
      <c r="W2749" s="50"/>
    </row>
    <row r="2750" spans="23:23" x14ac:dyDescent="0.2">
      <c r="W2750" s="50"/>
    </row>
    <row r="2751" spans="23:23" x14ac:dyDescent="0.2">
      <c r="W2751" s="50"/>
    </row>
    <row r="2752" spans="23:23" x14ac:dyDescent="0.2">
      <c r="W2752" s="50"/>
    </row>
    <row r="2753" spans="23:23" x14ac:dyDescent="0.2">
      <c r="W2753" s="50"/>
    </row>
    <row r="2754" spans="23:23" x14ac:dyDescent="0.2">
      <c r="W2754" s="50"/>
    </row>
    <row r="2755" spans="23:23" x14ac:dyDescent="0.2">
      <c r="W2755" s="50"/>
    </row>
    <row r="2756" spans="23:23" x14ac:dyDescent="0.2">
      <c r="W2756" s="50"/>
    </row>
    <row r="2757" spans="23:23" x14ac:dyDescent="0.2">
      <c r="W2757" s="50"/>
    </row>
    <row r="2758" spans="23:23" x14ac:dyDescent="0.2">
      <c r="W2758" s="50"/>
    </row>
    <row r="2759" spans="23:23" x14ac:dyDescent="0.2">
      <c r="W2759" s="50"/>
    </row>
    <row r="2760" spans="23:23" x14ac:dyDescent="0.2">
      <c r="W2760" s="50"/>
    </row>
    <row r="2761" spans="23:23" x14ac:dyDescent="0.2">
      <c r="W2761" s="50"/>
    </row>
    <row r="2762" spans="23:23" x14ac:dyDescent="0.2">
      <c r="W2762" s="50"/>
    </row>
    <row r="2763" spans="23:23" x14ac:dyDescent="0.2">
      <c r="W2763" s="50"/>
    </row>
    <row r="2764" spans="23:23" x14ac:dyDescent="0.2">
      <c r="W2764" s="50"/>
    </row>
    <row r="2765" spans="23:23" x14ac:dyDescent="0.2">
      <c r="W2765" s="50"/>
    </row>
    <row r="2766" spans="23:23" x14ac:dyDescent="0.2">
      <c r="W2766" s="50"/>
    </row>
    <row r="2767" spans="23:23" x14ac:dyDescent="0.2">
      <c r="W2767" s="50"/>
    </row>
    <row r="2768" spans="23:23" x14ac:dyDescent="0.2">
      <c r="W2768" s="50"/>
    </row>
    <row r="2769" spans="23:23" x14ac:dyDescent="0.2">
      <c r="W2769" s="50"/>
    </row>
    <row r="2770" spans="23:23" x14ac:dyDescent="0.2">
      <c r="W2770" s="50"/>
    </row>
    <row r="2771" spans="23:23" x14ac:dyDescent="0.2">
      <c r="W2771" s="50"/>
    </row>
    <row r="2772" spans="23:23" x14ac:dyDescent="0.2">
      <c r="W2772" s="50"/>
    </row>
    <row r="2773" spans="23:23" x14ac:dyDescent="0.2">
      <c r="W2773" s="50"/>
    </row>
    <row r="2774" spans="23:23" x14ac:dyDescent="0.2">
      <c r="W2774" s="50"/>
    </row>
    <row r="2775" spans="23:23" x14ac:dyDescent="0.2">
      <c r="W2775" s="50"/>
    </row>
    <row r="2776" spans="23:23" x14ac:dyDescent="0.2">
      <c r="W2776" s="50"/>
    </row>
    <row r="2777" spans="23:23" x14ac:dyDescent="0.2">
      <c r="W2777" s="50"/>
    </row>
    <row r="2778" spans="23:23" x14ac:dyDescent="0.2">
      <c r="W2778" s="50"/>
    </row>
    <row r="2779" spans="23:23" x14ac:dyDescent="0.2">
      <c r="W2779" s="50"/>
    </row>
    <row r="2780" spans="23:23" x14ac:dyDescent="0.2">
      <c r="W2780" s="50"/>
    </row>
    <row r="2781" spans="23:23" x14ac:dyDescent="0.2">
      <c r="W2781" s="50"/>
    </row>
    <row r="2782" spans="23:23" x14ac:dyDescent="0.2">
      <c r="W2782" s="50"/>
    </row>
    <row r="2783" spans="23:23" x14ac:dyDescent="0.2">
      <c r="W2783" s="50"/>
    </row>
    <row r="2784" spans="23:23" x14ac:dyDescent="0.2">
      <c r="W2784" s="50"/>
    </row>
    <row r="2785" spans="23:23" x14ac:dyDescent="0.2">
      <c r="W2785" s="50"/>
    </row>
    <row r="2786" spans="23:23" x14ac:dyDescent="0.2">
      <c r="W2786" s="50"/>
    </row>
    <row r="2787" spans="23:23" x14ac:dyDescent="0.2">
      <c r="W2787" s="50"/>
    </row>
    <row r="2788" spans="23:23" x14ac:dyDescent="0.2">
      <c r="W2788" s="50"/>
    </row>
    <row r="2789" spans="23:23" x14ac:dyDescent="0.2">
      <c r="W2789" s="50"/>
    </row>
    <row r="2790" spans="23:23" x14ac:dyDescent="0.2">
      <c r="W2790" s="50"/>
    </row>
    <row r="2791" spans="23:23" x14ac:dyDescent="0.2">
      <c r="W2791" s="50"/>
    </row>
    <row r="2792" spans="23:23" x14ac:dyDescent="0.2">
      <c r="W2792" s="50"/>
    </row>
    <row r="2793" spans="23:23" x14ac:dyDescent="0.2">
      <c r="W2793" s="50"/>
    </row>
    <row r="2794" spans="23:23" x14ac:dyDescent="0.2">
      <c r="W2794" s="50"/>
    </row>
    <row r="2795" spans="23:23" x14ac:dyDescent="0.2">
      <c r="W2795" s="50"/>
    </row>
    <row r="2796" spans="23:23" x14ac:dyDescent="0.2">
      <c r="W2796" s="50"/>
    </row>
    <row r="2797" spans="23:23" x14ac:dyDescent="0.2">
      <c r="W2797" s="50"/>
    </row>
    <row r="2798" spans="23:23" x14ac:dyDescent="0.2">
      <c r="W2798" s="50"/>
    </row>
    <row r="2799" spans="23:23" x14ac:dyDescent="0.2">
      <c r="W2799" s="50"/>
    </row>
    <row r="2800" spans="23:23" x14ac:dyDescent="0.2">
      <c r="W2800" s="50"/>
    </row>
    <row r="2801" spans="23:23" x14ac:dyDescent="0.2">
      <c r="W2801" s="50"/>
    </row>
    <row r="2802" spans="23:23" x14ac:dyDescent="0.2">
      <c r="W2802" s="50"/>
    </row>
    <row r="2803" spans="23:23" x14ac:dyDescent="0.2">
      <c r="W2803" s="50"/>
    </row>
    <row r="2804" spans="23:23" x14ac:dyDescent="0.2">
      <c r="W2804" s="50"/>
    </row>
    <row r="2805" spans="23:23" x14ac:dyDescent="0.2">
      <c r="W2805" s="50"/>
    </row>
    <row r="2806" spans="23:23" x14ac:dyDescent="0.2">
      <c r="W2806" s="50"/>
    </row>
    <row r="2807" spans="23:23" x14ac:dyDescent="0.2">
      <c r="W2807" s="50"/>
    </row>
    <row r="2808" spans="23:23" x14ac:dyDescent="0.2">
      <c r="W2808" s="50"/>
    </row>
    <row r="2809" spans="23:23" x14ac:dyDescent="0.2">
      <c r="W2809" s="50"/>
    </row>
    <row r="2810" spans="23:23" x14ac:dyDescent="0.2">
      <c r="W2810" s="50"/>
    </row>
    <row r="2811" spans="23:23" x14ac:dyDescent="0.2">
      <c r="W2811" s="50"/>
    </row>
    <row r="2812" spans="23:23" x14ac:dyDescent="0.2">
      <c r="W2812" s="50"/>
    </row>
    <row r="2813" spans="23:23" x14ac:dyDescent="0.2">
      <c r="W2813" s="50"/>
    </row>
    <row r="2814" spans="23:23" x14ac:dyDescent="0.2">
      <c r="W2814" s="50"/>
    </row>
    <row r="2815" spans="23:23" x14ac:dyDescent="0.2">
      <c r="W2815" s="50"/>
    </row>
    <row r="2816" spans="23:23" x14ac:dyDescent="0.2">
      <c r="W2816" s="50"/>
    </row>
    <row r="2817" spans="23:23" x14ac:dyDescent="0.2">
      <c r="W2817" s="50"/>
    </row>
    <row r="2818" spans="23:23" x14ac:dyDescent="0.2">
      <c r="W2818" s="50"/>
    </row>
    <row r="2819" spans="23:23" x14ac:dyDescent="0.2">
      <c r="W2819" s="50"/>
    </row>
    <row r="2820" spans="23:23" x14ac:dyDescent="0.2">
      <c r="W2820" s="50"/>
    </row>
    <row r="2821" spans="23:23" x14ac:dyDescent="0.2">
      <c r="W2821" s="50"/>
    </row>
    <row r="2822" spans="23:23" x14ac:dyDescent="0.2">
      <c r="W2822" s="50"/>
    </row>
    <row r="2823" spans="23:23" x14ac:dyDescent="0.2">
      <c r="W2823" s="50"/>
    </row>
    <row r="2824" spans="23:23" x14ac:dyDescent="0.2">
      <c r="W2824" s="50"/>
    </row>
    <row r="2825" spans="23:23" x14ac:dyDescent="0.2">
      <c r="W2825" s="50"/>
    </row>
    <row r="2826" spans="23:23" x14ac:dyDescent="0.2">
      <c r="W2826" s="50"/>
    </row>
    <row r="2827" spans="23:23" x14ac:dyDescent="0.2">
      <c r="W2827" s="50"/>
    </row>
    <row r="2828" spans="23:23" x14ac:dyDescent="0.2">
      <c r="W2828" s="50"/>
    </row>
    <row r="2829" spans="23:23" x14ac:dyDescent="0.2">
      <c r="W2829" s="50"/>
    </row>
    <row r="2830" spans="23:23" x14ac:dyDescent="0.2">
      <c r="W2830" s="50"/>
    </row>
    <row r="2831" spans="23:23" x14ac:dyDescent="0.2">
      <c r="W2831" s="50"/>
    </row>
    <row r="2832" spans="23:23" x14ac:dyDescent="0.2">
      <c r="W2832" s="50"/>
    </row>
    <row r="2833" spans="23:23" x14ac:dyDescent="0.2">
      <c r="W2833" s="50"/>
    </row>
    <row r="2834" spans="23:23" x14ac:dyDescent="0.2">
      <c r="W2834" s="50"/>
    </row>
    <row r="2835" spans="23:23" x14ac:dyDescent="0.2">
      <c r="W2835" s="50"/>
    </row>
    <row r="2836" spans="23:23" x14ac:dyDescent="0.2">
      <c r="W2836" s="50"/>
    </row>
    <row r="2837" spans="23:23" x14ac:dyDescent="0.2">
      <c r="W2837" s="50"/>
    </row>
    <row r="2838" spans="23:23" x14ac:dyDescent="0.2">
      <c r="W2838" s="50"/>
    </row>
    <row r="2839" spans="23:23" x14ac:dyDescent="0.2">
      <c r="W2839" s="50"/>
    </row>
    <row r="2840" spans="23:23" x14ac:dyDescent="0.2">
      <c r="W2840" s="50"/>
    </row>
    <row r="2841" spans="23:23" x14ac:dyDescent="0.2">
      <c r="W2841" s="50"/>
    </row>
    <row r="2842" spans="23:23" x14ac:dyDescent="0.2">
      <c r="W2842" s="50"/>
    </row>
    <row r="2843" spans="23:23" x14ac:dyDescent="0.2">
      <c r="W2843" s="50"/>
    </row>
    <row r="2844" spans="23:23" x14ac:dyDescent="0.2">
      <c r="W2844" s="50"/>
    </row>
    <row r="2845" spans="23:23" x14ac:dyDescent="0.2">
      <c r="W2845" s="50"/>
    </row>
    <row r="2846" spans="23:23" x14ac:dyDescent="0.2">
      <c r="W2846" s="50"/>
    </row>
    <row r="2847" spans="23:23" x14ac:dyDescent="0.2">
      <c r="W2847" s="50"/>
    </row>
    <row r="2848" spans="23:23" x14ac:dyDescent="0.2">
      <c r="W2848" s="50"/>
    </row>
    <row r="2849" spans="23:23" x14ac:dyDescent="0.2">
      <c r="W2849" s="50"/>
    </row>
    <row r="2850" spans="23:23" x14ac:dyDescent="0.2">
      <c r="W2850" s="50"/>
    </row>
    <row r="2851" spans="23:23" x14ac:dyDescent="0.2">
      <c r="W2851" s="50"/>
    </row>
    <row r="2852" spans="23:23" x14ac:dyDescent="0.2">
      <c r="W2852" s="50"/>
    </row>
    <row r="2853" spans="23:23" x14ac:dyDescent="0.2">
      <c r="W2853" s="50"/>
    </row>
    <row r="2854" spans="23:23" x14ac:dyDescent="0.2">
      <c r="W2854" s="50"/>
    </row>
    <row r="2855" spans="23:23" x14ac:dyDescent="0.2">
      <c r="W2855" s="50"/>
    </row>
    <row r="2856" spans="23:23" x14ac:dyDescent="0.2">
      <c r="W2856" s="50"/>
    </row>
    <row r="2857" spans="23:23" x14ac:dyDescent="0.2">
      <c r="W2857" s="50"/>
    </row>
    <row r="2858" spans="23:23" x14ac:dyDescent="0.2">
      <c r="W2858" s="50"/>
    </row>
    <row r="2859" spans="23:23" x14ac:dyDescent="0.2">
      <c r="W2859" s="50"/>
    </row>
    <row r="2860" spans="23:23" x14ac:dyDescent="0.2">
      <c r="W2860" s="50"/>
    </row>
    <row r="2861" spans="23:23" x14ac:dyDescent="0.2">
      <c r="W2861" s="50"/>
    </row>
    <row r="2862" spans="23:23" x14ac:dyDescent="0.2">
      <c r="W2862" s="50"/>
    </row>
    <row r="2863" spans="23:23" x14ac:dyDescent="0.2">
      <c r="W2863" s="50"/>
    </row>
    <row r="2864" spans="23:23" x14ac:dyDescent="0.2">
      <c r="W2864" s="50"/>
    </row>
    <row r="2865" spans="23:23" x14ac:dyDescent="0.2">
      <c r="W2865" s="50"/>
    </row>
    <row r="2866" spans="23:23" x14ac:dyDescent="0.2">
      <c r="W2866" s="50"/>
    </row>
    <row r="2867" spans="23:23" x14ac:dyDescent="0.2">
      <c r="W2867" s="50"/>
    </row>
    <row r="2868" spans="23:23" x14ac:dyDescent="0.2">
      <c r="W2868" s="50"/>
    </row>
    <row r="2869" spans="23:23" x14ac:dyDescent="0.2">
      <c r="W2869" s="50"/>
    </row>
    <row r="2870" spans="23:23" x14ac:dyDescent="0.2">
      <c r="W2870" s="50"/>
    </row>
    <row r="2871" spans="23:23" x14ac:dyDescent="0.2">
      <c r="W2871" s="50"/>
    </row>
    <row r="2872" spans="23:23" x14ac:dyDescent="0.2">
      <c r="W2872" s="50"/>
    </row>
    <row r="2873" spans="23:23" x14ac:dyDescent="0.2">
      <c r="W2873" s="50"/>
    </row>
    <row r="2874" spans="23:23" x14ac:dyDescent="0.2">
      <c r="W2874" s="50"/>
    </row>
    <row r="2875" spans="23:23" x14ac:dyDescent="0.2">
      <c r="W2875" s="50"/>
    </row>
    <row r="2876" spans="23:23" x14ac:dyDescent="0.2">
      <c r="W2876" s="50"/>
    </row>
    <row r="2877" spans="23:23" x14ac:dyDescent="0.2">
      <c r="W2877" s="50"/>
    </row>
    <row r="2878" spans="23:23" x14ac:dyDescent="0.2">
      <c r="W2878" s="50"/>
    </row>
    <row r="2879" spans="23:23" x14ac:dyDescent="0.2">
      <c r="W2879" s="50"/>
    </row>
    <row r="2880" spans="23:23" x14ac:dyDescent="0.2">
      <c r="W2880" s="50"/>
    </row>
    <row r="2881" spans="23:23" x14ac:dyDescent="0.2">
      <c r="W2881" s="50"/>
    </row>
    <row r="2882" spans="23:23" x14ac:dyDescent="0.2">
      <c r="W2882" s="50"/>
    </row>
    <row r="2883" spans="23:23" x14ac:dyDescent="0.2">
      <c r="W2883" s="50"/>
    </row>
    <row r="2884" spans="23:23" x14ac:dyDescent="0.2">
      <c r="W2884" s="50"/>
    </row>
    <row r="2885" spans="23:23" x14ac:dyDescent="0.2">
      <c r="W2885" s="50"/>
    </row>
    <row r="2886" spans="23:23" x14ac:dyDescent="0.2">
      <c r="W2886" s="50"/>
    </row>
    <row r="2887" spans="23:23" x14ac:dyDescent="0.2">
      <c r="W2887" s="50"/>
    </row>
    <row r="2888" spans="23:23" x14ac:dyDescent="0.2">
      <c r="W2888" s="50"/>
    </row>
    <row r="2889" spans="23:23" x14ac:dyDescent="0.2">
      <c r="W2889" s="50"/>
    </row>
    <row r="2890" spans="23:23" x14ac:dyDescent="0.2">
      <c r="W2890" s="50"/>
    </row>
    <row r="2891" spans="23:23" x14ac:dyDescent="0.2">
      <c r="W2891" s="50"/>
    </row>
    <row r="2892" spans="23:23" x14ac:dyDescent="0.2">
      <c r="W2892" s="50"/>
    </row>
    <row r="2893" spans="23:23" x14ac:dyDescent="0.2">
      <c r="W2893" s="50"/>
    </row>
    <row r="2894" spans="23:23" x14ac:dyDescent="0.2">
      <c r="W2894" s="50"/>
    </row>
    <row r="2895" spans="23:23" x14ac:dyDescent="0.2">
      <c r="W2895" s="50"/>
    </row>
    <row r="2896" spans="23:23" x14ac:dyDescent="0.2">
      <c r="W2896" s="50"/>
    </row>
    <row r="2897" spans="23:23" x14ac:dyDescent="0.2">
      <c r="W2897" s="50"/>
    </row>
    <row r="2898" spans="23:23" x14ac:dyDescent="0.2">
      <c r="W2898" s="50"/>
    </row>
    <row r="2899" spans="23:23" x14ac:dyDescent="0.2">
      <c r="W2899" s="50"/>
    </row>
    <row r="2900" spans="23:23" x14ac:dyDescent="0.2">
      <c r="W2900" s="50"/>
    </row>
    <row r="2901" spans="23:23" x14ac:dyDescent="0.2">
      <c r="W2901" s="50"/>
    </row>
    <row r="2902" spans="23:23" x14ac:dyDescent="0.2">
      <c r="W2902" s="50"/>
    </row>
    <row r="2903" spans="23:23" x14ac:dyDescent="0.2">
      <c r="W2903" s="50"/>
    </row>
    <row r="2904" spans="23:23" x14ac:dyDescent="0.2">
      <c r="W2904" s="50"/>
    </row>
    <row r="2905" spans="23:23" x14ac:dyDescent="0.2">
      <c r="W2905" s="50"/>
    </row>
    <row r="2906" spans="23:23" x14ac:dyDescent="0.2">
      <c r="W2906" s="50"/>
    </row>
    <row r="2907" spans="23:23" x14ac:dyDescent="0.2">
      <c r="W2907" s="50"/>
    </row>
    <row r="2908" spans="23:23" x14ac:dyDescent="0.2">
      <c r="W2908" s="50"/>
    </row>
    <row r="2909" spans="23:23" x14ac:dyDescent="0.2">
      <c r="W2909" s="50"/>
    </row>
    <row r="2910" spans="23:23" x14ac:dyDescent="0.2">
      <c r="W2910" s="50"/>
    </row>
    <row r="2911" spans="23:23" x14ac:dyDescent="0.2">
      <c r="W2911" s="50"/>
    </row>
    <row r="2912" spans="23:23" x14ac:dyDescent="0.2">
      <c r="W2912" s="50"/>
    </row>
    <row r="2913" spans="23:23" x14ac:dyDescent="0.2">
      <c r="W2913" s="50"/>
    </row>
    <row r="2914" spans="23:23" x14ac:dyDescent="0.2">
      <c r="W2914" s="50"/>
    </row>
    <row r="2915" spans="23:23" x14ac:dyDescent="0.2">
      <c r="W2915" s="50"/>
    </row>
    <row r="2916" spans="23:23" x14ac:dyDescent="0.2">
      <c r="W2916" s="50"/>
    </row>
    <row r="2917" spans="23:23" x14ac:dyDescent="0.2">
      <c r="W2917" s="50"/>
    </row>
    <row r="2918" spans="23:23" x14ac:dyDescent="0.2">
      <c r="W2918" s="50"/>
    </row>
    <row r="2919" spans="23:23" x14ac:dyDescent="0.2">
      <c r="W2919" s="50"/>
    </row>
    <row r="2920" spans="23:23" x14ac:dyDescent="0.2">
      <c r="W2920" s="50"/>
    </row>
    <row r="2921" spans="23:23" x14ac:dyDescent="0.2">
      <c r="W2921" s="50"/>
    </row>
    <row r="2922" spans="23:23" x14ac:dyDescent="0.2">
      <c r="W2922" s="50"/>
    </row>
    <row r="2923" spans="23:23" x14ac:dyDescent="0.2">
      <c r="W2923" s="50"/>
    </row>
    <row r="2924" spans="23:23" x14ac:dyDescent="0.2">
      <c r="W2924" s="50"/>
    </row>
    <row r="2925" spans="23:23" x14ac:dyDescent="0.2">
      <c r="W2925" s="50"/>
    </row>
    <row r="2926" spans="23:23" x14ac:dyDescent="0.2">
      <c r="W2926" s="50"/>
    </row>
    <row r="2927" spans="23:23" x14ac:dyDescent="0.2">
      <c r="W2927" s="50"/>
    </row>
    <row r="2928" spans="23:23" x14ac:dyDescent="0.2">
      <c r="W2928" s="50"/>
    </row>
    <row r="2929" spans="23:23" x14ac:dyDescent="0.2">
      <c r="W2929" s="50"/>
    </row>
    <row r="2930" spans="23:23" x14ac:dyDescent="0.2">
      <c r="W2930" s="50"/>
    </row>
    <row r="2931" spans="23:23" x14ac:dyDescent="0.2">
      <c r="W2931" s="50"/>
    </row>
    <row r="2932" spans="23:23" x14ac:dyDescent="0.2">
      <c r="W2932" s="50"/>
    </row>
    <row r="2933" spans="23:23" x14ac:dyDescent="0.2">
      <c r="W2933" s="50"/>
    </row>
    <row r="2934" spans="23:23" x14ac:dyDescent="0.2">
      <c r="W2934" s="50"/>
    </row>
    <row r="2935" spans="23:23" x14ac:dyDescent="0.2">
      <c r="W2935" s="50"/>
    </row>
    <row r="2936" spans="23:23" x14ac:dyDescent="0.2">
      <c r="W2936" s="50"/>
    </row>
    <row r="2937" spans="23:23" x14ac:dyDescent="0.2">
      <c r="W2937" s="50"/>
    </row>
    <row r="2938" spans="23:23" x14ac:dyDescent="0.2">
      <c r="W2938" s="50"/>
    </row>
    <row r="2939" spans="23:23" x14ac:dyDescent="0.2">
      <c r="W2939" s="50"/>
    </row>
    <row r="2940" spans="23:23" x14ac:dyDescent="0.2">
      <c r="W2940" s="50"/>
    </row>
    <row r="2941" spans="23:23" x14ac:dyDescent="0.2">
      <c r="W2941" s="50"/>
    </row>
    <row r="2942" spans="23:23" x14ac:dyDescent="0.2">
      <c r="W2942" s="50"/>
    </row>
    <row r="2943" spans="23:23" x14ac:dyDescent="0.2">
      <c r="W2943" s="50"/>
    </row>
    <row r="2944" spans="23:23" x14ac:dyDescent="0.2">
      <c r="W2944" s="50"/>
    </row>
    <row r="2945" spans="23:23" x14ac:dyDescent="0.2">
      <c r="W2945" s="50"/>
    </row>
    <row r="2946" spans="23:23" x14ac:dyDescent="0.2">
      <c r="W2946" s="50"/>
    </row>
    <row r="2947" spans="23:23" x14ac:dyDescent="0.2">
      <c r="W2947" s="50"/>
    </row>
    <row r="2948" spans="23:23" x14ac:dyDescent="0.2">
      <c r="W2948" s="50"/>
    </row>
    <row r="2949" spans="23:23" x14ac:dyDescent="0.2">
      <c r="W2949" s="50"/>
    </row>
    <row r="2950" spans="23:23" x14ac:dyDescent="0.2">
      <c r="W2950" s="50"/>
    </row>
    <row r="2951" spans="23:23" x14ac:dyDescent="0.2">
      <c r="W2951" s="50"/>
    </row>
    <row r="2952" spans="23:23" x14ac:dyDescent="0.2">
      <c r="W2952" s="50"/>
    </row>
    <row r="2953" spans="23:23" x14ac:dyDescent="0.2">
      <c r="W2953" s="50"/>
    </row>
    <row r="2954" spans="23:23" x14ac:dyDescent="0.2">
      <c r="W2954" s="50"/>
    </row>
    <row r="2955" spans="23:23" x14ac:dyDescent="0.2">
      <c r="W2955" s="50"/>
    </row>
    <row r="2956" spans="23:23" x14ac:dyDescent="0.2">
      <c r="W2956" s="50"/>
    </row>
    <row r="2957" spans="23:23" x14ac:dyDescent="0.2">
      <c r="W2957" s="50"/>
    </row>
    <row r="2958" spans="23:23" x14ac:dyDescent="0.2">
      <c r="W2958" s="50"/>
    </row>
    <row r="2959" spans="23:23" x14ac:dyDescent="0.2">
      <c r="W2959" s="50"/>
    </row>
    <row r="2960" spans="23:23" x14ac:dyDescent="0.2">
      <c r="W2960" s="50"/>
    </row>
    <row r="2961" spans="23:23" x14ac:dyDescent="0.2">
      <c r="W2961" s="50"/>
    </row>
    <row r="2962" spans="23:23" x14ac:dyDescent="0.2">
      <c r="W2962" s="50"/>
    </row>
    <row r="2963" spans="23:23" x14ac:dyDescent="0.2">
      <c r="W2963" s="50"/>
    </row>
    <row r="2964" spans="23:23" x14ac:dyDescent="0.2">
      <c r="W2964" s="50"/>
    </row>
    <row r="2965" spans="23:23" x14ac:dyDescent="0.2">
      <c r="W2965" s="50"/>
    </row>
    <row r="2966" spans="23:23" x14ac:dyDescent="0.2">
      <c r="W2966" s="50"/>
    </row>
    <row r="2967" spans="23:23" x14ac:dyDescent="0.2">
      <c r="W2967" s="50"/>
    </row>
    <row r="2968" spans="23:23" x14ac:dyDescent="0.2">
      <c r="W2968" s="50"/>
    </row>
    <row r="2969" spans="23:23" x14ac:dyDescent="0.2">
      <c r="W2969" s="50"/>
    </row>
    <row r="2970" spans="23:23" x14ac:dyDescent="0.2">
      <c r="W2970" s="50"/>
    </row>
    <row r="2971" spans="23:23" x14ac:dyDescent="0.2">
      <c r="W2971" s="50"/>
    </row>
    <row r="2972" spans="23:23" x14ac:dyDescent="0.2">
      <c r="W2972" s="50"/>
    </row>
    <row r="2973" spans="23:23" x14ac:dyDescent="0.2">
      <c r="W2973" s="50"/>
    </row>
    <row r="2974" spans="23:23" x14ac:dyDescent="0.2">
      <c r="W2974" s="50"/>
    </row>
    <row r="2975" spans="23:23" x14ac:dyDescent="0.2">
      <c r="W2975" s="50"/>
    </row>
    <row r="2976" spans="23:23" x14ac:dyDescent="0.2">
      <c r="W2976" s="50"/>
    </row>
    <row r="2977" spans="23:23" x14ac:dyDescent="0.2">
      <c r="W2977" s="50"/>
    </row>
    <row r="2978" spans="23:23" x14ac:dyDescent="0.2">
      <c r="W2978" s="50"/>
    </row>
    <row r="2979" spans="23:23" x14ac:dyDescent="0.2">
      <c r="W2979" s="50"/>
    </row>
    <row r="2980" spans="23:23" x14ac:dyDescent="0.2">
      <c r="W2980" s="50"/>
    </row>
    <row r="2981" spans="23:23" x14ac:dyDescent="0.2">
      <c r="W2981" s="50"/>
    </row>
    <row r="2982" spans="23:23" x14ac:dyDescent="0.2">
      <c r="W2982" s="50"/>
    </row>
    <row r="2983" spans="23:23" x14ac:dyDescent="0.2">
      <c r="W2983" s="50"/>
    </row>
    <row r="2984" spans="23:23" x14ac:dyDescent="0.2">
      <c r="W2984" s="50"/>
    </row>
    <row r="2985" spans="23:23" x14ac:dyDescent="0.2">
      <c r="W2985" s="50"/>
    </row>
    <row r="2986" spans="23:23" x14ac:dyDescent="0.2">
      <c r="W2986" s="50"/>
    </row>
    <row r="2987" spans="23:23" x14ac:dyDescent="0.2">
      <c r="W2987" s="50"/>
    </row>
    <row r="2988" spans="23:23" x14ac:dyDescent="0.2">
      <c r="W2988" s="50"/>
    </row>
    <row r="2989" spans="23:23" x14ac:dyDescent="0.2">
      <c r="W2989" s="50"/>
    </row>
    <row r="2990" spans="23:23" x14ac:dyDescent="0.2">
      <c r="W2990" s="50"/>
    </row>
    <row r="2991" spans="23:23" x14ac:dyDescent="0.2">
      <c r="W2991" s="50"/>
    </row>
    <row r="2992" spans="23:23" x14ac:dyDescent="0.2">
      <c r="W2992" s="50"/>
    </row>
    <row r="2993" spans="23:23" x14ac:dyDescent="0.2">
      <c r="W2993" s="50"/>
    </row>
    <row r="2994" spans="23:23" x14ac:dyDescent="0.2">
      <c r="W2994" s="50"/>
    </row>
    <row r="2995" spans="23:23" x14ac:dyDescent="0.2">
      <c r="W2995" s="50"/>
    </row>
    <row r="2996" spans="23:23" x14ac:dyDescent="0.2">
      <c r="W2996" s="50"/>
    </row>
    <row r="2997" spans="23:23" x14ac:dyDescent="0.2">
      <c r="W2997" s="50"/>
    </row>
    <row r="2998" spans="23:23" x14ac:dyDescent="0.2">
      <c r="W2998" s="50"/>
    </row>
    <row r="2999" spans="23:23" x14ac:dyDescent="0.2">
      <c r="W2999" s="50"/>
    </row>
    <row r="3000" spans="23:23" x14ac:dyDescent="0.2">
      <c r="W3000" s="50"/>
    </row>
    <row r="3001" spans="23:23" x14ac:dyDescent="0.2">
      <c r="W3001" s="50"/>
    </row>
    <row r="3002" spans="23:23" x14ac:dyDescent="0.2">
      <c r="W3002" s="50"/>
    </row>
    <row r="3003" spans="23:23" x14ac:dyDescent="0.2">
      <c r="W3003" s="50"/>
    </row>
    <row r="3004" spans="23:23" x14ac:dyDescent="0.2">
      <c r="W3004" s="50"/>
    </row>
    <row r="3005" spans="23:23" x14ac:dyDescent="0.2">
      <c r="W3005" s="50"/>
    </row>
    <row r="3006" spans="23:23" x14ac:dyDescent="0.2">
      <c r="W3006" s="50"/>
    </row>
    <row r="3007" spans="23:23" x14ac:dyDescent="0.2">
      <c r="W3007" s="50"/>
    </row>
    <row r="3008" spans="23:23" x14ac:dyDescent="0.2">
      <c r="W3008" s="50"/>
    </row>
    <row r="3009" spans="23:23" x14ac:dyDescent="0.2">
      <c r="W3009" s="50"/>
    </row>
    <row r="3010" spans="23:23" x14ac:dyDescent="0.2">
      <c r="W3010" s="50"/>
    </row>
    <row r="3011" spans="23:23" x14ac:dyDescent="0.2">
      <c r="W3011" s="50"/>
    </row>
    <row r="3012" spans="23:23" x14ac:dyDescent="0.2">
      <c r="W3012" s="50"/>
    </row>
    <row r="3013" spans="23:23" x14ac:dyDescent="0.2">
      <c r="W3013" s="50"/>
    </row>
    <row r="3014" spans="23:23" x14ac:dyDescent="0.2">
      <c r="W3014" s="50"/>
    </row>
    <row r="3015" spans="23:23" x14ac:dyDescent="0.2">
      <c r="W3015" s="50"/>
    </row>
    <row r="3016" spans="23:23" x14ac:dyDescent="0.2">
      <c r="W3016" s="50"/>
    </row>
    <row r="3017" spans="23:23" x14ac:dyDescent="0.2">
      <c r="W3017" s="50"/>
    </row>
    <row r="3018" spans="23:23" x14ac:dyDescent="0.2">
      <c r="W3018" s="50"/>
    </row>
    <row r="3019" spans="23:23" x14ac:dyDescent="0.2">
      <c r="W3019" s="50"/>
    </row>
    <row r="3020" spans="23:23" x14ac:dyDescent="0.2">
      <c r="W3020" s="50"/>
    </row>
    <row r="3021" spans="23:23" x14ac:dyDescent="0.2">
      <c r="W3021" s="50"/>
    </row>
    <row r="3022" spans="23:23" x14ac:dyDescent="0.2">
      <c r="W3022" s="50"/>
    </row>
    <row r="3023" spans="23:23" x14ac:dyDescent="0.2">
      <c r="W3023" s="50"/>
    </row>
    <row r="3024" spans="23:23" x14ac:dyDescent="0.2">
      <c r="W3024" s="50"/>
    </row>
    <row r="3025" spans="23:23" x14ac:dyDescent="0.2">
      <c r="W3025" s="50"/>
    </row>
    <row r="3026" spans="23:23" x14ac:dyDescent="0.2">
      <c r="W3026" s="50"/>
    </row>
    <row r="3027" spans="23:23" x14ac:dyDescent="0.2">
      <c r="W3027" s="50"/>
    </row>
    <row r="3028" spans="23:23" x14ac:dyDescent="0.2">
      <c r="W3028" s="50"/>
    </row>
    <row r="3029" spans="23:23" x14ac:dyDescent="0.2">
      <c r="W3029" s="50"/>
    </row>
    <row r="3030" spans="23:23" x14ac:dyDescent="0.2">
      <c r="W3030" s="50"/>
    </row>
    <row r="3031" spans="23:23" x14ac:dyDescent="0.2">
      <c r="W3031" s="50"/>
    </row>
    <row r="3032" spans="23:23" x14ac:dyDescent="0.2">
      <c r="W3032" s="50"/>
    </row>
    <row r="3033" spans="23:23" x14ac:dyDescent="0.2">
      <c r="W3033" s="50"/>
    </row>
    <row r="3034" spans="23:23" x14ac:dyDescent="0.2">
      <c r="W3034" s="50"/>
    </row>
    <row r="3035" spans="23:23" x14ac:dyDescent="0.2">
      <c r="W3035" s="50"/>
    </row>
    <row r="3036" spans="23:23" x14ac:dyDescent="0.2">
      <c r="W3036" s="50"/>
    </row>
    <row r="3037" spans="23:23" x14ac:dyDescent="0.2">
      <c r="W3037" s="50"/>
    </row>
    <row r="3038" spans="23:23" x14ac:dyDescent="0.2">
      <c r="W3038" s="50"/>
    </row>
    <row r="3039" spans="23:23" x14ac:dyDescent="0.2">
      <c r="W3039" s="50"/>
    </row>
    <row r="3040" spans="23:23" x14ac:dyDescent="0.2">
      <c r="W3040" s="50"/>
    </row>
    <row r="3041" spans="23:23" x14ac:dyDescent="0.2">
      <c r="W3041" s="50"/>
    </row>
    <row r="3042" spans="23:23" x14ac:dyDescent="0.2">
      <c r="W3042" s="50"/>
    </row>
    <row r="3043" spans="23:23" x14ac:dyDescent="0.2">
      <c r="W3043" s="50"/>
    </row>
    <row r="3044" spans="23:23" x14ac:dyDescent="0.2">
      <c r="W3044" s="50"/>
    </row>
    <row r="3045" spans="23:23" x14ac:dyDescent="0.2">
      <c r="W3045" s="50"/>
    </row>
    <row r="3046" spans="23:23" x14ac:dyDescent="0.2">
      <c r="W3046" s="50"/>
    </row>
    <row r="3047" spans="23:23" x14ac:dyDescent="0.2">
      <c r="W3047" s="50"/>
    </row>
    <row r="3048" spans="23:23" x14ac:dyDescent="0.2">
      <c r="W3048" s="50"/>
    </row>
    <row r="3049" spans="23:23" x14ac:dyDescent="0.2">
      <c r="W3049" s="50"/>
    </row>
    <row r="3050" spans="23:23" x14ac:dyDescent="0.2">
      <c r="W3050" s="50"/>
    </row>
    <row r="3051" spans="23:23" x14ac:dyDescent="0.2">
      <c r="W3051" s="50"/>
    </row>
    <row r="3052" spans="23:23" x14ac:dyDescent="0.2">
      <c r="W3052" s="50"/>
    </row>
    <row r="3053" spans="23:23" x14ac:dyDescent="0.2">
      <c r="W3053" s="50"/>
    </row>
    <row r="3054" spans="23:23" x14ac:dyDescent="0.2">
      <c r="W3054" s="50"/>
    </row>
    <row r="3055" spans="23:23" x14ac:dyDescent="0.2">
      <c r="W3055" s="50"/>
    </row>
    <row r="3056" spans="23:23" x14ac:dyDescent="0.2">
      <c r="W3056" s="50"/>
    </row>
    <row r="3057" spans="23:23" x14ac:dyDescent="0.2">
      <c r="W3057" s="50"/>
    </row>
    <row r="3058" spans="23:23" x14ac:dyDescent="0.2">
      <c r="W3058" s="50"/>
    </row>
    <row r="3059" spans="23:23" x14ac:dyDescent="0.2">
      <c r="W3059" s="50"/>
    </row>
    <row r="3060" spans="23:23" x14ac:dyDescent="0.2">
      <c r="W3060" s="50"/>
    </row>
    <row r="3061" spans="23:23" x14ac:dyDescent="0.2">
      <c r="W3061" s="50"/>
    </row>
    <row r="3062" spans="23:23" x14ac:dyDescent="0.2">
      <c r="W3062" s="50"/>
    </row>
    <row r="3063" spans="23:23" x14ac:dyDescent="0.2">
      <c r="W3063" s="50"/>
    </row>
    <row r="3064" spans="23:23" x14ac:dyDescent="0.2">
      <c r="W3064" s="50"/>
    </row>
    <row r="3065" spans="23:23" x14ac:dyDescent="0.2">
      <c r="W3065" s="50"/>
    </row>
    <row r="3066" spans="23:23" x14ac:dyDescent="0.2">
      <c r="W3066" s="50"/>
    </row>
    <row r="3067" spans="23:23" x14ac:dyDescent="0.2">
      <c r="W3067" s="50"/>
    </row>
    <row r="3068" spans="23:23" x14ac:dyDescent="0.2">
      <c r="W3068" s="50"/>
    </row>
    <row r="3069" spans="23:23" x14ac:dyDescent="0.2">
      <c r="W3069" s="50"/>
    </row>
    <row r="3070" spans="23:23" x14ac:dyDescent="0.2">
      <c r="W3070" s="50"/>
    </row>
    <row r="3071" spans="23:23" x14ac:dyDescent="0.2">
      <c r="W3071" s="50"/>
    </row>
    <row r="3072" spans="23:23" x14ac:dyDescent="0.2">
      <c r="W3072" s="50"/>
    </row>
    <row r="3073" spans="23:23" x14ac:dyDescent="0.2">
      <c r="W3073" s="50"/>
    </row>
    <row r="3074" spans="23:23" x14ac:dyDescent="0.2">
      <c r="W3074" s="50"/>
    </row>
    <row r="3075" spans="23:23" x14ac:dyDescent="0.2">
      <c r="W3075" s="50"/>
    </row>
    <row r="3076" spans="23:23" x14ac:dyDescent="0.2">
      <c r="W3076" s="50"/>
    </row>
    <row r="3077" spans="23:23" x14ac:dyDescent="0.2">
      <c r="W3077" s="50"/>
    </row>
    <row r="3078" spans="23:23" x14ac:dyDescent="0.2">
      <c r="W3078" s="50"/>
    </row>
    <row r="3079" spans="23:23" x14ac:dyDescent="0.2">
      <c r="W3079" s="50"/>
    </row>
    <row r="3080" spans="23:23" x14ac:dyDescent="0.2">
      <c r="W3080" s="50"/>
    </row>
    <row r="3081" spans="23:23" x14ac:dyDescent="0.2">
      <c r="W3081" s="50"/>
    </row>
    <row r="3082" spans="23:23" x14ac:dyDescent="0.2">
      <c r="W3082" s="50"/>
    </row>
    <row r="3083" spans="23:23" x14ac:dyDescent="0.2">
      <c r="W3083" s="50"/>
    </row>
    <row r="3084" spans="23:23" x14ac:dyDescent="0.2">
      <c r="W3084" s="50"/>
    </row>
    <row r="3085" spans="23:23" x14ac:dyDescent="0.2">
      <c r="W3085" s="50"/>
    </row>
    <row r="3086" spans="23:23" x14ac:dyDescent="0.2">
      <c r="W3086" s="50"/>
    </row>
    <row r="3087" spans="23:23" x14ac:dyDescent="0.2">
      <c r="W3087" s="50"/>
    </row>
    <row r="3088" spans="23:23" x14ac:dyDescent="0.2">
      <c r="W3088" s="50"/>
    </row>
    <row r="3089" spans="23:23" x14ac:dyDescent="0.2">
      <c r="W3089" s="50"/>
    </row>
    <row r="3090" spans="23:23" x14ac:dyDescent="0.2">
      <c r="W3090" s="50"/>
    </row>
    <row r="3091" spans="23:23" x14ac:dyDescent="0.2">
      <c r="W3091" s="50"/>
    </row>
    <row r="3092" spans="23:23" x14ac:dyDescent="0.2">
      <c r="W3092" s="50"/>
    </row>
    <row r="3093" spans="23:23" x14ac:dyDescent="0.2">
      <c r="W3093" s="50"/>
    </row>
    <row r="3094" spans="23:23" x14ac:dyDescent="0.2">
      <c r="W3094" s="50"/>
    </row>
    <row r="3095" spans="23:23" x14ac:dyDescent="0.2">
      <c r="W3095" s="50"/>
    </row>
    <row r="3096" spans="23:23" x14ac:dyDescent="0.2">
      <c r="W3096" s="50"/>
    </row>
    <row r="3097" spans="23:23" x14ac:dyDescent="0.2">
      <c r="W3097" s="50"/>
    </row>
    <row r="3098" spans="23:23" x14ac:dyDescent="0.2">
      <c r="W3098" s="50"/>
    </row>
    <row r="3099" spans="23:23" x14ac:dyDescent="0.2">
      <c r="W3099" s="50"/>
    </row>
    <row r="3100" spans="23:23" x14ac:dyDescent="0.2">
      <c r="W3100" s="50"/>
    </row>
    <row r="3101" spans="23:23" x14ac:dyDescent="0.2">
      <c r="W3101" s="50"/>
    </row>
    <row r="3102" spans="23:23" x14ac:dyDescent="0.2">
      <c r="W3102" s="50"/>
    </row>
    <row r="3103" spans="23:23" x14ac:dyDescent="0.2">
      <c r="W3103" s="50"/>
    </row>
    <row r="3104" spans="23:23" x14ac:dyDescent="0.2">
      <c r="W3104" s="50"/>
    </row>
    <row r="3105" spans="23:23" x14ac:dyDescent="0.2">
      <c r="W3105" s="50"/>
    </row>
    <row r="3106" spans="23:23" x14ac:dyDescent="0.2">
      <c r="W3106" s="50"/>
    </row>
    <row r="3107" spans="23:23" x14ac:dyDescent="0.2">
      <c r="W3107" s="50"/>
    </row>
    <row r="3108" spans="23:23" x14ac:dyDescent="0.2">
      <c r="W3108" s="50"/>
    </row>
    <row r="3109" spans="23:23" x14ac:dyDescent="0.2">
      <c r="W3109" s="50"/>
    </row>
    <row r="3110" spans="23:23" x14ac:dyDescent="0.2">
      <c r="W3110" s="50"/>
    </row>
    <row r="3111" spans="23:23" x14ac:dyDescent="0.2">
      <c r="W3111" s="50"/>
    </row>
    <row r="3112" spans="23:23" x14ac:dyDescent="0.2">
      <c r="W3112" s="50"/>
    </row>
    <row r="3113" spans="23:23" x14ac:dyDescent="0.2">
      <c r="W3113" s="50"/>
    </row>
    <row r="3114" spans="23:23" x14ac:dyDescent="0.2">
      <c r="W3114" s="50"/>
    </row>
    <row r="3115" spans="23:23" x14ac:dyDescent="0.2">
      <c r="W3115" s="50"/>
    </row>
    <row r="3116" spans="23:23" x14ac:dyDescent="0.2">
      <c r="W3116" s="50"/>
    </row>
    <row r="3117" spans="23:23" x14ac:dyDescent="0.2">
      <c r="W3117" s="50"/>
    </row>
    <row r="3118" spans="23:23" x14ac:dyDescent="0.2">
      <c r="W3118" s="50"/>
    </row>
    <row r="3119" spans="23:23" x14ac:dyDescent="0.2">
      <c r="W3119" s="50"/>
    </row>
    <row r="3120" spans="23:23" x14ac:dyDescent="0.2">
      <c r="W3120" s="50"/>
    </row>
    <row r="3121" spans="23:23" x14ac:dyDescent="0.2">
      <c r="W3121" s="50"/>
    </row>
    <row r="3122" spans="23:23" x14ac:dyDescent="0.2">
      <c r="W3122" s="50"/>
    </row>
    <row r="3123" spans="23:23" x14ac:dyDescent="0.2">
      <c r="W3123" s="50"/>
    </row>
    <row r="3124" spans="23:23" x14ac:dyDescent="0.2">
      <c r="W3124" s="50"/>
    </row>
    <row r="3125" spans="23:23" x14ac:dyDescent="0.2">
      <c r="W3125" s="50"/>
    </row>
    <row r="3126" spans="23:23" x14ac:dyDescent="0.2">
      <c r="W3126" s="50"/>
    </row>
    <row r="3127" spans="23:23" x14ac:dyDescent="0.2">
      <c r="W3127" s="50"/>
    </row>
    <row r="3128" spans="23:23" x14ac:dyDescent="0.2">
      <c r="W3128" s="50"/>
    </row>
    <row r="3129" spans="23:23" x14ac:dyDescent="0.2">
      <c r="W3129" s="50"/>
    </row>
    <row r="3130" spans="23:23" x14ac:dyDescent="0.2">
      <c r="W3130" s="50"/>
    </row>
    <row r="3131" spans="23:23" x14ac:dyDescent="0.2">
      <c r="W3131" s="50"/>
    </row>
    <row r="3132" spans="23:23" x14ac:dyDescent="0.2">
      <c r="W3132" s="50"/>
    </row>
    <row r="3133" spans="23:23" x14ac:dyDescent="0.2">
      <c r="W3133" s="50"/>
    </row>
    <row r="3134" spans="23:23" x14ac:dyDescent="0.2">
      <c r="W3134" s="50"/>
    </row>
    <row r="3135" spans="23:23" x14ac:dyDescent="0.2">
      <c r="W3135" s="50"/>
    </row>
    <row r="3136" spans="23:23" x14ac:dyDescent="0.2">
      <c r="W3136" s="50"/>
    </row>
    <row r="3137" spans="23:23" x14ac:dyDescent="0.2">
      <c r="W3137" s="50"/>
    </row>
    <row r="3138" spans="23:23" x14ac:dyDescent="0.2">
      <c r="W3138" s="50"/>
    </row>
    <row r="3139" spans="23:23" x14ac:dyDescent="0.2">
      <c r="W3139" s="50"/>
    </row>
    <row r="3140" spans="23:23" x14ac:dyDescent="0.2">
      <c r="W3140" s="50"/>
    </row>
    <row r="3141" spans="23:23" x14ac:dyDescent="0.2">
      <c r="W3141" s="50"/>
    </row>
    <row r="3142" spans="23:23" x14ac:dyDescent="0.2">
      <c r="W3142" s="50"/>
    </row>
    <row r="3143" spans="23:23" x14ac:dyDescent="0.2">
      <c r="W3143" s="50"/>
    </row>
    <row r="3144" spans="23:23" x14ac:dyDescent="0.2">
      <c r="W3144" s="50"/>
    </row>
    <row r="3145" spans="23:23" x14ac:dyDescent="0.2">
      <c r="W3145" s="50"/>
    </row>
    <row r="3146" spans="23:23" x14ac:dyDescent="0.2">
      <c r="W3146" s="50"/>
    </row>
    <row r="3147" spans="23:23" x14ac:dyDescent="0.2">
      <c r="W3147" s="50"/>
    </row>
    <row r="3148" spans="23:23" x14ac:dyDescent="0.2">
      <c r="W3148" s="50"/>
    </row>
    <row r="3149" spans="23:23" x14ac:dyDescent="0.2">
      <c r="W3149" s="50"/>
    </row>
    <row r="3150" spans="23:23" x14ac:dyDescent="0.2">
      <c r="W3150" s="50"/>
    </row>
    <row r="3151" spans="23:23" x14ac:dyDescent="0.2">
      <c r="W3151" s="50"/>
    </row>
    <row r="3152" spans="23:23" x14ac:dyDescent="0.2">
      <c r="W3152" s="50"/>
    </row>
    <row r="3153" spans="23:23" x14ac:dyDescent="0.2">
      <c r="W3153" s="50"/>
    </row>
    <row r="3154" spans="23:23" x14ac:dyDescent="0.2">
      <c r="W3154" s="50"/>
    </row>
    <row r="3155" spans="23:23" x14ac:dyDescent="0.2">
      <c r="W3155" s="50"/>
    </row>
    <row r="3156" spans="23:23" x14ac:dyDescent="0.2">
      <c r="W3156" s="50"/>
    </row>
    <row r="3157" spans="23:23" x14ac:dyDescent="0.2">
      <c r="W3157" s="50"/>
    </row>
    <row r="3158" spans="23:23" x14ac:dyDescent="0.2">
      <c r="W3158" s="50"/>
    </row>
    <row r="3159" spans="23:23" x14ac:dyDescent="0.2">
      <c r="W3159" s="50"/>
    </row>
    <row r="3160" spans="23:23" x14ac:dyDescent="0.2">
      <c r="W3160" s="50"/>
    </row>
    <row r="3161" spans="23:23" x14ac:dyDescent="0.2">
      <c r="W3161" s="50"/>
    </row>
    <row r="3162" spans="23:23" x14ac:dyDescent="0.2">
      <c r="W3162" s="50"/>
    </row>
    <row r="3163" spans="23:23" x14ac:dyDescent="0.2">
      <c r="W3163" s="50"/>
    </row>
    <row r="3164" spans="23:23" x14ac:dyDescent="0.2">
      <c r="W3164" s="50"/>
    </row>
    <row r="3165" spans="23:23" x14ac:dyDescent="0.2">
      <c r="W3165" s="50"/>
    </row>
    <row r="3166" spans="23:23" x14ac:dyDescent="0.2">
      <c r="W3166" s="50"/>
    </row>
    <row r="3167" spans="23:23" x14ac:dyDescent="0.2">
      <c r="W3167" s="50"/>
    </row>
    <row r="3168" spans="23:23" x14ac:dyDescent="0.2">
      <c r="W3168" s="50"/>
    </row>
    <row r="3169" spans="23:23" x14ac:dyDescent="0.2">
      <c r="W3169" s="50"/>
    </row>
    <row r="3170" spans="23:23" x14ac:dyDescent="0.2">
      <c r="W3170" s="50"/>
    </row>
    <row r="3171" spans="23:23" x14ac:dyDescent="0.2">
      <c r="W3171" s="50"/>
    </row>
    <row r="3172" spans="23:23" x14ac:dyDescent="0.2">
      <c r="W3172" s="50"/>
    </row>
    <row r="3173" spans="23:23" x14ac:dyDescent="0.2">
      <c r="W3173" s="50"/>
    </row>
    <row r="3174" spans="23:23" x14ac:dyDescent="0.2">
      <c r="W3174" s="50"/>
    </row>
    <row r="3175" spans="23:23" x14ac:dyDescent="0.2">
      <c r="W3175" s="50"/>
    </row>
    <row r="3176" spans="23:23" x14ac:dyDescent="0.2">
      <c r="W3176" s="50"/>
    </row>
    <row r="3177" spans="23:23" x14ac:dyDescent="0.2">
      <c r="W3177" s="50"/>
    </row>
    <row r="3178" spans="23:23" x14ac:dyDescent="0.2">
      <c r="W3178" s="50"/>
    </row>
    <row r="3179" spans="23:23" x14ac:dyDescent="0.2">
      <c r="W3179" s="50"/>
    </row>
    <row r="3180" spans="23:23" x14ac:dyDescent="0.2">
      <c r="W3180" s="50"/>
    </row>
    <row r="3181" spans="23:23" x14ac:dyDescent="0.2">
      <c r="W3181" s="50"/>
    </row>
    <row r="3182" spans="23:23" x14ac:dyDescent="0.2">
      <c r="W3182" s="50"/>
    </row>
    <row r="3183" spans="23:23" x14ac:dyDescent="0.2">
      <c r="W3183" s="50"/>
    </row>
    <row r="3184" spans="23:23" x14ac:dyDescent="0.2">
      <c r="W3184" s="50"/>
    </row>
    <row r="3185" spans="23:23" x14ac:dyDescent="0.2">
      <c r="W3185" s="50"/>
    </row>
    <row r="3186" spans="23:23" x14ac:dyDescent="0.2">
      <c r="W3186" s="50"/>
    </row>
    <row r="3187" spans="23:23" x14ac:dyDescent="0.2">
      <c r="W3187" s="50"/>
    </row>
    <row r="3188" spans="23:23" x14ac:dyDescent="0.2">
      <c r="W3188" s="50"/>
    </row>
    <row r="3189" spans="23:23" x14ac:dyDescent="0.2">
      <c r="W3189" s="50"/>
    </row>
    <row r="3190" spans="23:23" x14ac:dyDescent="0.2">
      <c r="W3190" s="50"/>
    </row>
    <row r="3191" spans="23:23" x14ac:dyDescent="0.2">
      <c r="W3191" s="50"/>
    </row>
    <row r="3192" spans="23:23" x14ac:dyDescent="0.2">
      <c r="W3192" s="50"/>
    </row>
    <row r="3193" spans="23:23" x14ac:dyDescent="0.2">
      <c r="W3193" s="50"/>
    </row>
    <row r="3194" spans="23:23" x14ac:dyDescent="0.2">
      <c r="W3194" s="50"/>
    </row>
    <row r="3195" spans="23:23" x14ac:dyDescent="0.2">
      <c r="W3195" s="50"/>
    </row>
    <row r="3196" spans="23:23" x14ac:dyDescent="0.2">
      <c r="W3196" s="50"/>
    </row>
    <row r="3197" spans="23:23" x14ac:dyDescent="0.2">
      <c r="W3197" s="50"/>
    </row>
    <row r="3198" spans="23:23" x14ac:dyDescent="0.2">
      <c r="W3198" s="50"/>
    </row>
    <row r="3199" spans="23:23" x14ac:dyDescent="0.2">
      <c r="W3199" s="50"/>
    </row>
    <row r="3200" spans="23:23" x14ac:dyDescent="0.2">
      <c r="W3200" s="50"/>
    </row>
    <row r="3201" spans="23:23" x14ac:dyDescent="0.2">
      <c r="W3201" s="50"/>
    </row>
    <row r="3202" spans="23:23" x14ac:dyDescent="0.2">
      <c r="W3202" s="50"/>
    </row>
    <row r="3203" spans="23:23" x14ac:dyDescent="0.2">
      <c r="W3203" s="50"/>
    </row>
    <row r="3204" spans="23:23" x14ac:dyDescent="0.2">
      <c r="W3204" s="50"/>
    </row>
    <row r="3205" spans="23:23" x14ac:dyDescent="0.2">
      <c r="W3205" s="50"/>
    </row>
    <row r="3206" spans="23:23" x14ac:dyDescent="0.2">
      <c r="W3206" s="50"/>
    </row>
    <row r="3207" spans="23:23" x14ac:dyDescent="0.2">
      <c r="W3207" s="50"/>
    </row>
    <row r="3208" spans="23:23" x14ac:dyDescent="0.2">
      <c r="W3208" s="50"/>
    </row>
    <row r="3209" spans="23:23" x14ac:dyDescent="0.2">
      <c r="W3209" s="50"/>
    </row>
    <row r="3210" spans="23:23" x14ac:dyDescent="0.2">
      <c r="W3210" s="50"/>
    </row>
    <row r="3211" spans="23:23" x14ac:dyDescent="0.2">
      <c r="W3211" s="50"/>
    </row>
    <row r="3212" spans="23:23" x14ac:dyDescent="0.2">
      <c r="W3212" s="50"/>
    </row>
    <row r="3213" spans="23:23" x14ac:dyDescent="0.2">
      <c r="W3213" s="50"/>
    </row>
    <row r="3214" spans="23:23" x14ac:dyDescent="0.2">
      <c r="W3214" s="50"/>
    </row>
    <row r="3215" spans="23:23" x14ac:dyDescent="0.2">
      <c r="W3215" s="50"/>
    </row>
    <row r="3216" spans="23:23" x14ac:dyDescent="0.2">
      <c r="W3216" s="50"/>
    </row>
    <row r="3217" spans="23:23" x14ac:dyDescent="0.2">
      <c r="W3217" s="50"/>
    </row>
    <row r="3218" spans="23:23" x14ac:dyDescent="0.2">
      <c r="W3218" s="50"/>
    </row>
    <row r="3219" spans="23:23" x14ac:dyDescent="0.2">
      <c r="W3219" s="50"/>
    </row>
    <row r="3220" spans="23:23" x14ac:dyDescent="0.2">
      <c r="W3220" s="50"/>
    </row>
    <row r="3221" spans="23:23" x14ac:dyDescent="0.2">
      <c r="W3221" s="50"/>
    </row>
    <row r="3222" spans="23:23" x14ac:dyDescent="0.2">
      <c r="W3222" s="50"/>
    </row>
    <row r="3223" spans="23:23" x14ac:dyDescent="0.2">
      <c r="W3223" s="50"/>
    </row>
    <row r="3224" spans="23:23" x14ac:dyDescent="0.2">
      <c r="W3224" s="50"/>
    </row>
    <row r="3225" spans="23:23" x14ac:dyDescent="0.2">
      <c r="W3225" s="50"/>
    </row>
    <row r="3226" spans="23:23" x14ac:dyDescent="0.2">
      <c r="W3226" s="50"/>
    </row>
    <row r="3227" spans="23:23" x14ac:dyDescent="0.2">
      <c r="W3227" s="50"/>
    </row>
    <row r="3228" spans="23:23" x14ac:dyDescent="0.2">
      <c r="W3228" s="50"/>
    </row>
    <row r="3229" spans="23:23" x14ac:dyDescent="0.2">
      <c r="W3229" s="50"/>
    </row>
    <row r="3230" spans="23:23" x14ac:dyDescent="0.2">
      <c r="W3230" s="50"/>
    </row>
    <row r="3231" spans="23:23" x14ac:dyDescent="0.2">
      <c r="W3231" s="50"/>
    </row>
    <row r="3232" spans="23:23" x14ac:dyDescent="0.2">
      <c r="W3232" s="50"/>
    </row>
    <row r="3233" spans="23:23" x14ac:dyDescent="0.2">
      <c r="W3233" s="50"/>
    </row>
    <row r="3234" spans="23:23" x14ac:dyDescent="0.2">
      <c r="W3234" s="50"/>
    </row>
    <row r="3235" spans="23:23" x14ac:dyDescent="0.2">
      <c r="W3235" s="50"/>
    </row>
    <row r="3236" spans="23:23" x14ac:dyDescent="0.2">
      <c r="W3236" s="50"/>
    </row>
    <row r="3237" spans="23:23" x14ac:dyDescent="0.2">
      <c r="W3237" s="50"/>
    </row>
    <row r="3238" spans="23:23" x14ac:dyDescent="0.2">
      <c r="W3238" s="50"/>
    </row>
    <row r="3239" spans="23:23" x14ac:dyDescent="0.2">
      <c r="W3239" s="50"/>
    </row>
    <row r="3240" spans="23:23" x14ac:dyDescent="0.2">
      <c r="W3240" s="50"/>
    </row>
    <row r="3241" spans="23:23" x14ac:dyDescent="0.2">
      <c r="W3241" s="50"/>
    </row>
    <row r="3242" spans="23:23" x14ac:dyDescent="0.2">
      <c r="W3242" s="50"/>
    </row>
    <row r="3243" spans="23:23" x14ac:dyDescent="0.2">
      <c r="W3243" s="50"/>
    </row>
    <row r="3244" spans="23:23" x14ac:dyDescent="0.2">
      <c r="W3244" s="50"/>
    </row>
    <row r="3245" spans="23:23" x14ac:dyDescent="0.2">
      <c r="W3245" s="50"/>
    </row>
    <row r="3246" spans="23:23" x14ac:dyDescent="0.2">
      <c r="W3246" s="50"/>
    </row>
    <row r="3247" spans="23:23" x14ac:dyDescent="0.2">
      <c r="W3247" s="50"/>
    </row>
    <row r="3248" spans="23:23" x14ac:dyDescent="0.2">
      <c r="W3248" s="50"/>
    </row>
    <row r="3249" spans="23:23" x14ac:dyDescent="0.2">
      <c r="W3249" s="50"/>
    </row>
    <row r="3250" spans="23:23" x14ac:dyDescent="0.2">
      <c r="W3250" s="50"/>
    </row>
    <row r="3251" spans="23:23" x14ac:dyDescent="0.2">
      <c r="W3251" s="50"/>
    </row>
    <row r="3252" spans="23:23" x14ac:dyDescent="0.2">
      <c r="W3252" s="50"/>
    </row>
    <row r="3253" spans="23:23" x14ac:dyDescent="0.2">
      <c r="W3253" s="50"/>
    </row>
    <row r="3254" spans="23:23" x14ac:dyDescent="0.2">
      <c r="W3254" s="50"/>
    </row>
    <row r="3255" spans="23:23" x14ac:dyDescent="0.2">
      <c r="W3255" s="50"/>
    </row>
    <row r="3256" spans="23:23" x14ac:dyDescent="0.2">
      <c r="W3256" s="50"/>
    </row>
    <row r="3257" spans="23:23" x14ac:dyDescent="0.2">
      <c r="W3257" s="50"/>
    </row>
    <row r="3258" spans="23:23" x14ac:dyDescent="0.2">
      <c r="W3258" s="50"/>
    </row>
    <row r="3259" spans="23:23" x14ac:dyDescent="0.2">
      <c r="W3259" s="50"/>
    </row>
    <row r="3260" spans="23:23" x14ac:dyDescent="0.2">
      <c r="W3260" s="50"/>
    </row>
    <row r="3261" spans="23:23" x14ac:dyDescent="0.2">
      <c r="W3261" s="50"/>
    </row>
    <row r="3262" spans="23:23" x14ac:dyDescent="0.2">
      <c r="W3262" s="50"/>
    </row>
    <row r="3263" spans="23:23" x14ac:dyDescent="0.2">
      <c r="W3263" s="50"/>
    </row>
    <row r="3264" spans="23:23" x14ac:dyDescent="0.2">
      <c r="W3264" s="50"/>
    </row>
    <row r="3265" spans="23:23" x14ac:dyDescent="0.2">
      <c r="W3265" s="50"/>
    </row>
    <row r="3266" spans="23:23" x14ac:dyDescent="0.2">
      <c r="W3266" s="50"/>
    </row>
    <row r="3267" spans="23:23" x14ac:dyDescent="0.2">
      <c r="W3267" s="50"/>
    </row>
    <row r="3268" spans="23:23" x14ac:dyDescent="0.2">
      <c r="W3268" s="50"/>
    </row>
    <row r="3269" spans="23:23" x14ac:dyDescent="0.2">
      <c r="W3269" s="50"/>
    </row>
    <row r="3270" spans="23:23" x14ac:dyDescent="0.2">
      <c r="W3270" s="50"/>
    </row>
    <row r="3271" spans="23:23" x14ac:dyDescent="0.2">
      <c r="W3271" s="50"/>
    </row>
    <row r="3272" spans="23:23" x14ac:dyDescent="0.2">
      <c r="W3272" s="50"/>
    </row>
    <row r="3273" spans="23:23" x14ac:dyDescent="0.2">
      <c r="W3273" s="50"/>
    </row>
    <row r="3274" spans="23:23" x14ac:dyDescent="0.2">
      <c r="W3274" s="50"/>
    </row>
    <row r="3275" spans="23:23" x14ac:dyDescent="0.2">
      <c r="W3275" s="50"/>
    </row>
    <row r="3276" spans="23:23" x14ac:dyDescent="0.2">
      <c r="W3276" s="50"/>
    </row>
    <row r="3277" spans="23:23" x14ac:dyDescent="0.2">
      <c r="W3277" s="50"/>
    </row>
    <row r="3278" spans="23:23" x14ac:dyDescent="0.2">
      <c r="W3278" s="50"/>
    </row>
    <row r="3279" spans="23:23" x14ac:dyDescent="0.2">
      <c r="W3279" s="50"/>
    </row>
    <row r="3280" spans="23:23" x14ac:dyDescent="0.2">
      <c r="W3280" s="50"/>
    </row>
    <row r="3281" spans="23:23" x14ac:dyDescent="0.2">
      <c r="W3281" s="50"/>
    </row>
    <row r="3282" spans="23:23" x14ac:dyDescent="0.2">
      <c r="W3282" s="50"/>
    </row>
    <row r="3283" spans="23:23" x14ac:dyDescent="0.2">
      <c r="W3283" s="50"/>
    </row>
    <row r="3284" spans="23:23" x14ac:dyDescent="0.2">
      <c r="W3284" s="50"/>
    </row>
    <row r="3285" spans="23:23" x14ac:dyDescent="0.2">
      <c r="W3285" s="50"/>
    </row>
    <row r="3286" spans="23:23" x14ac:dyDescent="0.2">
      <c r="W3286" s="50"/>
    </row>
    <row r="3287" spans="23:23" x14ac:dyDescent="0.2">
      <c r="W3287" s="50"/>
    </row>
    <row r="3288" spans="23:23" x14ac:dyDescent="0.2">
      <c r="W3288" s="50"/>
    </row>
    <row r="3289" spans="23:23" x14ac:dyDescent="0.2">
      <c r="W3289" s="50"/>
    </row>
    <row r="3290" spans="23:23" x14ac:dyDescent="0.2">
      <c r="W3290" s="50"/>
    </row>
    <row r="3291" spans="23:23" x14ac:dyDescent="0.2">
      <c r="W3291" s="50"/>
    </row>
    <row r="3292" spans="23:23" x14ac:dyDescent="0.2">
      <c r="W3292" s="50"/>
    </row>
    <row r="3293" spans="23:23" x14ac:dyDescent="0.2">
      <c r="W3293" s="50"/>
    </row>
    <row r="3294" spans="23:23" x14ac:dyDescent="0.2">
      <c r="W3294" s="50"/>
    </row>
    <row r="3295" spans="23:23" x14ac:dyDescent="0.2">
      <c r="W3295" s="50"/>
    </row>
    <row r="3296" spans="23:23" x14ac:dyDescent="0.2">
      <c r="W3296" s="50"/>
    </row>
    <row r="3297" spans="23:23" x14ac:dyDescent="0.2">
      <c r="W3297" s="50"/>
    </row>
    <row r="3298" spans="23:23" x14ac:dyDescent="0.2">
      <c r="W3298" s="50"/>
    </row>
    <row r="3299" spans="23:23" x14ac:dyDescent="0.2">
      <c r="W3299" s="50"/>
    </row>
    <row r="3300" spans="23:23" x14ac:dyDescent="0.2">
      <c r="W3300" s="50"/>
    </row>
    <row r="3301" spans="23:23" x14ac:dyDescent="0.2">
      <c r="W3301" s="50"/>
    </row>
    <row r="3302" spans="23:23" x14ac:dyDescent="0.2">
      <c r="W3302" s="50"/>
    </row>
    <row r="3303" spans="23:23" x14ac:dyDescent="0.2">
      <c r="W3303" s="50"/>
    </row>
    <row r="3304" spans="23:23" x14ac:dyDescent="0.2">
      <c r="W3304" s="50"/>
    </row>
    <row r="3305" spans="23:23" x14ac:dyDescent="0.2">
      <c r="W3305" s="50"/>
    </row>
    <row r="3306" spans="23:23" x14ac:dyDescent="0.2">
      <c r="W3306" s="50"/>
    </row>
    <row r="3307" spans="23:23" x14ac:dyDescent="0.2">
      <c r="W3307" s="50"/>
    </row>
    <row r="3308" spans="23:23" x14ac:dyDescent="0.2">
      <c r="W3308" s="50"/>
    </row>
    <row r="3309" spans="23:23" x14ac:dyDescent="0.2">
      <c r="W3309" s="50"/>
    </row>
    <row r="3310" spans="23:23" x14ac:dyDescent="0.2">
      <c r="W3310" s="50"/>
    </row>
    <row r="3311" spans="23:23" x14ac:dyDescent="0.2">
      <c r="W3311" s="50"/>
    </row>
    <row r="3312" spans="23:23" x14ac:dyDescent="0.2">
      <c r="W3312" s="50"/>
    </row>
    <row r="3313" spans="23:23" x14ac:dyDescent="0.2">
      <c r="W3313" s="50"/>
    </row>
    <row r="3314" spans="23:23" x14ac:dyDescent="0.2">
      <c r="W3314" s="50"/>
    </row>
    <row r="3315" spans="23:23" x14ac:dyDescent="0.2">
      <c r="W3315" s="50"/>
    </row>
    <row r="3316" spans="23:23" x14ac:dyDescent="0.2">
      <c r="W3316" s="50"/>
    </row>
    <row r="3317" spans="23:23" x14ac:dyDescent="0.2">
      <c r="W3317" s="50"/>
    </row>
    <row r="3318" spans="23:23" x14ac:dyDescent="0.2">
      <c r="W3318" s="50"/>
    </row>
    <row r="3319" spans="23:23" x14ac:dyDescent="0.2">
      <c r="W3319" s="50"/>
    </row>
    <row r="3320" spans="23:23" x14ac:dyDescent="0.2">
      <c r="W3320" s="50"/>
    </row>
    <row r="3321" spans="23:23" x14ac:dyDescent="0.2">
      <c r="W3321" s="50"/>
    </row>
    <row r="3322" spans="23:23" x14ac:dyDescent="0.2">
      <c r="W3322" s="50"/>
    </row>
    <row r="3323" spans="23:23" x14ac:dyDescent="0.2">
      <c r="W3323" s="50"/>
    </row>
    <row r="3324" spans="23:23" x14ac:dyDescent="0.2">
      <c r="W3324" s="50"/>
    </row>
    <row r="3325" spans="23:23" x14ac:dyDescent="0.2">
      <c r="W3325" s="50"/>
    </row>
    <row r="3326" spans="23:23" x14ac:dyDescent="0.2">
      <c r="W3326" s="50"/>
    </row>
    <row r="3327" spans="23:23" x14ac:dyDescent="0.2">
      <c r="W3327" s="50"/>
    </row>
    <row r="3328" spans="23:23" x14ac:dyDescent="0.2">
      <c r="W3328" s="50"/>
    </row>
    <row r="3329" spans="23:23" x14ac:dyDescent="0.2">
      <c r="W3329" s="50"/>
    </row>
    <row r="3330" spans="23:23" x14ac:dyDescent="0.2">
      <c r="W3330" s="50"/>
    </row>
    <row r="3331" spans="23:23" x14ac:dyDescent="0.2">
      <c r="W3331" s="50"/>
    </row>
    <row r="3332" spans="23:23" x14ac:dyDescent="0.2">
      <c r="W3332" s="50"/>
    </row>
    <row r="3333" spans="23:23" x14ac:dyDescent="0.2">
      <c r="W3333" s="50"/>
    </row>
    <row r="3334" spans="23:23" x14ac:dyDescent="0.2">
      <c r="W3334" s="50"/>
    </row>
    <row r="3335" spans="23:23" x14ac:dyDescent="0.2">
      <c r="W3335" s="50"/>
    </row>
    <row r="3336" spans="23:23" x14ac:dyDescent="0.2">
      <c r="W3336" s="50"/>
    </row>
    <row r="3337" spans="23:23" x14ac:dyDescent="0.2">
      <c r="W3337" s="50"/>
    </row>
    <row r="3338" spans="23:23" x14ac:dyDescent="0.2">
      <c r="W3338" s="50"/>
    </row>
    <row r="3339" spans="23:23" x14ac:dyDescent="0.2">
      <c r="W3339" s="50"/>
    </row>
    <row r="3340" spans="23:23" x14ac:dyDescent="0.2">
      <c r="W3340" s="50"/>
    </row>
    <row r="3341" spans="23:23" x14ac:dyDescent="0.2">
      <c r="W3341" s="50"/>
    </row>
    <row r="3342" spans="23:23" x14ac:dyDescent="0.2">
      <c r="W3342" s="50"/>
    </row>
    <row r="3343" spans="23:23" x14ac:dyDescent="0.2">
      <c r="W3343" s="50"/>
    </row>
    <row r="3344" spans="23:23" x14ac:dyDescent="0.2">
      <c r="W3344" s="50"/>
    </row>
    <row r="3345" spans="23:23" x14ac:dyDescent="0.2">
      <c r="W3345" s="50"/>
    </row>
    <row r="3346" spans="23:23" x14ac:dyDescent="0.2">
      <c r="W3346" s="50"/>
    </row>
    <row r="3347" spans="23:23" x14ac:dyDescent="0.2">
      <c r="W3347" s="50"/>
    </row>
    <row r="3348" spans="23:23" x14ac:dyDescent="0.2">
      <c r="W3348" s="50"/>
    </row>
    <row r="3349" spans="23:23" x14ac:dyDescent="0.2">
      <c r="W3349" s="50"/>
    </row>
    <row r="3350" spans="23:23" x14ac:dyDescent="0.2">
      <c r="W3350" s="50"/>
    </row>
    <row r="3351" spans="23:23" x14ac:dyDescent="0.2">
      <c r="W3351" s="50"/>
    </row>
    <row r="3352" spans="23:23" x14ac:dyDescent="0.2">
      <c r="W3352" s="50"/>
    </row>
    <row r="3353" spans="23:23" x14ac:dyDescent="0.2">
      <c r="W3353" s="50"/>
    </row>
    <row r="3354" spans="23:23" x14ac:dyDescent="0.2">
      <c r="W3354" s="50"/>
    </row>
    <row r="3355" spans="23:23" x14ac:dyDescent="0.2">
      <c r="W3355" s="50"/>
    </row>
    <row r="3356" spans="23:23" x14ac:dyDescent="0.2">
      <c r="W3356" s="50"/>
    </row>
    <row r="3357" spans="23:23" x14ac:dyDescent="0.2">
      <c r="W3357" s="50"/>
    </row>
    <row r="3358" spans="23:23" x14ac:dyDescent="0.2">
      <c r="W3358" s="50"/>
    </row>
    <row r="3359" spans="23:23" x14ac:dyDescent="0.2">
      <c r="W3359" s="50"/>
    </row>
    <row r="3360" spans="23:23" x14ac:dyDescent="0.2">
      <c r="W3360" s="50"/>
    </row>
    <row r="3361" spans="23:23" x14ac:dyDescent="0.2">
      <c r="W3361" s="50"/>
    </row>
    <row r="3362" spans="23:23" x14ac:dyDescent="0.2">
      <c r="W3362" s="50"/>
    </row>
    <row r="3363" spans="23:23" x14ac:dyDescent="0.2">
      <c r="W3363" s="50"/>
    </row>
    <row r="3364" spans="23:23" x14ac:dyDescent="0.2">
      <c r="W3364" s="50"/>
    </row>
    <row r="3365" spans="23:23" x14ac:dyDescent="0.2">
      <c r="W3365" s="50"/>
    </row>
    <row r="3366" spans="23:23" x14ac:dyDescent="0.2">
      <c r="W3366" s="50"/>
    </row>
    <row r="3367" spans="23:23" x14ac:dyDescent="0.2">
      <c r="W3367" s="50"/>
    </row>
    <row r="3368" spans="23:23" x14ac:dyDescent="0.2">
      <c r="W3368" s="50"/>
    </row>
    <row r="3369" spans="23:23" x14ac:dyDescent="0.2">
      <c r="W3369" s="50"/>
    </row>
    <row r="3370" spans="23:23" x14ac:dyDescent="0.2">
      <c r="W3370" s="50"/>
    </row>
    <row r="3371" spans="23:23" x14ac:dyDescent="0.2">
      <c r="W3371" s="50"/>
    </row>
    <row r="3372" spans="23:23" x14ac:dyDescent="0.2">
      <c r="W3372" s="50"/>
    </row>
    <row r="3373" spans="23:23" x14ac:dyDescent="0.2">
      <c r="W3373" s="50"/>
    </row>
    <row r="3374" spans="23:23" x14ac:dyDescent="0.2">
      <c r="W3374" s="50"/>
    </row>
    <row r="3375" spans="23:23" x14ac:dyDescent="0.2">
      <c r="W3375" s="50"/>
    </row>
    <row r="3376" spans="23:23" x14ac:dyDescent="0.2">
      <c r="W3376" s="50"/>
    </row>
    <row r="3377" spans="23:23" x14ac:dyDescent="0.2">
      <c r="W3377" s="50"/>
    </row>
    <row r="3378" spans="23:23" x14ac:dyDescent="0.2">
      <c r="W3378" s="50"/>
    </row>
    <row r="3379" spans="23:23" x14ac:dyDescent="0.2">
      <c r="W3379" s="50"/>
    </row>
    <row r="3380" spans="23:23" x14ac:dyDescent="0.2">
      <c r="W3380" s="50"/>
    </row>
    <row r="3381" spans="23:23" x14ac:dyDescent="0.2">
      <c r="W3381" s="50"/>
    </row>
    <row r="3382" spans="23:23" x14ac:dyDescent="0.2">
      <c r="W3382" s="50"/>
    </row>
    <row r="3383" spans="23:23" x14ac:dyDescent="0.2">
      <c r="W3383" s="50"/>
    </row>
    <row r="3384" spans="23:23" x14ac:dyDescent="0.2">
      <c r="W3384" s="50"/>
    </row>
    <row r="3385" spans="23:23" x14ac:dyDescent="0.2">
      <c r="W3385" s="50"/>
    </row>
    <row r="3386" spans="23:23" x14ac:dyDescent="0.2">
      <c r="W3386" s="50"/>
    </row>
    <row r="3387" spans="23:23" x14ac:dyDescent="0.2">
      <c r="W3387" s="50"/>
    </row>
    <row r="3388" spans="23:23" x14ac:dyDescent="0.2">
      <c r="W3388" s="50"/>
    </row>
    <row r="3389" spans="23:23" x14ac:dyDescent="0.2">
      <c r="W3389" s="50"/>
    </row>
    <row r="3390" spans="23:23" x14ac:dyDescent="0.2">
      <c r="W3390" s="50"/>
    </row>
    <row r="3391" spans="23:23" x14ac:dyDescent="0.2">
      <c r="W3391" s="50"/>
    </row>
    <row r="3392" spans="23:23" x14ac:dyDescent="0.2">
      <c r="W3392" s="50"/>
    </row>
    <row r="3393" spans="23:23" x14ac:dyDescent="0.2">
      <c r="W3393" s="50"/>
    </row>
    <row r="3394" spans="23:23" x14ac:dyDescent="0.2">
      <c r="W3394" s="50"/>
    </row>
    <row r="3395" spans="23:23" x14ac:dyDescent="0.2">
      <c r="W3395" s="50"/>
    </row>
    <row r="3396" spans="23:23" x14ac:dyDescent="0.2">
      <c r="W3396" s="50"/>
    </row>
    <row r="3397" spans="23:23" x14ac:dyDescent="0.2">
      <c r="W3397" s="50"/>
    </row>
    <row r="3398" spans="23:23" x14ac:dyDescent="0.2">
      <c r="W3398" s="50"/>
    </row>
    <row r="3399" spans="23:23" x14ac:dyDescent="0.2">
      <c r="W3399" s="50"/>
    </row>
    <row r="3400" spans="23:23" x14ac:dyDescent="0.2">
      <c r="W3400" s="50"/>
    </row>
    <row r="3401" spans="23:23" x14ac:dyDescent="0.2">
      <c r="W3401" s="50"/>
    </row>
    <row r="3402" spans="23:23" x14ac:dyDescent="0.2">
      <c r="W3402" s="50"/>
    </row>
    <row r="3403" spans="23:23" x14ac:dyDescent="0.2">
      <c r="W3403" s="50"/>
    </row>
    <row r="3404" spans="23:23" x14ac:dyDescent="0.2">
      <c r="W3404" s="50"/>
    </row>
    <row r="3405" spans="23:23" x14ac:dyDescent="0.2">
      <c r="W3405" s="50"/>
    </row>
    <row r="3406" spans="23:23" x14ac:dyDescent="0.2">
      <c r="W3406" s="50"/>
    </row>
    <row r="3407" spans="23:23" x14ac:dyDescent="0.2">
      <c r="W3407" s="50"/>
    </row>
    <row r="3408" spans="23:23" x14ac:dyDescent="0.2">
      <c r="W3408" s="50"/>
    </row>
    <row r="3409" spans="23:23" x14ac:dyDescent="0.2">
      <c r="W3409" s="50"/>
    </row>
    <row r="3410" spans="23:23" x14ac:dyDescent="0.2">
      <c r="W3410" s="50"/>
    </row>
    <row r="3411" spans="23:23" x14ac:dyDescent="0.2">
      <c r="W3411" s="50"/>
    </row>
    <row r="3412" spans="23:23" x14ac:dyDescent="0.2">
      <c r="W3412" s="50"/>
    </row>
    <row r="3413" spans="23:23" x14ac:dyDescent="0.2">
      <c r="W3413" s="50"/>
    </row>
    <row r="3414" spans="23:23" x14ac:dyDescent="0.2">
      <c r="W3414" s="50"/>
    </row>
    <row r="3415" spans="23:23" x14ac:dyDescent="0.2">
      <c r="W3415" s="50"/>
    </row>
    <row r="3416" spans="23:23" x14ac:dyDescent="0.2">
      <c r="W3416" s="50"/>
    </row>
    <row r="3417" spans="23:23" x14ac:dyDescent="0.2">
      <c r="W3417" s="50"/>
    </row>
    <row r="3418" spans="23:23" x14ac:dyDescent="0.2">
      <c r="W3418" s="50"/>
    </row>
    <row r="3419" spans="23:23" x14ac:dyDescent="0.2">
      <c r="W3419" s="50"/>
    </row>
    <row r="3420" spans="23:23" x14ac:dyDescent="0.2">
      <c r="W3420" s="50"/>
    </row>
    <row r="3421" spans="23:23" x14ac:dyDescent="0.2">
      <c r="W3421" s="50"/>
    </row>
    <row r="3422" spans="23:23" x14ac:dyDescent="0.2">
      <c r="W3422" s="50"/>
    </row>
    <row r="3423" spans="23:23" x14ac:dyDescent="0.2">
      <c r="W3423" s="50"/>
    </row>
    <row r="3424" spans="23:23" x14ac:dyDescent="0.2">
      <c r="W3424" s="50"/>
    </row>
    <row r="3425" spans="23:23" x14ac:dyDescent="0.2">
      <c r="W3425" s="50"/>
    </row>
    <row r="3426" spans="23:23" x14ac:dyDescent="0.2">
      <c r="W3426" s="50"/>
    </row>
    <row r="3427" spans="23:23" x14ac:dyDescent="0.2">
      <c r="W3427" s="50"/>
    </row>
    <row r="3428" spans="23:23" x14ac:dyDescent="0.2">
      <c r="W3428" s="50"/>
    </row>
    <row r="3429" spans="23:23" x14ac:dyDescent="0.2">
      <c r="W3429" s="50"/>
    </row>
    <row r="3430" spans="23:23" x14ac:dyDescent="0.2">
      <c r="W3430" s="50"/>
    </row>
    <row r="3431" spans="23:23" x14ac:dyDescent="0.2">
      <c r="W3431" s="50"/>
    </row>
    <row r="3432" spans="23:23" x14ac:dyDescent="0.2">
      <c r="W3432" s="50"/>
    </row>
    <row r="3433" spans="23:23" x14ac:dyDescent="0.2">
      <c r="W3433" s="50"/>
    </row>
    <row r="3434" spans="23:23" x14ac:dyDescent="0.2">
      <c r="W3434" s="50"/>
    </row>
    <row r="3435" spans="23:23" x14ac:dyDescent="0.2">
      <c r="W3435" s="50"/>
    </row>
    <row r="3436" spans="23:23" x14ac:dyDescent="0.2">
      <c r="W3436" s="50"/>
    </row>
    <row r="3437" spans="23:23" x14ac:dyDescent="0.2">
      <c r="W3437" s="50"/>
    </row>
    <row r="3438" spans="23:23" x14ac:dyDescent="0.2">
      <c r="W3438" s="50"/>
    </row>
    <row r="3439" spans="23:23" x14ac:dyDescent="0.2">
      <c r="W3439" s="50"/>
    </row>
    <row r="3440" spans="23:23" x14ac:dyDescent="0.2">
      <c r="W3440" s="50"/>
    </row>
    <row r="3441" spans="23:23" x14ac:dyDescent="0.2">
      <c r="W3441" s="50"/>
    </row>
    <row r="3442" spans="23:23" x14ac:dyDescent="0.2">
      <c r="W3442" s="50"/>
    </row>
    <row r="3443" spans="23:23" x14ac:dyDescent="0.2">
      <c r="W3443" s="50"/>
    </row>
    <row r="3444" spans="23:23" x14ac:dyDescent="0.2">
      <c r="W3444" s="50"/>
    </row>
    <row r="3445" spans="23:23" x14ac:dyDescent="0.2">
      <c r="W3445" s="50"/>
    </row>
    <row r="3446" spans="23:23" x14ac:dyDescent="0.2">
      <c r="W3446" s="50"/>
    </row>
    <row r="3447" spans="23:23" x14ac:dyDescent="0.2">
      <c r="W3447" s="50"/>
    </row>
    <row r="3448" spans="23:23" x14ac:dyDescent="0.2">
      <c r="W3448" s="50"/>
    </row>
    <row r="3449" spans="23:23" x14ac:dyDescent="0.2">
      <c r="W3449" s="50"/>
    </row>
    <row r="3450" spans="23:23" x14ac:dyDescent="0.2">
      <c r="W3450" s="50"/>
    </row>
    <row r="3451" spans="23:23" x14ac:dyDescent="0.2">
      <c r="W3451" s="50"/>
    </row>
    <row r="3452" spans="23:23" x14ac:dyDescent="0.2">
      <c r="W3452" s="50"/>
    </row>
    <row r="3453" spans="23:23" x14ac:dyDescent="0.2">
      <c r="W3453" s="50"/>
    </row>
    <row r="3454" spans="23:23" x14ac:dyDescent="0.2">
      <c r="W3454" s="50"/>
    </row>
    <row r="3455" spans="23:23" x14ac:dyDescent="0.2">
      <c r="W3455" s="50"/>
    </row>
    <row r="3456" spans="23:23" x14ac:dyDescent="0.2">
      <c r="W3456" s="50"/>
    </row>
    <row r="3457" spans="23:23" x14ac:dyDescent="0.2">
      <c r="W3457" s="50"/>
    </row>
    <row r="3458" spans="23:23" x14ac:dyDescent="0.2">
      <c r="W3458" s="50"/>
    </row>
    <row r="3459" spans="23:23" x14ac:dyDescent="0.2">
      <c r="W3459" s="50"/>
    </row>
    <row r="3460" spans="23:23" x14ac:dyDescent="0.2">
      <c r="W3460" s="50"/>
    </row>
    <row r="3461" spans="23:23" x14ac:dyDescent="0.2">
      <c r="W3461" s="50"/>
    </row>
    <row r="3462" spans="23:23" x14ac:dyDescent="0.2">
      <c r="W3462" s="50"/>
    </row>
    <row r="3463" spans="23:23" x14ac:dyDescent="0.2">
      <c r="W3463" s="50"/>
    </row>
    <row r="3464" spans="23:23" x14ac:dyDescent="0.2">
      <c r="W3464" s="50"/>
    </row>
    <row r="3465" spans="23:23" x14ac:dyDescent="0.2">
      <c r="W3465" s="50"/>
    </row>
    <row r="3466" spans="23:23" x14ac:dyDescent="0.2">
      <c r="W3466" s="50"/>
    </row>
    <row r="3467" spans="23:23" x14ac:dyDescent="0.2">
      <c r="W3467" s="50"/>
    </row>
    <row r="3468" spans="23:23" x14ac:dyDescent="0.2">
      <c r="W3468" s="50"/>
    </row>
    <row r="3469" spans="23:23" x14ac:dyDescent="0.2">
      <c r="W3469" s="50"/>
    </row>
    <row r="3470" spans="23:23" x14ac:dyDescent="0.2">
      <c r="W3470" s="50"/>
    </row>
    <row r="3471" spans="23:23" x14ac:dyDescent="0.2">
      <c r="W3471" s="50"/>
    </row>
    <row r="3472" spans="23:23" x14ac:dyDescent="0.2">
      <c r="W3472" s="50"/>
    </row>
    <row r="3473" spans="23:23" x14ac:dyDescent="0.2">
      <c r="W3473" s="50"/>
    </row>
    <row r="3474" spans="23:23" x14ac:dyDescent="0.2">
      <c r="W3474" s="50"/>
    </row>
    <row r="3475" spans="23:23" x14ac:dyDescent="0.2">
      <c r="W3475" s="50"/>
    </row>
    <row r="3476" spans="23:23" x14ac:dyDescent="0.2">
      <c r="W3476" s="50"/>
    </row>
    <row r="3477" spans="23:23" x14ac:dyDescent="0.2">
      <c r="W3477" s="50"/>
    </row>
    <row r="3478" spans="23:23" x14ac:dyDescent="0.2">
      <c r="W3478" s="50"/>
    </row>
    <row r="3479" spans="23:23" x14ac:dyDescent="0.2">
      <c r="W3479" s="50"/>
    </row>
    <row r="3480" spans="23:23" x14ac:dyDescent="0.2">
      <c r="W3480" s="50"/>
    </row>
    <row r="3481" spans="23:23" x14ac:dyDescent="0.2">
      <c r="W3481" s="50"/>
    </row>
    <row r="3482" spans="23:23" x14ac:dyDescent="0.2">
      <c r="W3482" s="50"/>
    </row>
    <row r="3483" spans="23:23" x14ac:dyDescent="0.2">
      <c r="W3483" s="50"/>
    </row>
    <row r="3484" spans="23:23" x14ac:dyDescent="0.2">
      <c r="W3484" s="50"/>
    </row>
    <row r="3485" spans="23:23" x14ac:dyDescent="0.2">
      <c r="W3485" s="50"/>
    </row>
    <row r="3486" spans="23:23" x14ac:dyDescent="0.2">
      <c r="W3486" s="50"/>
    </row>
    <row r="3487" spans="23:23" x14ac:dyDescent="0.2">
      <c r="W3487" s="50"/>
    </row>
    <row r="3488" spans="23:23" x14ac:dyDescent="0.2">
      <c r="W3488" s="50"/>
    </row>
    <row r="3489" spans="23:23" x14ac:dyDescent="0.2">
      <c r="W3489" s="50"/>
    </row>
    <row r="3490" spans="23:23" x14ac:dyDescent="0.2">
      <c r="W3490" s="50"/>
    </row>
    <row r="3491" spans="23:23" x14ac:dyDescent="0.2">
      <c r="W3491" s="50"/>
    </row>
    <row r="3492" spans="23:23" x14ac:dyDescent="0.2">
      <c r="W3492" s="50"/>
    </row>
    <row r="3493" spans="23:23" x14ac:dyDescent="0.2">
      <c r="W3493" s="50"/>
    </row>
    <row r="3494" spans="23:23" x14ac:dyDescent="0.2">
      <c r="W3494" s="50"/>
    </row>
    <row r="3495" spans="23:23" x14ac:dyDescent="0.2">
      <c r="W3495" s="50"/>
    </row>
    <row r="3496" spans="23:23" x14ac:dyDescent="0.2">
      <c r="W3496" s="50"/>
    </row>
    <row r="3497" spans="23:23" x14ac:dyDescent="0.2">
      <c r="W3497" s="50"/>
    </row>
    <row r="3498" spans="23:23" x14ac:dyDescent="0.2">
      <c r="W3498" s="50"/>
    </row>
    <row r="3499" spans="23:23" x14ac:dyDescent="0.2">
      <c r="W3499" s="50"/>
    </row>
    <row r="3500" spans="23:23" x14ac:dyDescent="0.2">
      <c r="W3500" s="50"/>
    </row>
    <row r="3501" spans="23:23" x14ac:dyDescent="0.2">
      <c r="W3501" s="50"/>
    </row>
    <row r="3502" spans="23:23" x14ac:dyDescent="0.2">
      <c r="W3502" s="50"/>
    </row>
    <row r="3503" spans="23:23" x14ac:dyDescent="0.2">
      <c r="W3503" s="50"/>
    </row>
    <row r="3504" spans="23:23" x14ac:dyDescent="0.2">
      <c r="W3504" s="50"/>
    </row>
    <row r="3505" spans="23:23" x14ac:dyDescent="0.2">
      <c r="W3505" s="50"/>
    </row>
    <row r="3506" spans="23:23" x14ac:dyDescent="0.2">
      <c r="W3506" s="50"/>
    </row>
    <row r="3507" spans="23:23" x14ac:dyDescent="0.2">
      <c r="W3507" s="50"/>
    </row>
    <row r="3508" spans="23:23" x14ac:dyDescent="0.2">
      <c r="W3508" s="50"/>
    </row>
    <row r="3509" spans="23:23" x14ac:dyDescent="0.2">
      <c r="W3509" s="50"/>
    </row>
    <row r="3510" spans="23:23" x14ac:dyDescent="0.2">
      <c r="W3510" s="50"/>
    </row>
    <row r="3511" spans="23:23" x14ac:dyDescent="0.2">
      <c r="W3511" s="50"/>
    </row>
    <row r="3512" spans="23:23" x14ac:dyDescent="0.2">
      <c r="W3512" s="50"/>
    </row>
    <row r="3513" spans="23:23" x14ac:dyDescent="0.2">
      <c r="W3513" s="50"/>
    </row>
    <row r="3514" spans="23:23" x14ac:dyDescent="0.2">
      <c r="W3514" s="50"/>
    </row>
    <row r="3515" spans="23:23" x14ac:dyDescent="0.2">
      <c r="W3515" s="50"/>
    </row>
    <row r="3516" spans="23:23" x14ac:dyDescent="0.2">
      <c r="W3516" s="50"/>
    </row>
    <row r="3517" spans="23:23" x14ac:dyDescent="0.2">
      <c r="W3517" s="50"/>
    </row>
    <row r="3518" spans="23:23" x14ac:dyDescent="0.2">
      <c r="W3518" s="50"/>
    </row>
    <row r="3519" spans="23:23" x14ac:dyDescent="0.2">
      <c r="W3519" s="50"/>
    </row>
    <row r="3520" spans="23:23" x14ac:dyDescent="0.2">
      <c r="W3520" s="50"/>
    </row>
    <row r="3521" spans="23:23" x14ac:dyDescent="0.2">
      <c r="W3521" s="50"/>
    </row>
    <row r="3522" spans="23:23" x14ac:dyDescent="0.2">
      <c r="W3522" s="50"/>
    </row>
    <row r="3523" spans="23:23" x14ac:dyDescent="0.2">
      <c r="W3523" s="50"/>
    </row>
    <row r="3524" spans="23:23" x14ac:dyDescent="0.2">
      <c r="W3524" s="50"/>
    </row>
    <row r="3525" spans="23:23" x14ac:dyDescent="0.2">
      <c r="W3525" s="50"/>
    </row>
    <row r="3526" spans="23:23" x14ac:dyDescent="0.2">
      <c r="W3526" s="50"/>
    </row>
    <row r="3527" spans="23:23" x14ac:dyDescent="0.2">
      <c r="W3527" s="50"/>
    </row>
    <row r="3528" spans="23:23" x14ac:dyDescent="0.2">
      <c r="W3528" s="50"/>
    </row>
    <row r="3529" spans="23:23" x14ac:dyDescent="0.2">
      <c r="W3529" s="50"/>
    </row>
    <row r="3530" spans="23:23" x14ac:dyDescent="0.2">
      <c r="W3530" s="50"/>
    </row>
    <row r="3531" spans="23:23" x14ac:dyDescent="0.2">
      <c r="W3531" s="50"/>
    </row>
    <row r="3532" spans="23:23" x14ac:dyDescent="0.2">
      <c r="W3532" s="50"/>
    </row>
    <row r="3533" spans="23:23" x14ac:dyDescent="0.2">
      <c r="W3533" s="50"/>
    </row>
    <row r="3534" spans="23:23" x14ac:dyDescent="0.2">
      <c r="W3534" s="50"/>
    </row>
    <row r="3535" spans="23:23" x14ac:dyDescent="0.2">
      <c r="W3535" s="50"/>
    </row>
    <row r="3536" spans="23:23" x14ac:dyDescent="0.2">
      <c r="W3536" s="50"/>
    </row>
    <row r="3537" spans="23:23" x14ac:dyDescent="0.2">
      <c r="W3537" s="50"/>
    </row>
    <row r="3538" spans="23:23" x14ac:dyDescent="0.2">
      <c r="W3538" s="50"/>
    </row>
    <row r="3539" spans="23:23" x14ac:dyDescent="0.2">
      <c r="W3539" s="50"/>
    </row>
    <row r="3540" spans="23:23" x14ac:dyDescent="0.2">
      <c r="W3540" s="50"/>
    </row>
    <row r="3541" spans="23:23" x14ac:dyDescent="0.2">
      <c r="W3541" s="50"/>
    </row>
    <row r="3542" spans="23:23" x14ac:dyDescent="0.2">
      <c r="W3542" s="50"/>
    </row>
    <row r="3543" spans="23:23" x14ac:dyDescent="0.2">
      <c r="W3543" s="50"/>
    </row>
    <row r="3544" spans="23:23" x14ac:dyDescent="0.2">
      <c r="W3544" s="50"/>
    </row>
    <row r="3545" spans="23:23" x14ac:dyDescent="0.2">
      <c r="W3545" s="50"/>
    </row>
    <row r="3546" spans="23:23" x14ac:dyDescent="0.2">
      <c r="W3546" s="50"/>
    </row>
    <row r="3547" spans="23:23" x14ac:dyDescent="0.2">
      <c r="W3547" s="50"/>
    </row>
    <row r="3548" spans="23:23" x14ac:dyDescent="0.2">
      <c r="W3548" s="50"/>
    </row>
    <row r="3549" spans="23:23" x14ac:dyDescent="0.2">
      <c r="W3549" s="50"/>
    </row>
    <row r="3550" spans="23:23" x14ac:dyDescent="0.2">
      <c r="W3550" s="50"/>
    </row>
    <row r="3551" spans="23:23" x14ac:dyDescent="0.2">
      <c r="W3551" s="50"/>
    </row>
    <row r="3552" spans="23:23" x14ac:dyDescent="0.2">
      <c r="W3552" s="50"/>
    </row>
    <row r="3553" spans="23:23" x14ac:dyDescent="0.2">
      <c r="W3553" s="50"/>
    </row>
    <row r="3554" spans="23:23" x14ac:dyDescent="0.2">
      <c r="W3554" s="50"/>
    </row>
    <row r="3555" spans="23:23" x14ac:dyDescent="0.2">
      <c r="W3555" s="50"/>
    </row>
    <row r="3556" spans="23:23" x14ac:dyDescent="0.2">
      <c r="W3556" s="50"/>
    </row>
    <row r="3557" spans="23:23" x14ac:dyDescent="0.2">
      <c r="W3557" s="50"/>
    </row>
    <row r="3558" spans="23:23" x14ac:dyDescent="0.2">
      <c r="W3558" s="50"/>
    </row>
    <row r="3559" spans="23:23" x14ac:dyDescent="0.2">
      <c r="W3559" s="50"/>
    </row>
    <row r="3560" spans="23:23" x14ac:dyDescent="0.2">
      <c r="W3560" s="50"/>
    </row>
    <row r="3561" spans="23:23" x14ac:dyDescent="0.2">
      <c r="W3561" s="50"/>
    </row>
    <row r="3562" spans="23:23" x14ac:dyDescent="0.2">
      <c r="W3562" s="50"/>
    </row>
    <row r="3563" spans="23:23" x14ac:dyDescent="0.2">
      <c r="W3563" s="50"/>
    </row>
    <row r="3564" spans="23:23" x14ac:dyDescent="0.2">
      <c r="W3564" s="50"/>
    </row>
    <row r="3565" spans="23:23" x14ac:dyDescent="0.2">
      <c r="W3565" s="50"/>
    </row>
    <row r="3566" spans="23:23" x14ac:dyDescent="0.2">
      <c r="W3566" s="50"/>
    </row>
    <row r="3567" spans="23:23" x14ac:dyDescent="0.2">
      <c r="W3567" s="50"/>
    </row>
    <row r="3568" spans="23:23" x14ac:dyDescent="0.2">
      <c r="W3568" s="50"/>
    </row>
    <row r="3569" spans="23:23" x14ac:dyDescent="0.2">
      <c r="W3569" s="50"/>
    </row>
    <row r="3570" spans="23:23" x14ac:dyDescent="0.2">
      <c r="W3570" s="50"/>
    </row>
    <row r="3571" spans="23:23" x14ac:dyDescent="0.2">
      <c r="W3571" s="50"/>
    </row>
    <row r="3572" spans="23:23" x14ac:dyDescent="0.2">
      <c r="W3572" s="50"/>
    </row>
    <row r="3573" spans="23:23" x14ac:dyDescent="0.2">
      <c r="W3573" s="50"/>
    </row>
    <row r="3574" spans="23:23" x14ac:dyDescent="0.2">
      <c r="W3574" s="50"/>
    </row>
    <row r="3575" spans="23:23" x14ac:dyDescent="0.2">
      <c r="W3575" s="50"/>
    </row>
    <row r="3576" spans="23:23" x14ac:dyDescent="0.2">
      <c r="W3576" s="50"/>
    </row>
    <row r="3577" spans="23:23" x14ac:dyDescent="0.2">
      <c r="W3577" s="50"/>
    </row>
    <row r="3578" spans="23:23" x14ac:dyDescent="0.2">
      <c r="W3578" s="50"/>
    </row>
    <row r="3579" spans="23:23" x14ac:dyDescent="0.2">
      <c r="W3579" s="50"/>
    </row>
    <row r="3580" spans="23:23" x14ac:dyDescent="0.2">
      <c r="W3580" s="50"/>
    </row>
    <row r="3581" spans="23:23" x14ac:dyDescent="0.2">
      <c r="W3581" s="50"/>
    </row>
    <row r="3582" spans="23:23" x14ac:dyDescent="0.2">
      <c r="W3582" s="50"/>
    </row>
    <row r="3583" spans="23:23" x14ac:dyDescent="0.2">
      <c r="W3583" s="50"/>
    </row>
    <row r="3584" spans="23:23" x14ac:dyDescent="0.2">
      <c r="W3584" s="50"/>
    </row>
    <row r="3585" spans="23:23" x14ac:dyDescent="0.2">
      <c r="W3585" s="50"/>
    </row>
    <row r="3586" spans="23:23" x14ac:dyDescent="0.2">
      <c r="W3586" s="50"/>
    </row>
    <row r="3587" spans="23:23" x14ac:dyDescent="0.2">
      <c r="W3587" s="50"/>
    </row>
    <row r="3588" spans="23:23" x14ac:dyDescent="0.2">
      <c r="W3588" s="50"/>
    </row>
    <row r="3589" spans="23:23" x14ac:dyDescent="0.2">
      <c r="W3589" s="50"/>
    </row>
    <row r="3590" spans="23:23" x14ac:dyDescent="0.2">
      <c r="W3590" s="50"/>
    </row>
    <row r="3591" spans="23:23" x14ac:dyDescent="0.2">
      <c r="W3591" s="50"/>
    </row>
    <row r="3592" spans="23:23" x14ac:dyDescent="0.2">
      <c r="W3592" s="50"/>
    </row>
    <row r="3593" spans="23:23" x14ac:dyDescent="0.2">
      <c r="W3593" s="50"/>
    </row>
    <row r="3594" spans="23:23" x14ac:dyDescent="0.2">
      <c r="W3594" s="50"/>
    </row>
    <row r="3595" spans="23:23" x14ac:dyDescent="0.2">
      <c r="W3595" s="50"/>
    </row>
    <row r="3596" spans="23:23" x14ac:dyDescent="0.2">
      <c r="W3596" s="50"/>
    </row>
    <row r="3597" spans="23:23" x14ac:dyDescent="0.2">
      <c r="W3597" s="50"/>
    </row>
    <row r="3598" spans="23:23" x14ac:dyDescent="0.2">
      <c r="W3598" s="50"/>
    </row>
    <row r="3599" spans="23:23" x14ac:dyDescent="0.2">
      <c r="W3599" s="50"/>
    </row>
    <row r="3600" spans="23:23" x14ac:dyDescent="0.2">
      <c r="W3600" s="50"/>
    </row>
    <row r="3601" spans="23:23" x14ac:dyDescent="0.2">
      <c r="W3601" s="50"/>
    </row>
    <row r="3602" spans="23:23" x14ac:dyDescent="0.2">
      <c r="W3602" s="50"/>
    </row>
    <row r="3603" spans="23:23" x14ac:dyDescent="0.2">
      <c r="W3603" s="50"/>
    </row>
    <row r="3604" spans="23:23" x14ac:dyDescent="0.2">
      <c r="W3604" s="50"/>
    </row>
    <row r="3605" spans="23:23" x14ac:dyDescent="0.2">
      <c r="W3605" s="50"/>
    </row>
    <row r="3606" spans="23:23" x14ac:dyDescent="0.2">
      <c r="W3606" s="50"/>
    </row>
    <row r="3607" spans="23:23" x14ac:dyDescent="0.2">
      <c r="W3607" s="50"/>
    </row>
    <row r="3608" spans="23:23" x14ac:dyDescent="0.2">
      <c r="W3608" s="50"/>
    </row>
    <row r="3609" spans="23:23" x14ac:dyDescent="0.2">
      <c r="W3609" s="50"/>
    </row>
    <row r="3610" spans="23:23" x14ac:dyDescent="0.2">
      <c r="W3610" s="50"/>
    </row>
    <row r="3611" spans="23:23" x14ac:dyDescent="0.2">
      <c r="W3611" s="50"/>
    </row>
    <row r="3612" spans="23:23" x14ac:dyDescent="0.2">
      <c r="W3612" s="50"/>
    </row>
    <row r="3613" spans="23:23" x14ac:dyDescent="0.2">
      <c r="W3613" s="50"/>
    </row>
    <row r="3614" spans="23:23" x14ac:dyDescent="0.2">
      <c r="W3614" s="50"/>
    </row>
    <row r="3615" spans="23:23" x14ac:dyDescent="0.2">
      <c r="W3615" s="50"/>
    </row>
    <row r="3616" spans="23:23" x14ac:dyDescent="0.2">
      <c r="W3616" s="50"/>
    </row>
    <row r="3617" spans="23:23" x14ac:dyDescent="0.2">
      <c r="W3617" s="50"/>
    </row>
    <row r="3618" spans="23:23" x14ac:dyDescent="0.2">
      <c r="W3618" s="50"/>
    </row>
    <row r="3619" spans="23:23" x14ac:dyDescent="0.2">
      <c r="W3619" s="50"/>
    </row>
    <row r="3620" spans="23:23" x14ac:dyDescent="0.2">
      <c r="W3620" s="50"/>
    </row>
    <row r="3621" spans="23:23" x14ac:dyDescent="0.2">
      <c r="W3621" s="50"/>
    </row>
    <row r="3622" spans="23:23" x14ac:dyDescent="0.2">
      <c r="W3622" s="50"/>
    </row>
    <row r="3623" spans="23:23" x14ac:dyDescent="0.2">
      <c r="W3623" s="50"/>
    </row>
    <row r="3624" spans="23:23" x14ac:dyDescent="0.2">
      <c r="W3624" s="50"/>
    </row>
    <row r="3625" spans="23:23" x14ac:dyDescent="0.2">
      <c r="W3625" s="50"/>
    </row>
    <row r="3626" spans="23:23" x14ac:dyDescent="0.2">
      <c r="W3626" s="50"/>
    </row>
    <row r="3627" spans="23:23" x14ac:dyDescent="0.2">
      <c r="W3627" s="50"/>
    </row>
    <row r="3628" spans="23:23" x14ac:dyDescent="0.2">
      <c r="W3628" s="50"/>
    </row>
    <row r="3629" spans="23:23" x14ac:dyDescent="0.2">
      <c r="W3629" s="50"/>
    </row>
    <row r="3630" spans="23:23" x14ac:dyDescent="0.2">
      <c r="W3630" s="50"/>
    </row>
    <row r="3631" spans="23:23" x14ac:dyDescent="0.2">
      <c r="W3631" s="50"/>
    </row>
    <row r="3632" spans="23:23" x14ac:dyDescent="0.2">
      <c r="W3632" s="50"/>
    </row>
    <row r="3633" spans="23:23" x14ac:dyDescent="0.2">
      <c r="W3633" s="50"/>
    </row>
    <row r="3634" spans="23:23" x14ac:dyDescent="0.2">
      <c r="W3634" s="50"/>
    </row>
    <row r="3635" spans="23:23" x14ac:dyDescent="0.2">
      <c r="W3635" s="50"/>
    </row>
    <row r="3636" spans="23:23" x14ac:dyDescent="0.2">
      <c r="W3636" s="50"/>
    </row>
    <row r="3637" spans="23:23" x14ac:dyDescent="0.2">
      <c r="W3637" s="50"/>
    </row>
    <row r="3638" spans="23:23" x14ac:dyDescent="0.2">
      <c r="W3638" s="50"/>
    </row>
    <row r="3639" spans="23:23" x14ac:dyDescent="0.2">
      <c r="W3639" s="50"/>
    </row>
    <row r="3640" spans="23:23" x14ac:dyDescent="0.2">
      <c r="W3640" s="50"/>
    </row>
    <row r="3641" spans="23:23" x14ac:dyDescent="0.2">
      <c r="W3641" s="50"/>
    </row>
    <row r="3642" spans="23:23" x14ac:dyDescent="0.2">
      <c r="W3642" s="50"/>
    </row>
    <row r="3643" spans="23:23" x14ac:dyDescent="0.2">
      <c r="W3643" s="50"/>
    </row>
    <row r="3644" spans="23:23" x14ac:dyDescent="0.2">
      <c r="W3644" s="50"/>
    </row>
    <row r="3645" spans="23:23" x14ac:dyDescent="0.2">
      <c r="W3645" s="50"/>
    </row>
    <row r="3646" spans="23:23" x14ac:dyDescent="0.2">
      <c r="W3646" s="50"/>
    </row>
    <row r="3647" spans="23:23" x14ac:dyDescent="0.2">
      <c r="W3647" s="50"/>
    </row>
    <row r="3648" spans="23:23" x14ac:dyDescent="0.2">
      <c r="W3648" s="50"/>
    </row>
    <row r="3649" spans="23:23" x14ac:dyDescent="0.2">
      <c r="W3649" s="50"/>
    </row>
    <row r="3650" spans="23:23" x14ac:dyDescent="0.2">
      <c r="W3650" s="50"/>
    </row>
    <row r="3651" spans="23:23" x14ac:dyDescent="0.2">
      <c r="W3651" s="50"/>
    </row>
    <row r="3652" spans="23:23" x14ac:dyDescent="0.2">
      <c r="W3652" s="50"/>
    </row>
    <row r="3653" spans="23:23" x14ac:dyDescent="0.2">
      <c r="W3653" s="50"/>
    </row>
    <row r="3654" spans="23:23" x14ac:dyDescent="0.2">
      <c r="W3654" s="50"/>
    </row>
    <row r="3655" spans="23:23" x14ac:dyDescent="0.2">
      <c r="W3655" s="50"/>
    </row>
    <row r="3656" spans="23:23" x14ac:dyDescent="0.2">
      <c r="W3656" s="50"/>
    </row>
    <row r="3657" spans="23:23" x14ac:dyDescent="0.2">
      <c r="W3657" s="50"/>
    </row>
    <row r="3658" spans="23:23" x14ac:dyDescent="0.2">
      <c r="W3658" s="50"/>
    </row>
    <row r="3659" spans="23:23" x14ac:dyDescent="0.2">
      <c r="W3659" s="50"/>
    </row>
    <row r="3660" spans="23:23" x14ac:dyDescent="0.2">
      <c r="W3660" s="50"/>
    </row>
    <row r="3661" spans="23:23" x14ac:dyDescent="0.2">
      <c r="W3661" s="50"/>
    </row>
    <row r="3662" spans="23:23" x14ac:dyDescent="0.2">
      <c r="W3662" s="50"/>
    </row>
    <row r="3663" spans="23:23" x14ac:dyDescent="0.2">
      <c r="W3663" s="50"/>
    </row>
    <row r="3664" spans="23:23" x14ac:dyDescent="0.2">
      <c r="W3664" s="50"/>
    </row>
    <row r="3665" spans="23:23" x14ac:dyDescent="0.2">
      <c r="W3665" s="50"/>
    </row>
    <row r="3666" spans="23:23" x14ac:dyDescent="0.2">
      <c r="W3666" s="50"/>
    </row>
    <row r="3667" spans="23:23" x14ac:dyDescent="0.2">
      <c r="W3667" s="50"/>
    </row>
    <row r="3668" spans="23:23" x14ac:dyDescent="0.2">
      <c r="W3668" s="50"/>
    </row>
    <row r="3669" spans="23:23" x14ac:dyDescent="0.2">
      <c r="W3669" s="50"/>
    </row>
    <row r="3670" spans="23:23" x14ac:dyDescent="0.2">
      <c r="W3670" s="50"/>
    </row>
    <row r="3671" spans="23:23" x14ac:dyDescent="0.2">
      <c r="W3671" s="50"/>
    </row>
    <row r="3672" spans="23:23" x14ac:dyDescent="0.2">
      <c r="W3672" s="50"/>
    </row>
    <row r="3673" spans="23:23" x14ac:dyDescent="0.2">
      <c r="W3673" s="50"/>
    </row>
    <row r="3674" spans="23:23" x14ac:dyDescent="0.2">
      <c r="W3674" s="50"/>
    </row>
    <row r="3675" spans="23:23" x14ac:dyDescent="0.2">
      <c r="W3675" s="50"/>
    </row>
    <row r="3676" spans="23:23" x14ac:dyDescent="0.2">
      <c r="W3676" s="50"/>
    </row>
    <row r="3677" spans="23:23" x14ac:dyDescent="0.2">
      <c r="W3677" s="50"/>
    </row>
    <row r="3678" spans="23:23" x14ac:dyDescent="0.2">
      <c r="W3678" s="50"/>
    </row>
    <row r="3679" spans="23:23" x14ac:dyDescent="0.2">
      <c r="W3679" s="50"/>
    </row>
    <row r="3680" spans="23:23" x14ac:dyDescent="0.2">
      <c r="W3680" s="50"/>
    </row>
    <row r="3681" spans="23:23" x14ac:dyDescent="0.2">
      <c r="W3681" s="50"/>
    </row>
    <row r="3682" spans="23:23" x14ac:dyDescent="0.2">
      <c r="W3682" s="50"/>
    </row>
    <row r="3683" spans="23:23" x14ac:dyDescent="0.2">
      <c r="W3683" s="50"/>
    </row>
    <row r="3684" spans="23:23" x14ac:dyDescent="0.2">
      <c r="W3684" s="50"/>
    </row>
    <row r="3685" spans="23:23" x14ac:dyDescent="0.2">
      <c r="W3685" s="50"/>
    </row>
    <row r="3686" spans="23:23" x14ac:dyDescent="0.2">
      <c r="W3686" s="50"/>
    </row>
    <row r="3687" spans="23:23" x14ac:dyDescent="0.2">
      <c r="W3687" s="50"/>
    </row>
    <row r="3688" spans="23:23" x14ac:dyDescent="0.2">
      <c r="W3688" s="50"/>
    </row>
    <row r="3689" spans="23:23" x14ac:dyDescent="0.2">
      <c r="W3689" s="50"/>
    </row>
    <row r="3690" spans="23:23" x14ac:dyDescent="0.2">
      <c r="W3690" s="50"/>
    </row>
    <row r="3691" spans="23:23" x14ac:dyDescent="0.2">
      <c r="W3691" s="50"/>
    </row>
    <row r="3692" spans="23:23" x14ac:dyDescent="0.2">
      <c r="W3692" s="50"/>
    </row>
    <row r="3693" spans="23:23" x14ac:dyDescent="0.2">
      <c r="W3693" s="50"/>
    </row>
    <row r="3694" spans="23:23" x14ac:dyDescent="0.2">
      <c r="W3694" s="50"/>
    </row>
    <row r="3695" spans="23:23" x14ac:dyDescent="0.2">
      <c r="W3695" s="50"/>
    </row>
    <row r="3696" spans="23:23" x14ac:dyDescent="0.2">
      <c r="W3696" s="50"/>
    </row>
    <row r="3697" spans="23:23" x14ac:dyDescent="0.2">
      <c r="W3697" s="50"/>
    </row>
    <row r="3698" spans="23:23" x14ac:dyDescent="0.2">
      <c r="W3698" s="50"/>
    </row>
    <row r="3699" spans="23:23" x14ac:dyDescent="0.2">
      <c r="W3699" s="50"/>
    </row>
    <row r="3700" spans="23:23" x14ac:dyDescent="0.2">
      <c r="W3700" s="50"/>
    </row>
    <row r="3701" spans="23:23" x14ac:dyDescent="0.2">
      <c r="W3701" s="50"/>
    </row>
    <row r="3702" spans="23:23" x14ac:dyDescent="0.2">
      <c r="W3702" s="50"/>
    </row>
    <row r="3703" spans="23:23" x14ac:dyDescent="0.2">
      <c r="W3703" s="50"/>
    </row>
    <row r="3704" spans="23:23" x14ac:dyDescent="0.2">
      <c r="W3704" s="50"/>
    </row>
    <row r="3705" spans="23:23" x14ac:dyDescent="0.2">
      <c r="W3705" s="50"/>
    </row>
    <row r="3706" spans="23:23" x14ac:dyDescent="0.2">
      <c r="W3706" s="50"/>
    </row>
    <row r="3707" spans="23:23" x14ac:dyDescent="0.2">
      <c r="W3707" s="50"/>
    </row>
    <row r="3708" spans="23:23" x14ac:dyDescent="0.2">
      <c r="W3708" s="50"/>
    </row>
    <row r="3709" spans="23:23" x14ac:dyDescent="0.2">
      <c r="W3709" s="50"/>
    </row>
    <row r="3710" spans="23:23" x14ac:dyDescent="0.2">
      <c r="W3710" s="50"/>
    </row>
    <row r="3711" spans="23:23" x14ac:dyDescent="0.2">
      <c r="W3711" s="50"/>
    </row>
    <row r="3712" spans="23:23" x14ac:dyDescent="0.2">
      <c r="W3712" s="50"/>
    </row>
    <row r="3713" spans="23:23" x14ac:dyDescent="0.2">
      <c r="W3713" s="50"/>
    </row>
    <row r="3714" spans="23:23" x14ac:dyDescent="0.2">
      <c r="W3714" s="50"/>
    </row>
    <row r="3715" spans="23:23" x14ac:dyDescent="0.2">
      <c r="W3715" s="50"/>
    </row>
    <row r="3716" spans="23:23" x14ac:dyDescent="0.2">
      <c r="W3716" s="50"/>
    </row>
    <row r="3717" spans="23:23" x14ac:dyDescent="0.2">
      <c r="W3717" s="50"/>
    </row>
    <row r="3718" spans="23:23" x14ac:dyDescent="0.2">
      <c r="W3718" s="50"/>
    </row>
    <row r="3719" spans="23:23" x14ac:dyDescent="0.2">
      <c r="W3719" s="50"/>
    </row>
    <row r="3720" spans="23:23" x14ac:dyDescent="0.2">
      <c r="W3720" s="50"/>
    </row>
    <row r="3721" spans="23:23" x14ac:dyDescent="0.2">
      <c r="W3721" s="50"/>
    </row>
    <row r="3722" spans="23:23" x14ac:dyDescent="0.2">
      <c r="W3722" s="50"/>
    </row>
    <row r="3723" spans="23:23" x14ac:dyDescent="0.2">
      <c r="W3723" s="50"/>
    </row>
    <row r="3724" spans="23:23" x14ac:dyDescent="0.2">
      <c r="W3724" s="50"/>
    </row>
    <row r="3725" spans="23:23" x14ac:dyDescent="0.2">
      <c r="W3725" s="50"/>
    </row>
    <row r="3726" spans="23:23" x14ac:dyDescent="0.2">
      <c r="W3726" s="50"/>
    </row>
    <row r="3727" spans="23:23" x14ac:dyDescent="0.2">
      <c r="W3727" s="50"/>
    </row>
    <row r="3728" spans="23:23" x14ac:dyDescent="0.2">
      <c r="W3728" s="50"/>
    </row>
    <row r="3729" spans="23:23" x14ac:dyDescent="0.2">
      <c r="W3729" s="50"/>
    </row>
    <row r="3730" spans="23:23" x14ac:dyDescent="0.2">
      <c r="W3730" s="50"/>
    </row>
    <row r="3731" spans="23:23" x14ac:dyDescent="0.2">
      <c r="W3731" s="50"/>
    </row>
    <row r="3732" spans="23:23" x14ac:dyDescent="0.2">
      <c r="W3732" s="50"/>
    </row>
    <row r="3733" spans="23:23" x14ac:dyDescent="0.2">
      <c r="W3733" s="50"/>
    </row>
    <row r="3734" spans="23:23" x14ac:dyDescent="0.2">
      <c r="W3734" s="50"/>
    </row>
    <row r="3735" spans="23:23" x14ac:dyDescent="0.2">
      <c r="W3735" s="50"/>
    </row>
    <row r="3736" spans="23:23" x14ac:dyDescent="0.2">
      <c r="W3736" s="50"/>
    </row>
    <row r="3737" spans="23:23" x14ac:dyDescent="0.2">
      <c r="W3737" s="50"/>
    </row>
    <row r="3738" spans="23:23" x14ac:dyDescent="0.2">
      <c r="W3738" s="50"/>
    </row>
    <row r="3739" spans="23:23" x14ac:dyDescent="0.2">
      <c r="W3739" s="50"/>
    </row>
    <row r="3740" spans="23:23" x14ac:dyDescent="0.2">
      <c r="W3740" s="50"/>
    </row>
    <row r="3741" spans="23:23" x14ac:dyDescent="0.2">
      <c r="W3741" s="50"/>
    </row>
    <row r="3742" spans="23:23" x14ac:dyDescent="0.2">
      <c r="W3742" s="50"/>
    </row>
    <row r="3743" spans="23:23" x14ac:dyDescent="0.2">
      <c r="W3743" s="50"/>
    </row>
    <row r="3744" spans="23:23" x14ac:dyDescent="0.2">
      <c r="W3744" s="50"/>
    </row>
    <row r="3745" spans="23:23" x14ac:dyDescent="0.2">
      <c r="W3745" s="50"/>
    </row>
    <row r="3746" spans="23:23" x14ac:dyDescent="0.2">
      <c r="W3746" s="50"/>
    </row>
    <row r="3747" spans="23:23" x14ac:dyDescent="0.2">
      <c r="W3747" s="50"/>
    </row>
    <row r="3748" spans="23:23" x14ac:dyDescent="0.2">
      <c r="W3748" s="50"/>
    </row>
    <row r="3749" spans="23:23" x14ac:dyDescent="0.2">
      <c r="W3749" s="50"/>
    </row>
    <row r="3750" spans="23:23" x14ac:dyDescent="0.2">
      <c r="W3750" s="50"/>
    </row>
    <row r="3751" spans="23:23" x14ac:dyDescent="0.2">
      <c r="W3751" s="50"/>
    </row>
    <row r="3752" spans="23:23" x14ac:dyDescent="0.2">
      <c r="W3752" s="50"/>
    </row>
    <row r="3753" spans="23:23" x14ac:dyDescent="0.2">
      <c r="W3753" s="50"/>
    </row>
    <row r="3754" spans="23:23" x14ac:dyDescent="0.2">
      <c r="W3754" s="50"/>
    </row>
    <row r="3755" spans="23:23" x14ac:dyDescent="0.2">
      <c r="W3755" s="50"/>
    </row>
    <row r="3756" spans="23:23" x14ac:dyDescent="0.2">
      <c r="W3756" s="50"/>
    </row>
    <row r="3757" spans="23:23" x14ac:dyDescent="0.2">
      <c r="W3757" s="50"/>
    </row>
    <row r="3758" spans="23:23" x14ac:dyDescent="0.2">
      <c r="W3758" s="50"/>
    </row>
    <row r="3759" spans="23:23" x14ac:dyDescent="0.2">
      <c r="W3759" s="50"/>
    </row>
    <row r="3760" spans="23:23" x14ac:dyDescent="0.2">
      <c r="W3760" s="50"/>
    </row>
    <row r="3761" spans="23:23" x14ac:dyDescent="0.2">
      <c r="W3761" s="50"/>
    </row>
    <row r="3762" spans="23:23" x14ac:dyDescent="0.2">
      <c r="W3762" s="50"/>
    </row>
    <row r="3763" spans="23:23" x14ac:dyDescent="0.2">
      <c r="W3763" s="50"/>
    </row>
    <row r="3764" spans="23:23" x14ac:dyDescent="0.2">
      <c r="W3764" s="50"/>
    </row>
    <row r="3765" spans="23:23" x14ac:dyDescent="0.2">
      <c r="W3765" s="50"/>
    </row>
    <row r="3766" spans="23:23" x14ac:dyDescent="0.2">
      <c r="W3766" s="50"/>
    </row>
    <row r="3767" spans="23:23" x14ac:dyDescent="0.2">
      <c r="W3767" s="50"/>
    </row>
    <row r="3768" spans="23:23" x14ac:dyDescent="0.2">
      <c r="W3768" s="50"/>
    </row>
    <row r="3769" spans="23:23" x14ac:dyDescent="0.2">
      <c r="W3769" s="50"/>
    </row>
    <row r="3770" spans="23:23" x14ac:dyDescent="0.2">
      <c r="W3770" s="50"/>
    </row>
    <row r="3771" spans="23:23" x14ac:dyDescent="0.2">
      <c r="W3771" s="50"/>
    </row>
    <row r="3772" spans="23:23" x14ac:dyDescent="0.2">
      <c r="W3772" s="50"/>
    </row>
    <row r="3773" spans="23:23" x14ac:dyDescent="0.2">
      <c r="W3773" s="50"/>
    </row>
    <row r="3774" spans="23:23" x14ac:dyDescent="0.2">
      <c r="W3774" s="50"/>
    </row>
    <row r="3775" spans="23:23" x14ac:dyDescent="0.2">
      <c r="W3775" s="50"/>
    </row>
    <row r="3776" spans="23:23" x14ac:dyDescent="0.2">
      <c r="W3776" s="50"/>
    </row>
    <row r="3777" spans="23:23" x14ac:dyDescent="0.2">
      <c r="W3777" s="50"/>
    </row>
    <row r="3778" spans="23:23" x14ac:dyDescent="0.2">
      <c r="W3778" s="50"/>
    </row>
    <row r="3779" spans="23:23" x14ac:dyDescent="0.2">
      <c r="W3779" s="50"/>
    </row>
    <row r="3780" spans="23:23" x14ac:dyDescent="0.2">
      <c r="W3780" s="50"/>
    </row>
    <row r="3781" spans="23:23" x14ac:dyDescent="0.2">
      <c r="W3781" s="50"/>
    </row>
    <row r="3782" spans="23:23" x14ac:dyDescent="0.2">
      <c r="W3782" s="50"/>
    </row>
    <row r="3783" spans="23:23" x14ac:dyDescent="0.2">
      <c r="W3783" s="50"/>
    </row>
    <row r="3784" spans="23:23" x14ac:dyDescent="0.2">
      <c r="W3784" s="50"/>
    </row>
    <row r="3785" spans="23:23" x14ac:dyDescent="0.2">
      <c r="W3785" s="50"/>
    </row>
    <row r="3786" spans="23:23" x14ac:dyDescent="0.2">
      <c r="W3786" s="50"/>
    </row>
    <row r="3787" spans="23:23" x14ac:dyDescent="0.2">
      <c r="W3787" s="50"/>
    </row>
    <row r="3788" spans="23:23" x14ac:dyDescent="0.2">
      <c r="W3788" s="50"/>
    </row>
    <row r="3789" spans="23:23" x14ac:dyDescent="0.2">
      <c r="W3789" s="50"/>
    </row>
    <row r="3790" spans="23:23" x14ac:dyDescent="0.2">
      <c r="W3790" s="50"/>
    </row>
    <row r="3791" spans="23:23" x14ac:dyDescent="0.2">
      <c r="W3791" s="50"/>
    </row>
    <row r="3792" spans="23:23" x14ac:dyDescent="0.2">
      <c r="W3792" s="50"/>
    </row>
    <row r="3793" spans="23:23" x14ac:dyDescent="0.2">
      <c r="W3793" s="50"/>
    </row>
    <row r="3794" spans="23:23" x14ac:dyDescent="0.2">
      <c r="W3794" s="50"/>
    </row>
    <row r="3795" spans="23:23" x14ac:dyDescent="0.2">
      <c r="W3795" s="50"/>
    </row>
    <row r="3796" spans="23:23" x14ac:dyDescent="0.2">
      <c r="W3796" s="50"/>
    </row>
    <row r="3797" spans="23:23" x14ac:dyDescent="0.2">
      <c r="W3797" s="50"/>
    </row>
    <row r="3798" spans="23:23" x14ac:dyDescent="0.2">
      <c r="W3798" s="50"/>
    </row>
    <row r="3799" spans="23:23" x14ac:dyDescent="0.2">
      <c r="W3799" s="50"/>
    </row>
    <row r="3800" spans="23:23" x14ac:dyDescent="0.2">
      <c r="W3800" s="50"/>
    </row>
    <row r="3801" spans="23:23" x14ac:dyDescent="0.2">
      <c r="W3801" s="50"/>
    </row>
    <row r="3802" spans="23:23" x14ac:dyDescent="0.2">
      <c r="W3802" s="50"/>
    </row>
    <row r="3803" spans="23:23" x14ac:dyDescent="0.2">
      <c r="W3803" s="50"/>
    </row>
    <row r="3804" spans="23:23" x14ac:dyDescent="0.2">
      <c r="W3804" s="50"/>
    </row>
    <row r="3805" spans="23:23" x14ac:dyDescent="0.2">
      <c r="W3805" s="50"/>
    </row>
    <row r="3806" spans="23:23" x14ac:dyDescent="0.2">
      <c r="W3806" s="50"/>
    </row>
    <row r="3807" spans="23:23" x14ac:dyDescent="0.2">
      <c r="W3807" s="50"/>
    </row>
    <row r="3808" spans="23:23" x14ac:dyDescent="0.2">
      <c r="W3808" s="50"/>
    </row>
    <row r="3809" spans="23:23" x14ac:dyDescent="0.2">
      <c r="W3809" s="50"/>
    </row>
    <row r="3810" spans="23:23" x14ac:dyDescent="0.2">
      <c r="W3810" s="50"/>
    </row>
    <row r="3811" spans="23:23" x14ac:dyDescent="0.2">
      <c r="W3811" s="50"/>
    </row>
    <row r="3812" spans="23:23" x14ac:dyDescent="0.2">
      <c r="W3812" s="50"/>
    </row>
    <row r="3813" spans="23:23" x14ac:dyDescent="0.2">
      <c r="W3813" s="50"/>
    </row>
    <row r="3814" spans="23:23" x14ac:dyDescent="0.2">
      <c r="W3814" s="50"/>
    </row>
    <row r="3815" spans="23:23" x14ac:dyDescent="0.2">
      <c r="W3815" s="50"/>
    </row>
    <row r="3816" spans="23:23" x14ac:dyDescent="0.2">
      <c r="W3816" s="50"/>
    </row>
    <row r="3817" spans="23:23" x14ac:dyDescent="0.2">
      <c r="W3817" s="50"/>
    </row>
    <row r="3818" spans="23:23" x14ac:dyDescent="0.2">
      <c r="W3818" s="50"/>
    </row>
    <row r="3819" spans="23:23" x14ac:dyDescent="0.2">
      <c r="W3819" s="50"/>
    </row>
    <row r="3820" spans="23:23" x14ac:dyDescent="0.2">
      <c r="W3820" s="50"/>
    </row>
    <row r="3821" spans="23:23" x14ac:dyDescent="0.2">
      <c r="W3821" s="50"/>
    </row>
    <row r="3822" spans="23:23" x14ac:dyDescent="0.2">
      <c r="W3822" s="50"/>
    </row>
    <row r="3823" spans="23:23" x14ac:dyDescent="0.2">
      <c r="W3823" s="50"/>
    </row>
    <row r="3824" spans="23:23" x14ac:dyDescent="0.2">
      <c r="W3824" s="50"/>
    </row>
    <row r="3825" spans="23:23" x14ac:dyDescent="0.2">
      <c r="W3825" s="50"/>
    </row>
    <row r="3826" spans="23:23" x14ac:dyDescent="0.2">
      <c r="W3826" s="50"/>
    </row>
    <row r="3827" spans="23:23" x14ac:dyDescent="0.2">
      <c r="W3827" s="50"/>
    </row>
    <row r="3828" spans="23:23" x14ac:dyDescent="0.2">
      <c r="W3828" s="50"/>
    </row>
    <row r="3829" spans="23:23" x14ac:dyDescent="0.2">
      <c r="W3829" s="50"/>
    </row>
    <row r="3830" spans="23:23" x14ac:dyDescent="0.2">
      <c r="W3830" s="50"/>
    </row>
    <row r="3831" spans="23:23" x14ac:dyDescent="0.2">
      <c r="W3831" s="50"/>
    </row>
    <row r="3832" spans="23:23" x14ac:dyDescent="0.2">
      <c r="W3832" s="50"/>
    </row>
    <row r="3833" spans="23:23" x14ac:dyDescent="0.2">
      <c r="W3833" s="50"/>
    </row>
    <row r="3834" spans="23:23" x14ac:dyDescent="0.2">
      <c r="W3834" s="50"/>
    </row>
    <row r="3835" spans="23:23" x14ac:dyDescent="0.2">
      <c r="W3835" s="50"/>
    </row>
    <row r="3836" spans="23:23" x14ac:dyDescent="0.2">
      <c r="W3836" s="50"/>
    </row>
    <row r="3837" spans="23:23" x14ac:dyDescent="0.2">
      <c r="W3837" s="50"/>
    </row>
    <row r="3838" spans="23:23" x14ac:dyDescent="0.2">
      <c r="W3838" s="50"/>
    </row>
    <row r="3839" spans="23:23" x14ac:dyDescent="0.2">
      <c r="W3839" s="50"/>
    </row>
    <row r="3840" spans="23:23" x14ac:dyDescent="0.2">
      <c r="W3840" s="50"/>
    </row>
    <row r="3841" spans="23:23" x14ac:dyDescent="0.2">
      <c r="W3841" s="50"/>
    </row>
    <row r="3842" spans="23:23" x14ac:dyDescent="0.2">
      <c r="W3842" s="50"/>
    </row>
    <row r="3843" spans="23:23" x14ac:dyDescent="0.2">
      <c r="W3843" s="50"/>
    </row>
    <row r="3844" spans="23:23" x14ac:dyDescent="0.2">
      <c r="W3844" s="50"/>
    </row>
    <row r="3845" spans="23:23" x14ac:dyDescent="0.2">
      <c r="W3845" s="50"/>
    </row>
    <row r="3846" spans="23:23" x14ac:dyDescent="0.2">
      <c r="W3846" s="50"/>
    </row>
    <row r="3847" spans="23:23" x14ac:dyDescent="0.2">
      <c r="W3847" s="50"/>
    </row>
    <row r="3848" spans="23:23" x14ac:dyDescent="0.2">
      <c r="W3848" s="50"/>
    </row>
    <row r="3849" spans="23:23" x14ac:dyDescent="0.2">
      <c r="W3849" s="50"/>
    </row>
    <row r="3850" spans="23:23" x14ac:dyDescent="0.2">
      <c r="W3850" s="50"/>
    </row>
    <row r="3851" spans="23:23" x14ac:dyDescent="0.2">
      <c r="W3851" s="50"/>
    </row>
    <row r="3852" spans="23:23" x14ac:dyDescent="0.2">
      <c r="W3852" s="50"/>
    </row>
    <row r="3853" spans="23:23" x14ac:dyDescent="0.2">
      <c r="W3853" s="50"/>
    </row>
    <row r="3854" spans="23:23" x14ac:dyDescent="0.2">
      <c r="W3854" s="50"/>
    </row>
    <row r="3855" spans="23:23" x14ac:dyDescent="0.2">
      <c r="W3855" s="50"/>
    </row>
    <row r="3856" spans="23:23" x14ac:dyDescent="0.2">
      <c r="W3856" s="50"/>
    </row>
    <row r="3857" spans="23:23" x14ac:dyDescent="0.2">
      <c r="W3857" s="50"/>
    </row>
    <row r="3858" spans="23:23" x14ac:dyDescent="0.2">
      <c r="W3858" s="50"/>
    </row>
    <row r="3859" spans="23:23" x14ac:dyDescent="0.2">
      <c r="W3859" s="50"/>
    </row>
    <row r="3860" spans="23:23" x14ac:dyDescent="0.2">
      <c r="W3860" s="50"/>
    </row>
    <row r="3861" spans="23:23" x14ac:dyDescent="0.2">
      <c r="W3861" s="50"/>
    </row>
    <row r="3862" spans="23:23" x14ac:dyDescent="0.2">
      <c r="W3862" s="50"/>
    </row>
    <row r="3863" spans="23:23" x14ac:dyDescent="0.2">
      <c r="W3863" s="50"/>
    </row>
    <row r="3864" spans="23:23" x14ac:dyDescent="0.2">
      <c r="W3864" s="50"/>
    </row>
    <row r="3865" spans="23:23" x14ac:dyDescent="0.2">
      <c r="W3865" s="50"/>
    </row>
    <row r="3866" spans="23:23" x14ac:dyDescent="0.2">
      <c r="W3866" s="50"/>
    </row>
    <row r="3867" spans="23:23" x14ac:dyDescent="0.2">
      <c r="W3867" s="50"/>
    </row>
    <row r="3868" spans="23:23" x14ac:dyDescent="0.2">
      <c r="W3868" s="50"/>
    </row>
    <row r="3869" spans="23:23" x14ac:dyDescent="0.2">
      <c r="W3869" s="50"/>
    </row>
    <row r="3870" spans="23:23" x14ac:dyDescent="0.2">
      <c r="W3870" s="50"/>
    </row>
    <row r="3871" spans="23:23" x14ac:dyDescent="0.2">
      <c r="W3871" s="50"/>
    </row>
    <row r="3872" spans="23:23" x14ac:dyDescent="0.2">
      <c r="W3872" s="50"/>
    </row>
    <row r="3873" spans="23:23" x14ac:dyDescent="0.2">
      <c r="W3873" s="50"/>
    </row>
    <row r="3874" spans="23:23" x14ac:dyDescent="0.2">
      <c r="W3874" s="50"/>
    </row>
    <row r="3875" spans="23:23" x14ac:dyDescent="0.2">
      <c r="W3875" s="50"/>
    </row>
    <row r="3876" spans="23:23" x14ac:dyDescent="0.2">
      <c r="W3876" s="50"/>
    </row>
    <row r="3877" spans="23:23" x14ac:dyDescent="0.2">
      <c r="W3877" s="50"/>
    </row>
    <row r="3878" spans="23:23" x14ac:dyDescent="0.2">
      <c r="W3878" s="50"/>
    </row>
    <row r="3879" spans="23:23" x14ac:dyDescent="0.2">
      <c r="W3879" s="50"/>
    </row>
    <row r="3880" spans="23:23" x14ac:dyDescent="0.2">
      <c r="W3880" s="50"/>
    </row>
    <row r="3881" spans="23:23" x14ac:dyDescent="0.2">
      <c r="W3881" s="50"/>
    </row>
    <row r="3882" spans="23:23" x14ac:dyDescent="0.2">
      <c r="W3882" s="50"/>
    </row>
    <row r="3883" spans="23:23" x14ac:dyDescent="0.2">
      <c r="W3883" s="50"/>
    </row>
    <row r="3884" spans="23:23" x14ac:dyDescent="0.2">
      <c r="W3884" s="50"/>
    </row>
    <row r="3885" spans="23:23" x14ac:dyDescent="0.2">
      <c r="W3885" s="50"/>
    </row>
    <row r="3886" spans="23:23" x14ac:dyDescent="0.2">
      <c r="W3886" s="50"/>
    </row>
    <row r="3887" spans="23:23" x14ac:dyDescent="0.2">
      <c r="W3887" s="50"/>
    </row>
    <row r="3888" spans="23:23" x14ac:dyDescent="0.2">
      <c r="W3888" s="50"/>
    </row>
    <row r="3889" spans="23:23" x14ac:dyDescent="0.2">
      <c r="W3889" s="50"/>
    </row>
    <row r="3890" spans="23:23" x14ac:dyDescent="0.2">
      <c r="W3890" s="50"/>
    </row>
    <row r="3891" spans="23:23" x14ac:dyDescent="0.2">
      <c r="W3891" s="50"/>
    </row>
    <row r="3892" spans="23:23" x14ac:dyDescent="0.2">
      <c r="W3892" s="50"/>
    </row>
    <row r="3893" spans="23:23" x14ac:dyDescent="0.2">
      <c r="W3893" s="50"/>
    </row>
    <row r="3894" spans="23:23" x14ac:dyDescent="0.2">
      <c r="W3894" s="50"/>
    </row>
    <row r="3895" spans="23:23" x14ac:dyDescent="0.2">
      <c r="W3895" s="50"/>
    </row>
    <row r="3896" spans="23:23" x14ac:dyDescent="0.2">
      <c r="W3896" s="50"/>
    </row>
    <row r="3897" spans="23:23" x14ac:dyDescent="0.2">
      <c r="W3897" s="50"/>
    </row>
    <row r="3898" spans="23:23" x14ac:dyDescent="0.2">
      <c r="W3898" s="50"/>
    </row>
    <row r="3899" spans="23:23" x14ac:dyDescent="0.2">
      <c r="W3899" s="50"/>
    </row>
    <row r="3900" spans="23:23" x14ac:dyDescent="0.2">
      <c r="W3900" s="50"/>
    </row>
    <row r="3901" spans="23:23" x14ac:dyDescent="0.2">
      <c r="W3901" s="50"/>
    </row>
    <row r="3902" spans="23:23" x14ac:dyDescent="0.2">
      <c r="W3902" s="50"/>
    </row>
    <row r="3903" spans="23:23" x14ac:dyDescent="0.2">
      <c r="W3903" s="50"/>
    </row>
    <row r="3904" spans="23:23" x14ac:dyDescent="0.2">
      <c r="W3904" s="50"/>
    </row>
    <row r="3905" spans="23:23" x14ac:dyDescent="0.2">
      <c r="W3905" s="50"/>
    </row>
    <row r="3906" spans="23:23" x14ac:dyDescent="0.2">
      <c r="W3906" s="50"/>
    </row>
    <row r="3907" spans="23:23" x14ac:dyDescent="0.2">
      <c r="W3907" s="50"/>
    </row>
    <row r="3908" spans="23:23" x14ac:dyDescent="0.2">
      <c r="W3908" s="50"/>
    </row>
    <row r="3909" spans="23:23" x14ac:dyDescent="0.2">
      <c r="W3909" s="50"/>
    </row>
    <row r="3910" spans="23:23" x14ac:dyDescent="0.2">
      <c r="W3910" s="50"/>
    </row>
    <row r="3911" spans="23:23" x14ac:dyDescent="0.2">
      <c r="W3911" s="50"/>
    </row>
    <row r="3912" spans="23:23" x14ac:dyDescent="0.2">
      <c r="W3912" s="50"/>
    </row>
    <row r="3913" spans="23:23" x14ac:dyDescent="0.2">
      <c r="W3913" s="50"/>
    </row>
    <row r="3914" spans="23:23" x14ac:dyDescent="0.2">
      <c r="W3914" s="50"/>
    </row>
    <row r="3915" spans="23:23" x14ac:dyDescent="0.2">
      <c r="W3915" s="50"/>
    </row>
    <row r="3916" spans="23:23" x14ac:dyDescent="0.2">
      <c r="W3916" s="50"/>
    </row>
    <row r="3917" spans="23:23" x14ac:dyDescent="0.2">
      <c r="W3917" s="50"/>
    </row>
    <row r="3918" spans="23:23" x14ac:dyDescent="0.2">
      <c r="W3918" s="50"/>
    </row>
    <row r="3919" spans="23:23" x14ac:dyDescent="0.2">
      <c r="W3919" s="50"/>
    </row>
    <row r="3920" spans="23:23" x14ac:dyDescent="0.2">
      <c r="W3920" s="50"/>
    </row>
    <row r="3921" spans="23:23" x14ac:dyDescent="0.2">
      <c r="W3921" s="50"/>
    </row>
    <row r="3922" spans="23:23" x14ac:dyDescent="0.2">
      <c r="W3922" s="50"/>
    </row>
    <row r="3923" spans="23:23" x14ac:dyDescent="0.2">
      <c r="W3923" s="50"/>
    </row>
    <row r="3924" spans="23:23" x14ac:dyDescent="0.2">
      <c r="W3924" s="50"/>
    </row>
    <row r="3925" spans="23:23" x14ac:dyDescent="0.2">
      <c r="W3925" s="50"/>
    </row>
    <row r="3926" spans="23:23" x14ac:dyDescent="0.2">
      <c r="W3926" s="50"/>
    </row>
    <row r="3927" spans="23:23" x14ac:dyDescent="0.2">
      <c r="W3927" s="50"/>
    </row>
    <row r="3928" spans="23:23" x14ac:dyDescent="0.2">
      <c r="W3928" s="50"/>
    </row>
    <row r="3929" spans="23:23" x14ac:dyDescent="0.2">
      <c r="W3929" s="50"/>
    </row>
    <row r="3930" spans="23:23" x14ac:dyDescent="0.2">
      <c r="W3930" s="50"/>
    </row>
    <row r="3931" spans="23:23" x14ac:dyDescent="0.2">
      <c r="W3931" s="50"/>
    </row>
    <row r="3932" spans="23:23" x14ac:dyDescent="0.2">
      <c r="W3932" s="50"/>
    </row>
    <row r="3933" spans="23:23" x14ac:dyDescent="0.2">
      <c r="W3933" s="50"/>
    </row>
    <row r="3934" spans="23:23" x14ac:dyDescent="0.2">
      <c r="W3934" s="50"/>
    </row>
    <row r="3935" spans="23:23" x14ac:dyDescent="0.2">
      <c r="W3935" s="50"/>
    </row>
    <row r="3936" spans="23:23" x14ac:dyDescent="0.2">
      <c r="W3936" s="50"/>
    </row>
    <row r="3937" spans="23:23" x14ac:dyDescent="0.2">
      <c r="W3937" s="50"/>
    </row>
    <row r="3938" spans="23:23" x14ac:dyDescent="0.2">
      <c r="W3938" s="50"/>
    </row>
    <row r="3939" spans="23:23" x14ac:dyDescent="0.2">
      <c r="W3939" s="50"/>
    </row>
    <row r="3940" spans="23:23" x14ac:dyDescent="0.2">
      <c r="W3940" s="50"/>
    </row>
    <row r="3941" spans="23:23" x14ac:dyDescent="0.2">
      <c r="W3941" s="50"/>
    </row>
    <row r="3942" spans="23:23" x14ac:dyDescent="0.2">
      <c r="W3942" s="50"/>
    </row>
    <row r="3943" spans="23:23" x14ac:dyDescent="0.2">
      <c r="W3943" s="50"/>
    </row>
    <row r="3944" spans="23:23" x14ac:dyDescent="0.2">
      <c r="W3944" s="50"/>
    </row>
    <row r="3945" spans="23:23" x14ac:dyDescent="0.2">
      <c r="W3945" s="50"/>
    </row>
    <row r="3946" spans="23:23" x14ac:dyDescent="0.2">
      <c r="W3946" s="50"/>
    </row>
    <row r="3947" spans="23:23" x14ac:dyDescent="0.2">
      <c r="W3947" s="50"/>
    </row>
    <row r="3948" spans="23:23" x14ac:dyDescent="0.2">
      <c r="W3948" s="50"/>
    </row>
    <row r="3949" spans="23:23" x14ac:dyDescent="0.2">
      <c r="W3949" s="50"/>
    </row>
    <row r="3950" spans="23:23" x14ac:dyDescent="0.2">
      <c r="W3950" s="50"/>
    </row>
    <row r="3951" spans="23:23" x14ac:dyDescent="0.2">
      <c r="W3951" s="50"/>
    </row>
    <row r="3952" spans="23:23" x14ac:dyDescent="0.2">
      <c r="W3952" s="50"/>
    </row>
    <row r="3953" spans="23:23" x14ac:dyDescent="0.2">
      <c r="W3953" s="50"/>
    </row>
    <row r="3954" spans="23:23" x14ac:dyDescent="0.2">
      <c r="W3954" s="50"/>
    </row>
    <row r="3955" spans="23:23" x14ac:dyDescent="0.2">
      <c r="W3955" s="50"/>
    </row>
    <row r="3956" spans="23:23" x14ac:dyDescent="0.2">
      <c r="W3956" s="50"/>
    </row>
    <row r="3957" spans="23:23" x14ac:dyDescent="0.2">
      <c r="W3957" s="50"/>
    </row>
    <row r="3958" spans="23:23" x14ac:dyDescent="0.2">
      <c r="W3958" s="50"/>
    </row>
    <row r="3959" spans="23:23" x14ac:dyDescent="0.2">
      <c r="W3959" s="50"/>
    </row>
    <row r="3960" spans="23:23" x14ac:dyDescent="0.2">
      <c r="W3960" s="50"/>
    </row>
    <row r="3961" spans="23:23" x14ac:dyDescent="0.2">
      <c r="W3961" s="50"/>
    </row>
    <row r="3962" spans="23:23" x14ac:dyDescent="0.2">
      <c r="W3962" s="50"/>
    </row>
    <row r="3963" spans="23:23" x14ac:dyDescent="0.2">
      <c r="W3963" s="50"/>
    </row>
    <row r="3964" spans="23:23" x14ac:dyDescent="0.2">
      <c r="W3964" s="50"/>
    </row>
    <row r="3965" spans="23:23" x14ac:dyDescent="0.2">
      <c r="W3965" s="50"/>
    </row>
    <row r="3966" spans="23:23" x14ac:dyDescent="0.2">
      <c r="W3966" s="50"/>
    </row>
    <row r="3967" spans="23:23" x14ac:dyDescent="0.2">
      <c r="W3967" s="50"/>
    </row>
    <row r="3968" spans="23:23" x14ac:dyDescent="0.2">
      <c r="W3968" s="50"/>
    </row>
    <row r="3969" spans="23:23" x14ac:dyDescent="0.2">
      <c r="W3969" s="50"/>
    </row>
    <row r="3970" spans="23:23" x14ac:dyDescent="0.2">
      <c r="W3970" s="50"/>
    </row>
    <row r="3971" spans="23:23" x14ac:dyDescent="0.2">
      <c r="W3971" s="50"/>
    </row>
    <row r="3972" spans="23:23" x14ac:dyDescent="0.2">
      <c r="W3972" s="50"/>
    </row>
    <row r="3973" spans="23:23" x14ac:dyDescent="0.2">
      <c r="W3973" s="50"/>
    </row>
    <row r="3974" spans="23:23" x14ac:dyDescent="0.2">
      <c r="W3974" s="50"/>
    </row>
    <row r="3975" spans="23:23" x14ac:dyDescent="0.2">
      <c r="W3975" s="50"/>
    </row>
    <row r="3976" spans="23:23" x14ac:dyDescent="0.2">
      <c r="W3976" s="50"/>
    </row>
    <row r="3977" spans="23:23" x14ac:dyDescent="0.2">
      <c r="W3977" s="50"/>
    </row>
    <row r="3978" spans="23:23" x14ac:dyDescent="0.2">
      <c r="W3978" s="50"/>
    </row>
    <row r="3979" spans="23:23" x14ac:dyDescent="0.2">
      <c r="W3979" s="50"/>
    </row>
    <row r="3980" spans="23:23" x14ac:dyDescent="0.2">
      <c r="W3980" s="50"/>
    </row>
    <row r="3981" spans="23:23" x14ac:dyDescent="0.2">
      <c r="W3981" s="50"/>
    </row>
    <row r="3982" spans="23:23" x14ac:dyDescent="0.2">
      <c r="W3982" s="50"/>
    </row>
    <row r="3983" spans="23:23" x14ac:dyDescent="0.2">
      <c r="W3983" s="50"/>
    </row>
    <row r="3984" spans="23:23" x14ac:dyDescent="0.2">
      <c r="W3984" s="50"/>
    </row>
    <row r="3985" spans="23:23" x14ac:dyDescent="0.2">
      <c r="W3985" s="50"/>
    </row>
    <row r="3986" spans="23:23" x14ac:dyDescent="0.2">
      <c r="W3986" s="50"/>
    </row>
    <row r="3987" spans="23:23" x14ac:dyDescent="0.2">
      <c r="W3987" s="50"/>
    </row>
    <row r="3988" spans="23:23" x14ac:dyDescent="0.2">
      <c r="W3988" s="50"/>
    </row>
    <row r="3989" spans="23:23" x14ac:dyDescent="0.2">
      <c r="W3989" s="50"/>
    </row>
    <row r="3990" spans="23:23" x14ac:dyDescent="0.2">
      <c r="W3990" s="50"/>
    </row>
    <row r="3991" spans="23:23" x14ac:dyDescent="0.2">
      <c r="W3991" s="50"/>
    </row>
    <row r="3992" spans="23:23" x14ac:dyDescent="0.2">
      <c r="W3992" s="50"/>
    </row>
    <row r="3993" spans="23:23" x14ac:dyDescent="0.2">
      <c r="W3993" s="50"/>
    </row>
    <row r="3994" spans="23:23" x14ac:dyDescent="0.2">
      <c r="W3994" s="50"/>
    </row>
    <row r="3995" spans="23:23" x14ac:dyDescent="0.2">
      <c r="W3995" s="50"/>
    </row>
    <row r="3996" spans="23:23" x14ac:dyDescent="0.2">
      <c r="W3996" s="50"/>
    </row>
    <row r="3997" spans="23:23" x14ac:dyDescent="0.2">
      <c r="W3997" s="50"/>
    </row>
    <row r="3998" spans="23:23" x14ac:dyDescent="0.2">
      <c r="W3998" s="50"/>
    </row>
    <row r="3999" spans="23:23" x14ac:dyDescent="0.2">
      <c r="W3999" s="50"/>
    </row>
    <row r="4000" spans="23:23" x14ac:dyDescent="0.2">
      <c r="W4000" s="50"/>
    </row>
    <row r="4001" spans="23:23" x14ac:dyDescent="0.2">
      <c r="W4001" s="50"/>
    </row>
    <row r="4002" spans="23:23" x14ac:dyDescent="0.2">
      <c r="W4002" s="50"/>
    </row>
    <row r="4003" spans="23:23" x14ac:dyDescent="0.2">
      <c r="W4003" s="50"/>
    </row>
    <row r="4004" spans="23:23" x14ac:dyDescent="0.2">
      <c r="W4004" s="50"/>
    </row>
    <row r="4005" spans="23:23" x14ac:dyDescent="0.2">
      <c r="W4005" s="50"/>
    </row>
    <row r="4006" spans="23:23" x14ac:dyDescent="0.2">
      <c r="W4006" s="50"/>
    </row>
    <row r="4007" spans="23:23" x14ac:dyDescent="0.2">
      <c r="W4007" s="50"/>
    </row>
    <row r="4008" spans="23:23" x14ac:dyDescent="0.2">
      <c r="W4008" s="50"/>
    </row>
    <row r="4009" spans="23:23" x14ac:dyDescent="0.2">
      <c r="W4009" s="50"/>
    </row>
    <row r="4010" spans="23:23" x14ac:dyDescent="0.2">
      <c r="W4010" s="50"/>
    </row>
    <row r="4011" spans="23:23" x14ac:dyDescent="0.2">
      <c r="W4011" s="50"/>
    </row>
    <row r="4012" spans="23:23" x14ac:dyDescent="0.2">
      <c r="W4012" s="50"/>
    </row>
    <row r="4013" spans="23:23" x14ac:dyDescent="0.2">
      <c r="W4013" s="50"/>
    </row>
    <row r="4014" spans="23:23" x14ac:dyDescent="0.2">
      <c r="W4014" s="50"/>
    </row>
    <row r="4015" spans="23:23" x14ac:dyDescent="0.2">
      <c r="W4015" s="50"/>
    </row>
    <row r="4016" spans="23:23" x14ac:dyDescent="0.2">
      <c r="W4016" s="50"/>
    </row>
    <row r="4017" spans="23:23" x14ac:dyDescent="0.2">
      <c r="W4017" s="50"/>
    </row>
    <row r="4018" spans="23:23" x14ac:dyDescent="0.2">
      <c r="W4018" s="50"/>
    </row>
    <row r="4019" spans="23:23" x14ac:dyDescent="0.2">
      <c r="W4019" s="50"/>
    </row>
    <row r="4020" spans="23:23" x14ac:dyDescent="0.2">
      <c r="W4020" s="50"/>
    </row>
    <row r="4021" spans="23:23" x14ac:dyDescent="0.2">
      <c r="W4021" s="50"/>
    </row>
    <row r="4022" spans="23:23" x14ac:dyDescent="0.2">
      <c r="W4022" s="50"/>
    </row>
    <row r="4023" spans="23:23" x14ac:dyDescent="0.2">
      <c r="W4023" s="50"/>
    </row>
    <row r="4024" spans="23:23" x14ac:dyDescent="0.2">
      <c r="W4024" s="50"/>
    </row>
    <row r="4025" spans="23:23" x14ac:dyDescent="0.2">
      <c r="W4025" s="50"/>
    </row>
    <row r="4026" spans="23:23" x14ac:dyDescent="0.2">
      <c r="W4026" s="50"/>
    </row>
    <row r="4027" spans="23:23" x14ac:dyDescent="0.2">
      <c r="W4027" s="50"/>
    </row>
    <row r="4028" spans="23:23" x14ac:dyDescent="0.2">
      <c r="W4028" s="50"/>
    </row>
    <row r="4029" spans="23:23" x14ac:dyDescent="0.2">
      <c r="W4029" s="50"/>
    </row>
    <row r="4030" spans="23:23" x14ac:dyDescent="0.2">
      <c r="W4030" s="50"/>
    </row>
    <row r="4031" spans="23:23" x14ac:dyDescent="0.2">
      <c r="W4031" s="50"/>
    </row>
    <row r="4032" spans="23:23" x14ac:dyDescent="0.2">
      <c r="W4032" s="50"/>
    </row>
    <row r="4033" spans="23:23" x14ac:dyDescent="0.2">
      <c r="W4033" s="50"/>
    </row>
    <row r="4034" spans="23:23" x14ac:dyDescent="0.2">
      <c r="W4034" s="50"/>
    </row>
    <row r="4035" spans="23:23" x14ac:dyDescent="0.2">
      <c r="W4035" s="50"/>
    </row>
    <row r="4036" spans="23:23" x14ac:dyDescent="0.2">
      <c r="W4036" s="50"/>
    </row>
    <row r="4037" spans="23:23" x14ac:dyDescent="0.2">
      <c r="W4037" s="50"/>
    </row>
    <row r="4038" spans="23:23" x14ac:dyDescent="0.2">
      <c r="W4038" s="50"/>
    </row>
    <row r="4039" spans="23:23" x14ac:dyDescent="0.2">
      <c r="W4039" s="50"/>
    </row>
    <row r="4040" spans="23:23" x14ac:dyDescent="0.2">
      <c r="W4040" s="50"/>
    </row>
    <row r="4041" spans="23:23" x14ac:dyDescent="0.2">
      <c r="W4041" s="50"/>
    </row>
    <row r="4042" spans="23:23" x14ac:dyDescent="0.2">
      <c r="W4042" s="50"/>
    </row>
    <row r="4043" spans="23:23" x14ac:dyDescent="0.2">
      <c r="W4043" s="50"/>
    </row>
    <row r="4044" spans="23:23" x14ac:dyDescent="0.2">
      <c r="W4044" s="50"/>
    </row>
    <row r="4045" spans="23:23" x14ac:dyDescent="0.2">
      <c r="W4045" s="50"/>
    </row>
    <row r="4046" spans="23:23" x14ac:dyDescent="0.2">
      <c r="W4046" s="50"/>
    </row>
    <row r="4047" spans="23:23" x14ac:dyDescent="0.2">
      <c r="W4047" s="50"/>
    </row>
    <row r="4048" spans="23:23" x14ac:dyDescent="0.2">
      <c r="W4048" s="50"/>
    </row>
    <row r="4049" spans="23:23" x14ac:dyDescent="0.2">
      <c r="W4049" s="50"/>
    </row>
    <row r="4050" spans="23:23" x14ac:dyDescent="0.2">
      <c r="W4050" s="50"/>
    </row>
    <row r="4051" spans="23:23" x14ac:dyDescent="0.2">
      <c r="W4051" s="50"/>
    </row>
    <row r="4052" spans="23:23" x14ac:dyDescent="0.2">
      <c r="W4052" s="50"/>
    </row>
    <row r="4053" spans="23:23" x14ac:dyDescent="0.2">
      <c r="W4053" s="50"/>
    </row>
    <row r="4054" spans="23:23" x14ac:dyDescent="0.2">
      <c r="W4054" s="50"/>
    </row>
    <row r="4055" spans="23:23" x14ac:dyDescent="0.2">
      <c r="W4055" s="50"/>
    </row>
    <row r="4056" spans="23:23" x14ac:dyDescent="0.2">
      <c r="W4056" s="50"/>
    </row>
    <row r="4057" spans="23:23" x14ac:dyDescent="0.2">
      <c r="W4057" s="50"/>
    </row>
    <row r="4058" spans="23:23" x14ac:dyDescent="0.2">
      <c r="W4058" s="50"/>
    </row>
    <row r="4059" spans="23:23" x14ac:dyDescent="0.2">
      <c r="W4059" s="50"/>
    </row>
    <row r="4060" spans="23:23" x14ac:dyDescent="0.2">
      <c r="W4060" s="50"/>
    </row>
    <row r="4061" spans="23:23" x14ac:dyDescent="0.2">
      <c r="W4061" s="50"/>
    </row>
    <row r="4062" spans="23:23" x14ac:dyDescent="0.2">
      <c r="W4062" s="50"/>
    </row>
    <row r="4063" spans="23:23" x14ac:dyDescent="0.2">
      <c r="W4063" s="50"/>
    </row>
    <row r="4064" spans="23:23" x14ac:dyDescent="0.2">
      <c r="W4064" s="50"/>
    </row>
    <row r="4065" spans="23:23" x14ac:dyDescent="0.2">
      <c r="W4065" s="50"/>
    </row>
    <row r="4066" spans="23:23" x14ac:dyDescent="0.2">
      <c r="W4066" s="50"/>
    </row>
    <row r="4067" spans="23:23" x14ac:dyDescent="0.2">
      <c r="W4067" s="50"/>
    </row>
    <row r="4068" spans="23:23" x14ac:dyDescent="0.2">
      <c r="W4068" s="50"/>
    </row>
    <row r="4069" spans="23:23" x14ac:dyDescent="0.2">
      <c r="W4069" s="50"/>
    </row>
    <row r="4070" spans="23:23" x14ac:dyDescent="0.2">
      <c r="W4070" s="50"/>
    </row>
    <row r="4071" spans="23:23" x14ac:dyDescent="0.2">
      <c r="W4071" s="50"/>
    </row>
    <row r="4072" spans="23:23" x14ac:dyDescent="0.2">
      <c r="W4072" s="50"/>
    </row>
    <row r="4073" spans="23:23" x14ac:dyDescent="0.2">
      <c r="W4073" s="50"/>
    </row>
    <row r="4074" spans="23:23" x14ac:dyDescent="0.2">
      <c r="W4074" s="50"/>
    </row>
    <row r="4075" spans="23:23" x14ac:dyDescent="0.2">
      <c r="W4075" s="50"/>
    </row>
    <row r="4076" spans="23:23" x14ac:dyDescent="0.2">
      <c r="W4076" s="50"/>
    </row>
    <row r="4077" spans="23:23" x14ac:dyDescent="0.2">
      <c r="W4077" s="50"/>
    </row>
    <row r="4078" spans="23:23" x14ac:dyDescent="0.2">
      <c r="W4078" s="50"/>
    </row>
    <row r="4079" spans="23:23" x14ac:dyDescent="0.2">
      <c r="W4079" s="50"/>
    </row>
    <row r="4080" spans="23:23" x14ac:dyDescent="0.2">
      <c r="W4080" s="50"/>
    </row>
    <row r="4081" spans="23:23" x14ac:dyDescent="0.2">
      <c r="W4081" s="50"/>
    </row>
    <row r="4082" spans="23:23" x14ac:dyDescent="0.2">
      <c r="W4082" s="50"/>
    </row>
    <row r="4083" spans="23:23" x14ac:dyDescent="0.2">
      <c r="W4083" s="50"/>
    </row>
    <row r="4084" spans="23:23" x14ac:dyDescent="0.2">
      <c r="W4084" s="50"/>
    </row>
    <row r="4085" spans="23:23" x14ac:dyDescent="0.2">
      <c r="W4085" s="50"/>
    </row>
    <row r="4086" spans="23:23" x14ac:dyDescent="0.2">
      <c r="W4086" s="50"/>
    </row>
    <row r="4087" spans="23:23" x14ac:dyDescent="0.2">
      <c r="W4087" s="50"/>
    </row>
    <row r="4088" spans="23:23" x14ac:dyDescent="0.2">
      <c r="W4088" s="50"/>
    </row>
    <row r="4089" spans="23:23" x14ac:dyDescent="0.2">
      <c r="W4089" s="50"/>
    </row>
    <row r="4090" spans="23:23" x14ac:dyDescent="0.2">
      <c r="W4090" s="50"/>
    </row>
    <row r="4091" spans="23:23" x14ac:dyDescent="0.2">
      <c r="W4091" s="50"/>
    </row>
    <row r="4092" spans="23:23" x14ac:dyDescent="0.2">
      <c r="W4092" s="50"/>
    </row>
    <row r="4093" spans="23:23" x14ac:dyDescent="0.2">
      <c r="W4093" s="50"/>
    </row>
    <row r="4094" spans="23:23" x14ac:dyDescent="0.2">
      <c r="W4094" s="50"/>
    </row>
    <row r="4095" spans="23:23" x14ac:dyDescent="0.2">
      <c r="W4095" s="50"/>
    </row>
    <row r="4096" spans="23:23" x14ac:dyDescent="0.2">
      <c r="W4096" s="50"/>
    </row>
    <row r="4097" spans="23:23" x14ac:dyDescent="0.2">
      <c r="W4097" s="50"/>
    </row>
    <row r="4098" spans="23:23" x14ac:dyDescent="0.2">
      <c r="W4098" s="50"/>
    </row>
    <row r="4099" spans="23:23" x14ac:dyDescent="0.2">
      <c r="W4099" s="50"/>
    </row>
    <row r="4100" spans="23:23" x14ac:dyDescent="0.2">
      <c r="W4100" s="50"/>
    </row>
    <row r="4101" spans="23:23" x14ac:dyDescent="0.2">
      <c r="W4101" s="50"/>
    </row>
    <row r="4102" spans="23:23" x14ac:dyDescent="0.2">
      <c r="W4102" s="50"/>
    </row>
    <row r="4103" spans="23:23" x14ac:dyDescent="0.2">
      <c r="W4103" s="50"/>
    </row>
    <row r="4104" spans="23:23" x14ac:dyDescent="0.2">
      <c r="W4104" s="50"/>
    </row>
    <row r="4105" spans="23:23" x14ac:dyDescent="0.2">
      <c r="W4105" s="50"/>
    </row>
    <row r="4106" spans="23:23" x14ac:dyDescent="0.2">
      <c r="W4106" s="50"/>
    </row>
    <row r="4107" spans="23:23" x14ac:dyDescent="0.2">
      <c r="W4107" s="50"/>
    </row>
    <row r="4108" spans="23:23" x14ac:dyDescent="0.2">
      <c r="W4108" s="50"/>
    </row>
    <row r="4109" spans="23:23" x14ac:dyDescent="0.2">
      <c r="W4109" s="50"/>
    </row>
    <row r="4110" spans="23:23" x14ac:dyDescent="0.2">
      <c r="W4110" s="50"/>
    </row>
    <row r="4111" spans="23:23" x14ac:dyDescent="0.2">
      <c r="W4111" s="50"/>
    </row>
    <row r="4112" spans="23:23" x14ac:dyDescent="0.2">
      <c r="W4112" s="50"/>
    </row>
    <row r="4113" spans="23:23" x14ac:dyDescent="0.2">
      <c r="W4113" s="50"/>
    </row>
    <row r="4114" spans="23:23" x14ac:dyDescent="0.2">
      <c r="W4114" s="50"/>
    </row>
    <row r="4115" spans="23:23" x14ac:dyDescent="0.2">
      <c r="W4115" s="50"/>
    </row>
    <row r="4116" spans="23:23" x14ac:dyDescent="0.2">
      <c r="W4116" s="50"/>
    </row>
    <row r="4117" spans="23:23" x14ac:dyDescent="0.2">
      <c r="W4117" s="50"/>
    </row>
    <row r="4118" spans="23:23" x14ac:dyDescent="0.2">
      <c r="W4118" s="50"/>
    </row>
    <row r="4119" spans="23:23" x14ac:dyDescent="0.2">
      <c r="W4119" s="50"/>
    </row>
    <row r="4120" spans="23:23" x14ac:dyDescent="0.2">
      <c r="W4120" s="50"/>
    </row>
    <row r="4121" spans="23:23" x14ac:dyDescent="0.2">
      <c r="W4121" s="50"/>
    </row>
    <row r="4122" spans="23:23" x14ac:dyDescent="0.2">
      <c r="W4122" s="50"/>
    </row>
    <row r="4123" spans="23:23" x14ac:dyDescent="0.2">
      <c r="W4123" s="50"/>
    </row>
    <row r="4124" spans="23:23" x14ac:dyDescent="0.2">
      <c r="W4124" s="50"/>
    </row>
    <row r="4125" spans="23:23" x14ac:dyDescent="0.2">
      <c r="W4125" s="50"/>
    </row>
    <row r="4126" spans="23:23" x14ac:dyDescent="0.2">
      <c r="W4126" s="50"/>
    </row>
    <row r="4127" spans="23:23" x14ac:dyDescent="0.2">
      <c r="W4127" s="50"/>
    </row>
    <row r="4128" spans="23:23" x14ac:dyDescent="0.2">
      <c r="W4128" s="50"/>
    </row>
    <row r="4129" spans="23:23" x14ac:dyDescent="0.2">
      <c r="W4129" s="50"/>
    </row>
    <row r="4130" spans="23:23" x14ac:dyDescent="0.2">
      <c r="W4130" s="50"/>
    </row>
    <row r="4131" spans="23:23" x14ac:dyDescent="0.2">
      <c r="W4131" s="50"/>
    </row>
    <row r="4132" spans="23:23" x14ac:dyDescent="0.2">
      <c r="W4132" s="50"/>
    </row>
    <row r="4133" spans="23:23" x14ac:dyDescent="0.2">
      <c r="W4133" s="50"/>
    </row>
    <row r="4134" spans="23:23" x14ac:dyDescent="0.2">
      <c r="W4134" s="50"/>
    </row>
    <row r="4135" spans="23:23" x14ac:dyDescent="0.2">
      <c r="W4135" s="50"/>
    </row>
    <row r="4136" spans="23:23" x14ac:dyDescent="0.2">
      <c r="W4136" s="50"/>
    </row>
    <row r="4137" spans="23:23" x14ac:dyDescent="0.2">
      <c r="W4137" s="50"/>
    </row>
    <row r="4138" spans="23:23" x14ac:dyDescent="0.2">
      <c r="W4138" s="50"/>
    </row>
    <row r="4139" spans="23:23" x14ac:dyDescent="0.2">
      <c r="W4139" s="50"/>
    </row>
    <row r="4140" spans="23:23" x14ac:dyDescent="0.2">
      <c r="W4140" s="50"/>
    </row>
    <row r="4141" spans="23:23" x14ac:dyDescent="0.2">
      <c r="W4141" s="50"/>
    </row>
    <row r="4142" spans="23:23" x14ac:dyDescent="0.2">
      <c r="W4142" s="50"/>
    </row>
    <row r="4143" spans="23:23" x14ac:dyDescent="0.2">
      <c r="W4143" s="50"/>
    </row>
    <row r="4144" spans="23:23" x14ac:dyDescent="0.2">
      <c r="W4144" s="50"/>
    </row>
    <row r="4145" spans="23:23" x14ac:dyDescent="0.2">
      <c r="W4145" s="50"/>
    </row>
    <row r="4146" spans="23:23" x14ac:dyDescent="0.2">
      <c r="W4146" s="50"/>
    </row>
    <row r="4147" spans="23:23" x14ac:dyDescent="0.2">
      <c r="W4147" s="50"/>
    </row>
    <row r="4148" spans="23:23" x14ac:dyDescent="0.2">
      <c r="W4148" s="50"/>
    </row>
    <row r="4149" spans="23:23" x14ac:dyDescent="0.2">
      <c r="W4149" s="50"/>
    </row>
    <row r="4150" spans="23:23" x14ac:dyDescent="0.2">
      <c r="W4150" s="50"/>
    </row>
    <row r="4151" spans="23:23" x14ac:dyDescent="0.2">
      <c r="W4151" s="50"/>
    </row>
    <row r="4152" spans="23:23" x14ac:dyDescent="0.2">
      <c r="W4152" s="50"/>
    </row>
    <row r="4153" spans="23:23" x14ac:dyDescent="0.2">
      <c r="W4153" s="50"/>
    </row>
    <row r="4154" spans="23:23" x14ac:dyDescent="0.2">
      <c r="W4154" s="50"/>
    </row>
    <row r="4155" spans="23:23" x14ac:dyDescent="0.2">
      <c r="W4155" s="50"/>
    </row>
    <row r="4156" spans="23:23" x14ac:dyDescent="0.2">
      <c r="W4156" s="50"/>
    </row>
    <row r="4157" spans="23:23" x14ac:dyDescent="0.2">
      <c r="W4157" s="50"/>
    </row>
    <row r="4158" spans="23:23" x14ac:dyDescent="0.2">
      <c r="W4158" s="50"/>
    </row>
    <row r="4159" spans="23:23" x14ac:dyDescent="0.2">
      <c r="W4159" s="50"/>
    </row>
    <row r="4160" spans="23:23" x14ac:dyDescent="0.2">
      <c r="W4160" s="50"/>
    </row>
    <row r="4161" spans="23:23" x14ac:dyDescent="0.2">
      <c r="W4161" s="50"/>
    </row>
    <row r="4162" spans="23:23" x14ac:dyDescent="0.2">
      <c r="W4162" s="50"/>
    </row>
    <row r="4163" spans="23:23" x14ac:dyDescent="0.2">
      <c r="W4163" s="50"/>
    </row>
    <row r="4164" spans="23:23" x14ac:dyDescent="0.2">
      <c r="W4164" s="50"/>
    </row>
    <row r="4165" spans="23:23" x14ac:dyDescent="0.2">
      <c r="W4165" s="50"/>
    </row>
    <row r="4166" spans="23:23" x14ac:dyDescent="0.2">
      <c r="W4166" s="50"/>
    </row>
    <row r="4167" spans="23:23" x14ac:dyDescent="0.2">
      <c r="W4167" s="50"/>
    </row>
    <row r="4168" spans="23:23" x14ac:dyDescent="0.2">
      <c r="W4168" s="50"/>
    </row>
    <row r="4169" spans="23:23" x14ac:dyDescent="0.2">
      <c r="W4169" s="50"/>
    </row>
    <row r="4170" spans="23:23" x14ac:dyDescent="0.2">
      <c r="W4170" s="50"/>
    </row>
    <row r="4171" spans="23:23" x14ac:dyDescent="0.2">
      <c r="W4171" s="50"/>
    </row>
    <row r="4172" spans="23:23" x14ac:dyDescent="0.2">
      <c r="W4172" s="50"/>
    </row>
    <row r="4173" spans="23:23" x14ac:dyDescent="0.2">
      <c r="W4173" s="50"/>
    </row>
    <row r="4174" spans="23:23" x14ac:dyDescent="0.2">
      <c r="W4174" s="50"/>
    </row>
    <row r="4175" spans="23:23" x14ac:dyDescent="0.2">
      <c r="W4175" s="50"/>
    </row>
    <row r="4176" spans="23:23" x14ac:dyDescent="0.2">
      <c r="W4176" s="50"/>
    </row>
    <row r="4177" spans="23:23" x14ac:dyDescent="0.2">
      <c r="W4177" s="50"/>
    </row>
    <row r="4178" spans="23:23" x14ac:dyDescent="0.2">
      <c r="W4178" s="50"/>
    </row>
    <row r="4179" spans="23:23" x14ac:dyDescent="0.2">
      <c r="W4179" s="50"/>
    </row>
    <row r="4180" spans="23:23" x14ac:dyDescent="0.2">
      <c r="W4180" s="50"/>
    </row>
    <row r="4181" spans="23:23" x14ac:dyDescent="0.2">
      <c r="W4181" s="50"/>
    </row>
    <row r="4182" spans="23:23" x14ac:dyDescent="0.2">
      <c r="W4182" s="50"/>
    </row>
    <row r="4183" spans="23:23" x14ac:dyDescent="0.2">
      <c r="W4183" s="50"/>
    </row>
    <row r="4184" spans="23:23" x14ac:dyDescent="0.2">
      <c r="W4184" s="50"/>
    </row>
    <row r="4185" spans="23:23" x14ac:dyDescent="0.2">
      <c r="W4185" s="50"/>
    </row>
    <row r="4186" spans="23:23" x14ac:dyDescent="0.2">
      <c r="W4186" s="50"/>
    </row>
    <row r="4187" spans="23:23" x14ac:dyDescent="0.2">
      <c r="W4187" s="50"/>
    </row>
    <row r="4188" spans="23:23" x14ac:dyDescent="0.2">
      <c r="W4188" s="50"/>
    </row>
    <row r="4189" spans="23:23" x14ac:dyDescent="0.2">
      <c r="W4189" s="50"/>
    </row>
    <row r="4190" spans="23:23" x14ac:dyDescent="0.2">
      <c r="W4190" s="50"/>
    </row>
    <row r="4191" spans="23:23" x14ac:dyDescent="0.2">
      <c r="W4191" s="50"/>
    </row>
    <row r="4192" spans="23:23" x14ac:dyDescent="0.2">
      <c r="W4192" s="50"/>
    </row>
    <row r="4193" spans="23:23" x14ac:dyDescent="0.2">
      <c r="W4193" s="50"/>
    </row>
    <row r="4194" spans="23:23" x14ac:dyDescent="0.2">
      <c r="W4194" s="50"/>
    </row>
    <row r="4195" spans="23:23" x14ac:dyDescent="0.2">
      <c r="W4195" s="50"/>
    </row>
    <row r="4196" spans="23:23" x14ac:dyDescent="0.2">
      <c r="W4196" s="50"/>
    </row>
    <row r="4197" spans="23:23" x14ac:dyDescent="0.2">
      <c r="W4197" s="50"/>
    </row>
    <row r="4198" spans="23:23" x14ac:dyDescent="0.2">
      <c r="W4198" s="50"/>
    </row>
    <row r="4199" spans="23:23" x14ac:dyDescent="0.2">
      <c r="W4199" s="50"/>
    </row>
    <row r="4200" spans="23:23" x14ac:dyDescent="0.2">
      <c r="W4200" s="50"/>
    </row>
    <row r="4201" spans="23:23" x14ac:dyDescent="0.2">
      <c r="W4201" s="50"/>
    </row>
    <row r="4202" spans="23:23" x14ac:dyDescent="0.2">
      <c r="W4202" s="50"/>
    </row>
    <row r="4203" spans="23:23" x14ac:dyDescent="0.2">
      <c r="W4203" s="50"/>
    </row>
    <row r="4204" spans="23:23" x14ac:dyDescent="0.2">
      <c r="W4204" s="50"/>
    </row>
    <row r="4205" spans="23:23" x14ac:dyDescent="0.2">
      <c r="W4205" s="50"/>
    </row>
    <row r="4206" spans="23:23" x14ac:dyDescent="0.2">
      <c r="W4206" s="50"/>
    </row>
    <row r="4207" spans="23:23" x14ac:dyDescent="0.2">
      <c r="W4207" s="50"/>
    </row>
    <row r="4208" spans="23:23" x14ac:dyDescent="0.2">
      <c r="W4208" s="50"/>
    </row>
    <row r="4209" spans="23:23" x14ac:dyDescent="0.2">
      <c r="W4209" s="50"/>
    </row>
    <row r="4210" spans="23:23" x14ac:dyDescent="0.2">
      <c r="W4210" s="50"/>
    </row>
    <row r="4211" spans="23:23" x14ac:dyDescent="0.2">
      <c r="W4211" s="50"/>
    </row>
    <row r="4212" spans="23:23" x14ac:dyDescent="0.2">
      <c r="W4212" s="50"/>
    </row>
    <row r="4213" spans="23:23" x14ac:dyDescent="0.2">
      <c r="W4213" s="50"/>
    </row>
    <row r="4214" spans="23:23" x14ac:dyDescent="0.2">
      <c r="W4214" s="50"/>
    </row>
    <row r="4215" spans="23:23" x14ac:dyDescent="0.2">
      <c r="W4215" s="50"/>
    </row>
    <row r="4216" spans="23:23" x14ac:dyDescent="0.2">
      <c r="W4216" s="50"/>
    </row>
    <row r="4217" spans="23:23" x14ac:dyDescent="0.2">
      <c r="W4217" s="50"/>
    </row>
    <row r="4218" spans="23:23" x14ac:dyDescent="0.2">
      <c r="W4218" s="50"/>
    </row>
    <row r="4219" spans="23:23" x14ac:dyDescent="0.2">
      <c r="W4219" s="50"/>
    </row>
    <row r="4220" spans="23:23" x14ac:dyDescent="0.2">
      <c r="W4220" s="50"/>
    </row>
    <row r="4221" spans="23:23" x14ac:dyDescent="0.2">
      <c r="W4221" s="50"/>
    </row>
    <row r="4222" spans="23:23" x14ac:dyDescent="0.2">
      <c r="W4222" s="50"/>
    </row>
    <row r="4223" spans="23:23" x14ac:dyDescent="0.2">
      <c r="W4223" s="50"/>
    </row>
    <row r="4224" spans="23:23" x14ac:dyDescent="0.2">
      <c r="W4224" s="50"/>
    </row>
    <row r="4225" spans="23:23" x14ac:dyDescent="0.2">
      <c r="W4225" s="50"/>
    </row>
    <row r="4226" spans="23:23" x14ac:dyDescent="0.2">
      <c r="W4226" s="50"/>
    </row>
    <row r="4227" spans="23:23" x14ac:dyDescent="0.2">
      <c r="W4227" s="50"/>
    </row>
    <row r="4228" spans="23:23" x14ac:dyDescent="0.2">
      <c r="W4228" s="50"/>
    </row>
    <row r="4229" spans="23:23" x14ac:dyDescent="0.2">
      <c r="W4229" s="50"/>
    </row>
    <row r="4230" spans="23:23" x14ac:dyDescent="0.2">
      <c r="W4230" s="50"/>
    </row>
    <row r="4231" spans="23:23" x14ac:dyDescent="0.2">
      <c r="W4231" s="50"/>
    </row>
    <row r="4232" spans="23:23" x14ac:dyDescent="0.2">
      <c r="W4232" s="50"/>
    </row>
    <row r="4233" spans="23:23" x14ac:dyDescent="0.2">
      <c r="W4233" s="50"/>
    </row>
    <row r="4234" spans="23:23" x14ac:dyDescent="0.2">
      <c r="W4234" s="50"/>
    </row>
    <row r="4235" spans="23:23" x14ac:dyDescent="0.2">
      <c r="W4235" s="50"/>
    </row>
    <row r="4236" spans="23:23" x14ac:dyDescent="0.2">
      <c r="W4236" s="50"/>
    </row>
    <row r="4237" spans="23:23" x14ac:dyDescent="0.2">
      <c r="W4237" s="50"/>
    </row>
    <row r="4238" spans="23:23" x14ac:dyDescent="0.2">
      <c r="W4238" s="50"/>
    </row>
    <row r="4239" spans="23:23" x14ac:dyDescent="0.2">
      <c r="W4239" s="50"/>
    </row>
    <row r="4240" spans="23:23" x14ac:dyDescent="0.2">
      <c r="W4240" s="50"/>
    </row>
    <row r="4241" spans="23:23" x14ac:dyDescent="0.2">
      <c r="W4241" s="50"/>
    </row>
    <row r="4242" spans="23:23" x14ac:dyDescent="0.2">
      <c r="W4242" s="50"/>
    </row>
    <row r="4243" spans="23:23" x14ac:dyDescent="0.2">
      <c r="W4243" s="50"/>
    </row>
    <row r="4244" spans="23:23" x14ac:dyDescent="0.2">
      <c r="W4244" s="50"/>
    </row>
    <row r="4245" spans="23:23" x14ac:dyDescent="0.2">
      <c r="W4245" s="50"/>
    </row>
    <row r="4246" spans="23:23" x14ac:dyDescent="0.2">
      <c r="W4246" s="50"/>
    </row>
    <row r="4247" spans="23:23" x14ac:dyDescent="0.2">
      <c r="W4247" s="50"/>
    </row>
    <row r="4248" spans="23:23" x14ac:dyDescent="0.2">
      <c r="W4248" s="50"/>
    </row>
    <row r="4249" spans="23:23" x14ac:dyDescent="0.2">
      <c r="W4249" s="50"/>
    </row>
    <row r="4250" spans="23:23" x14ac:dyDescent="0.2">
      <c r="W4250" s="50"/>
    </row>
    <row r="4251" spans="23:23" x14ac:dyDescent="0.2">
      <c r="W4251" s="50"/>
    </row>
    <row r="4252" spans="23:23" x14ac:dyDescent="0.2">
      <c r="W4252" s="50"/>
    </row>
    <row r="4253" spans="23:23" x14ac:dyDescent="0.2">
      <c r="W4253" s="50"/>
    </row>
    <row r="4254" spans="23:23" x14ac:dyDescent="0.2">
      <c r="W4254" s="50"/>
    </row>
    <row r="4255" spans="23:23" x14ac:dyDescent="0.2">
      <c r="W4255" s="50"/>
    </row>
    <row r="4256" spans="23:23" x14ac:dyDescent="0.2">
      <c r="W4256" s="50"/>
    </row>
    <row r="4257" spans="23:23" x14ac:dyDescent="0.2">
      <c r="W4257" s="50"/>
    </row>
    <row r="4258" spans="23:23" x14ac:dyDescent="0.2">
      <c r="W4258" s="50"/>
    </row>
    <row r="4259" spans="23:23" x14ac:dyDescent="0.2">
      <c r="W4259" s="50"/>
    </row>
    <row r="4260" spans="23:23" x14ac:dyDescent="0.2">
      <c r="W4260" s="50"/>
    </row>
    <row r="4261" spans="23:23" x14ac:dyDescent="0.2">
      <c r="W4261" s="50"/>
    </row>
    <row r="4262" spans="23:23" x14ac:dyDescent="0.2">
      <c r="W4262" s="50"/>
    </row>
    <row r="4263" spans="23:23" x14ac:dyDescent="0.2">
      <c r="W4263" s="50"/>
    </row>
    <row r="4264" spans="23:23" x14ac:dyDescent="0.2">
      <c r="W4264" s="50"/>
    </row>
    <row r="4265" spans="23:23" x14ac:dyDescent="0.2">
      <c r="W4265" s="50"/>
    </row>
    <row r="4266" spans="23:23" x14ac:dyDescent="0.2">
      <c r="W4266" s="50"/>
    </row>
    <row r="4267" spans="23:23" x14ac:dyDescent="0.2">
      <c r="W4267" s="50"/>
    </row>
    <row r="4268" spans="23:23" x14ac:dyDescent="0.2">
      <c r="W4268" s="50"/>
    </row>
    <row r="4269" spans="23:23" x14ac:dyDescent="0.2">
      <c r="W4269" s="50"/>
    </row>
    <row r="4270" spans="23:23" x14ac:dyDescent="0.2">
      <c r="W4270" s="50"/>
    </row>
    <row r="4271" spans="23:23" x14ac:dyDescent="0.2">
      <c r="W4271" s="50"/>
    </row>
    <row r="4272" spans="23:23" x14ac:dyDescent="0.2">
      <c r="W4272" s="50"/>
    </row>
    <row r="4273" spans="23:23" x14ac:dyDescent="0.2">
      <c r="W4273" s="50"/>
    </row>
    <row r="4274" spans="23:23" x14ac:dyDescent="0.2">
      <c r="W4274" s="50"/>
    </row>
    <row r="4275" spans="23:23" x14ac:dyDescent="0.2">
      <c r="W4275" s="50"/>
    </row>
    <row r="4276" spans="23:23" x14ac:dyDescent="0.2">
      <c r="W4276" s="50"/>
    </row>
    <row r="4277" spans="23:23" x14ac:dyDescent="0.2">
      <c r="W4277" s="50"/>
    </row>
    <row r="4278" spans="23:23" x14ac:dyDescent="0.2">
      <c r="W4278" s="50"/>
    </row>
    <row r="4279" spans="23:23" x14ac:dyDescent="0.2">
      <c r="W4279" s="50"/>
    </row>
    <row r="4280" spans="23:23" x14ac:dyDescent="0.2">
      <c r="W4280" s="50"/>
    </row>
    <row r="4281" spans="23:23" x14ac:dyDescent="0.2">
      <c r="W4281" s="50"/>
    </row>
    <row r="4282" spans="23:23" x14ac:dyDescent="0.2">
      <c r="W4282" s="50"/>
    </row>
    <row r="4283" spans="23:23" x14ac:dyDescent="0.2">
      <c r="W4283" s="50"/>
    </row>
    <row r="4284" spans="23:23" x14ac:dyDescent="0.2">
      <c r="W4284" s="50"/>
    </row>
    <row r="4285" spans="23:23" x14ac:dyDescent="0.2">
      <c r="W4285" s="50"/>
    </row>
    <row r="4286" spans="23:23" x14ac:dyDescent="0.2">
      <c r="W4286" s="50"/>
    </row>
    <row r="4287" spans="23:23" x14ac:dyDescent="0.2">
      <c r="W4287" s="50"/>
    </row>
    <row r="4288" spans="23:23" x14ac:dyDescent="0.2">
      <c r="W4288" s="50"/>
    </row>
    <row r="4289" spans="23:23" x14ac:dyDescent="0.2">
      <c r="W4289" s="50"/>
    </row>
    <row r="4290" spans="23:23" x14ac:dyDescent="0.2">
      <c r="W4290" s="50"/>
    </row>
    <row r="4291" spans="23:23" x14ac:dyDescent="0.2">
      <c r="W4291" s="50"/>
    </row>
    <row r="4292" spans="23:23" x14ac:dyDescent="0.2">
      <c r="W4292" s="50"/>
    </row>
    <row r="4293" spans="23:23" x14ac:dyDescent="0.2">
      <c r="W4293" s="50"/>
    </row>
    <row r="4294" spans="23:23" x14ac:dyDescent="0.2">
      <c r="W4294" s="50"/>
    </row>
    <row r="4295" spans="23:23" x14ac:dyDescent="0.2">
      <c r="W4295" s="50"/>
    </row>
    <row r="4296" spans="23:23" x14ac:dyDescent="0.2">
      <c r="W4296" s="50"/>
    </row>
    <row r="4297" spans="23:23" x14ac:dyDescent="0.2">
      <c r="W4297" s="50"/>
    </row>
    <row r="4298" spans="23:23" x14ac:dyDescent="0.2">
      <c r="W4298" s="50"/>
    </row>
    <row r="4299" spans="23:23" x14ac:dyDescent="0.2">
      <c r="W4299" s="50"/>
    </row>
    <row r="4300" spans="23:23" x14ac:dyDescent="0.2">
      <c r="W4300" s="50"/>
    </row>
    <row r="4301" spans="23:23" x14ac:dyDescent="0.2">
      <c r="W4301" s="50"/>
    </row>
    <row r="4302" spans="23:23" x14ac:dyDescent="0.2">
      <c r="W4302" s="50"/>
    </row>
    <row r="4303" spans="23:23" x14ac:dyDescent="0.2">
      <c r="W4303" s="50"/>
    </row>
    <row r="4304" spans="23:23" x14ac:dyDescent="0.2">
      <c r="W4304" s="50"/>
    </row>
    <row r="4305" spans="23:23" x14ac:dyDescent="0.2">
      <c r="W4305" s="50"/>
    </row>
    <row r="4306" spans="23:23" x14ac:dyDescent="0.2">
      <c r="W4306" s="50"/>
    </row>
    <row r="4307" spans="23:23" x14ac:dyDescent="0.2">
      <c r="W4307" s="50"/>
    </row>
    <row r="4308" spans="23:23" x14ac:dyDescent="0.2">
      <c r="W4308" s="50"/>
    </row>
    <row r="4309" spans="23:23" x14ac:dyDescent="0.2">
      <c r="W4309" s="50"/>
    </row>
    <row r="4310" spans="23:23" x14ac:dyDescent="0.2">
      <c r="W4310" s="50"/>
    </row>
    <row r="4311" spans="23:23" x14ac:dyDescent="0.2">
      <c r="W4311" s="50"/>
    </row>
    <row r="4312" spans="23:23" x14ac:dyDescent="0.2">
      <c r="W4312" s="50"/>
    </row>
    <row r="4313" spans="23:23" x14ac:dyDescent="0.2">
      <c r="W4313" s="50"/>
    </row>
    <row r="4314" spans="23:23" x14ac:dyDescent="0.2">
      <c r="W4314" s="50"/>
    </row>
    <row r="4315" spans="23:23" x14ac:dyDescent="0.2">
      <c r="W4315" s="50"/>
    </row>
    <row r="4316" spans="23:23" x14ac:dyDescent="0.2">
      <c r="W4316" s="50"/>
    </row>
    <row r="4317" spans="23:23" x14ac:dyDescent="0.2">
      <c r="W4317" s="50"/>
    </row>
    <row r="4318" spans="23:23" x14ac:dyDescent="0.2">
      <c r="W4318" s="50"/>
    </row>
    <row r="4319" spans="23:23" x14ac:dyDescent="0.2">
      <c r="W4319" s="50"/>
    </row>
    <row r="4320" spans="23:23" x14ac:dyDescent="0.2">
      <c r="W4320" s="50"/>
    </row>
    <row r="4321" spans="23:23" x14ac:dyDescent="0.2">
      <c r="W4321" s="50"/>
    </row>
    <row r="4322" spans="23:23" x14ac:dyDescent="0.2">
      <c r="W4322" s="50"/>
    </row>
    <row r="4323" spans="23:23" x14ac:dyDescent="0.2">
      <c r="W4323" s="50"/>
    </row>
    <row r="4324" spans="23:23" x14ac:dyDescent="0.2">
      <c r="W4324" s="50"/>
    </row>
    <row r="4325" spans="23:23" x14ac:dyDescent="0.2">
      <c r="W4325" s="50"/>
    </row>
    <row r="4326" spans="23:23" x14ac:dyDescent="0.2">
      <c r="W4326" s="50"/>
    </row>
    <row r="4327" spans="23:23" x14ac:dyDescent="0.2">
      <c r="W4327" s="50"/>
    </row>
    <row r="4328" spans="23:23" x14ac:dyDescent="0.2">
      <c r="W4328" s="50"/>
    </row>
    <row r="4329" spans="23:23" x14ac:dyDescent="0.2">
      <c r="W4329" s="50"/>
    </row>
    <row r="4330" spans="23:23" x14ac:dyDescent="0.2">
      <c r="W4330" s="50"/>
    </row>
    <row r="4331" spans="23:23" x14ac:dyDescent="0.2">
      <c r="W4331" s="50"/>
    </row>
    <row r="4332" spans="23:23" x14ac:dyDescent="0.2">
      <c r="W4332" s="50"/>
    </row>
    <row r="4333" spans="23:23" x14ac:dyDescent="0.2">
      <c r="W4333" s="50"/>
    </row>
    <row r="4334" spans="23:23" x14ac:dyDescent="0.2">
      <c r="W4334" s="50"/>
    </row>
    <row r="4335" spans="23:23" x14ac:dyDescent="0.2">
      <c r="W4335" s="50"/>
    </row>
    <row r="4336" spans="23:23" x14ac:dyDescent="0.2">
      <c r="W4336" s="50"/>
    </row>
    <row r="4337" spans="23:23" x14ac:dyDescent="0.2">
      <c r="W4337" s="50"/>
    </row>
    <row r="4338" spans="23:23" x14ac:dyDescent="0.2">
      <c r="W4338" s="50"/>
    </row>
    <row r="4339" spans="23:23" x14ac:dyDescent="0.2">
      <c r="W4339" s="50"/>
    </row>
    <row r="4340" spans="23:23" x14ac:dyDescent="0.2">
      <c r="W4340" s="50"/>
    </row>
    <row r="4341" spans="23:23" x14ac:dyDescent="0.2">
      <c r="W4341" s="50"/>
    </row>
    <row r="4342" spans="23:23" x14ac:dyDescent="0.2">
      <c r="W4342" s="50"/>
    </row>
    <row r="4343" spans="23:23" x14ac:dyDescent="0.2">
      <c r="W4343" s="50"/>
    </row>
    <row r="4344" spans="23:23" x14ac:dyDescent="0.2">
      <c r="W4344" s="50"/>
    </row>
    <row r="4345" spans="23:23" x14ac:dyDescent="0.2">
      <c r="W4345" s="50"/>
    </row>
    <row r="4346" spans="23:23" x14ac:dyDescent="0.2">
      <c r="W4346" s="50"/>
    </row>
    <row r="4347" spans="23:23" x14ac:dyDescent="0.2">
      <c r="W4347" s="50"/>
    </row>
    <row r="4348" spans="23:23" x14ac:dyDescent="0.2">
      <c r="W4348" s="50"/>
    </row>
    <row r="4349" spans="23:23" x14ac:dyDescent="0.2">
      <c r="W4349" s="50"/>
    </row>
    <row r="4350" spans="23:23" x14ac:dyDescent="0.2">
      <c r="W4350" s="50"/>
    </row>
    <row r="4351" spans="23:23" x14ac:dyDescent="0.2">
      <c r="W4351" s="50"/>
    </row>
    <row r="4352" spans="23:23" x14ac:dyDescent="0.2">
      <c r="W4352" s="50"/>
    </row>
    <row r="4353" spans="23:23" x14ac:dyDescent="0.2">
      <c r="W4353" s="50"/>
    </row>
    <row r="4354" spans="23:23" x14ac:dyDescent="0.2">
      <c r="W4354" s="50"/>
    </row>
    <row r="4355" spans="23:23" x14ac:dyDescent="0.2">
      <c r="W4355" s="50"/>
    </row>
    <row r="4356" spans="23:23" x14ac:dyDescent="0.2">
      <c r="W4356" s="50"/>
    </row>
    <row r="4357" spans="23:23" x14ac:dyDescent="0.2">
      <c r="W4357" s="50"/>
    </row>
    <row r="4358" spans="23:23" x14ac:dyDescent="0.2">
      <c r="W4358" s="50"/>
    </row>
    <row r="4359" spans="23:23" x14ac:dyDescent="0.2">
      <c r="W4359" s="50"/>
    </row>
    <row r="4360" spans="23:23" x14ac:dyDescent="0.2">
      <c r="W4360" s="50"/>
    </row>
    <row r="4361" spans="23:23" x14ac:dyDescent="0.2">
      <c r="W4361" s="50"/>
    </row>
    <row r="4362" spans="23:23" x14ac:dyDescent="0.2">
      <c r="W4362" s="50"/>
    </row>
    <row r="4363" spans="23:23" x14ac:dyDescent="0.2">
      <c r="W4363" s="50"/>
    </row>
    <row r="4364" spans="23:23" x14ac:dyDescent="0.2">
      <c r="W4364" s="50"/>
    </row>
    <row r="4365" spans="23:23" x14ac:dyDescent="0.2">
      <c r="W4365" s="50"/>
    </row>
    <row r="4366" spans="23:23" x14ac:dyDescent="0.2">
      <c r="W4366" s="50"/>
    </row>
    <row r="4367" spans="23:23" x14ac:dyDescent="0.2">
      <c r="W4367" s="50"/>
    </row>
    <row r="4368" spans="23:23" x14ac:dyDescent="0.2">
      <c r="W4368" s="50"/>
    </row>
    <row r="4369" spans="23:23" x14ac:dyDescent="0.2">
      <c r="W4369" s="50"/>
    </row>
    <row r="4370" spans="23:23" x14ac:dyDescent="0.2">
      <c r="W4370" s="50"/>
    </row>
    <row r="4371" spans="23:23" x14ac:dyDescent="0.2">
      <c r="W4371" s="50"/>
    </row>
    <row r="4372" spans="23:23" x14ac:dyDescent="0.2">
      <c r="W4372" s="50"/>
    </row>
    <row r="4373" spans="23:23" x14ac:dyDescent="0.2">
      <c r="W4373" s="50"/>
    </row>
    <row r="4374" spans="23:23" x14ac:dyDescent="0.2">
      <c r="W4374" s="50"/>
    </row>
    <row r="4375" spans="23:23" x14ac:dyDescent="0.2">
      <c r="W4375" s="50"/>
    </row>
    <row r="4376" spans="23:23" x14ac:dyDescent="0.2">
      <c r="W4376" s="50"/>
    </row>
    <row r="4377" spans="23:23" x14ac:dyDescent="0.2">
      <c r="W4377" s="50"/>
    </row>
    <row r="4378" spans="23:23" x14ac:dyDescent="0.2">
      <c r="W4378" s="50"/>
    </row>
    <row r="4379" spans="23:23" x14ac:dyDescent="0.2">
      <c r="W4379" s="50"/>
    </row>
    <row r="4380" spans="23:23" x14ac:dyDescent="0.2">
      <c r="W4380" s="50"/>
    </row>
    <row r="4381" spans="23:23" x14ac:dyDescent="0.2">
      <c r="W4381" s="50"/>
    </row>
    <row r="4382" spans="23:23" x14ac:dyDescent="0.2">
      <c r="W4382" s="50"/>
    </row>
    <row r="4383" spans="23:23" x14ac:dyDescent="0.2">
      <c r="W4383" s="50"/>
    </row>
    <row r="4384" spans="23:23" x14ac:dyDescent="0.2">
      <c r="W4384" s="50"/>
    </row>
    <row r="4385" spans="23:23" x14ac:dyDescent="0.2">
      <c r="W4385" s="50"/>
    </row>
    <row r="4386" spans="23:23" x14ac:dyDescent="0.2">
      <c r="W4386" s="50"/>
    </row>
    <row r="4387" spans="23:23" x14ac:dyDescent="0.2">
      <c r="W4387" s="50"/>
    </row>
    <row r="4388" spans="23:23" x14ac:dyDescent="0.2">
      <c r="W4388" s="50"/>
    </row>
    <row r="4389" spans="23:23" x14ac:dyDescent="0.2">
      <c r="W4389" s="50"/>
    </row>
    <row r="4390" spans="23:23" x14ac:dyDescent="0.2">
      <c r="W4390" s="50"/>
    </row>
    <row r="4391" spans="23:23" x14ac:dyDescent="0.2">
      <c r="W4391" s="50"/>
    </row>
    <row r="4392" spans="23:23" x14ac:dyDescent="0.2">
      <c r="W4392" s="50"/>
    </row>
    <row r="4393" spans="23:23" x14ac:dyDescent="0.2">
      <c r="W4393" s="50"/>
    </row>
    <row r="4394" spans="23:23" x14ac:dyDescent="0.2">
      <c r="W4394" s="50"/>
    </row>
    <row r="4395" spans="23:23" x14ac:dyDescent="0.2">
      <c r="W4395" s="50"/>
    </row>
    <row r="4396" spans="23:23" x14ac:dyDescent="0.2">
      <c r="W4396" s="50"/>
    </row>
    <row r="4397" spans="23:23" x14ac:dyDescent="0.2">
      <c r="W4397" s="50"/>
    </row>
    <row r="4398" spans="23:23" x14ac:dyDescent="0.2">
      <c r="W4398" s="50"/>
    </row>
    <row r="4399" spans="23:23" x14ac:dyDescent="0.2">
      <c r="W4399" s="50"/>
    </row>
    <row r="4400" spans="23:23" x14ac:dyDescent="0.2">
      <c r="W4400" s="50"/>
    </row>
    <row r="4401" spans="23:23" x14ac:dyDescent="0.2">
      <c r="W4401" s="50"/>
    </row>
    <row r="4402" spans="23:23" x14ac:dyDescent="0.2">
      <c r="W4402" s="50"/>
    </row>
    <row r="4403" spans="23:23" x14ac:dyDescent="0.2">
      <c r="W4403" s="50"/>
    </row>
    <row r="4404" spans="23:23" x14ac:dyDescent="0.2">
      <c r="W4404" s="50"/>
    </row>
    <row r="4405" spans="23:23" x14ac:dyDescent="0.2">
      <c r="W4405" s="50"/>
    </row>
    <row r="4406" spans="23:23" x14ac:dyDescent="0.2">
      <c r="W4406" s="50"/>
    </row>
    <row r="4407" spans="23:23" x14ac:dyDescent="0.2">
      <c r="W4407" s="50"/>
    </row>
    <row r="4408" spans="23:23" x14ac:dyDescent="0.2">
      <c r="W4408" s="50"/>
    </row>
    <row r="4409" spans="23:23" x14ac:dyDescent="0.2">
      <c r="W4409" s="50"/>
    </row>
    <row r="4410" spans="23:23" x14ac:dyDescent="0.2">
      <c r="W4410" s="50"/>
    </row>
    <row r="4411" spans="23:23" x14ac:dyDescent="0.2">
      <c r="W4411" s="50"/>
    </row>
    <row r="4412" spans="23:23" x14ac:dyDescent="0.2">
      <c r="W4412" s="50"/>
    </row>
    <row r="4413" spans="23:23" x14ac:dyDescent="0.2">
      <c r="W4413" s="50"/>
    </row>
    <row r="4414" spans="23:23" x14ac:dyDescent="0.2">
      <c r="W4414" s="50"/>
    </row>
    <row r="4415" spans="23:23" x14ac:dyDescent="0.2">
      <c r="W4415" s="50"/>
    </row>
    <row r="4416" spans="23:23" x14ac:dyDescent="0.2">
      <c r="W4416" s="50"/>
    </row>
    <row r="4417" spans="23:23" x14ac:dyDescent="0.2">
      <c r="W4417" s="50"/>
    </row>
    <row r="4418" spans="23:23" x14ac:dyDescent="0.2">
      <c r="W4418" s="50"/>
    </row>
    <row r="4419" spans="23:23" x14ac:dyDescent="0.2">
      <c r="W4419" s="50"/>
    </row>
    <row r="4420" spans="23:23" x14ac:dyDescent="0.2">
      <c r="W4420" s="50"/>
    </row>
    <row r="4421" spans="23:23" x14ac:dyDescent="0.2">
      <c r="W4421" s="50"/>
    </row>
    <row r="4422" spans="23:23" x14ac:dyDescent="0.2">
      <c r="W4422" s="50"/>
    </row>
    <row r="4423" spans="23:23" x14ac:dyDescent="0.2">
      <c r="W4423" s="50"/>
    </row>
    <row r="4424" spans="23:23" x14ac:dyDescent="0.2">
      <c r="W4424" s="50"/>
    </row>
    <row r="4425" spans="23:23" x14ac:dyDescent="0.2">
      <c r="W4425" s="50"/>
    </row>
    <row r="4426" spans="23:23" x14ac:dyDescent="0.2">
      <c r="W4426" s="50"/>
    </row>
    <row r="4427" spans="23:23" x14ac:dyDescent="0.2">
      <c r="W4427" s="50"/>
    </row>
    <row r="4428" spans="23:23" x14ac:dyDescent="0.2">
      <c r="W4428" s="50"/>
    </row>
    <row r="4429" spans="23:23" x14ac:dyDescent="0.2">
      <c r="W4429" s="50"/>
    </row>
    <row r="4430" spans="23:23" x14ac:dyDescent="0.2">
      <c r="W4430" s="50"/>
    </row>
    <row r="4431" spans="23:23" x14ac:dyDescent="0.2">
      <c r="W4431" s="50"/>
    </row>
    <row r="4432" spans="23:23" x14ac:dyDescent="0.2">
      <c r="W4432" s="50"/>
    </row>
    <row r="4433" spans="23:23" x14ac:dyDescent="0.2">
      <c r="W4433" s="50"/>
    </row>
    <row r="4434" spans="23:23" x14ac:dyDescent="0.2">
      <c r="W4434" s="50"/>
    </row>
    <row r="4435" spans="23:23" x14ac:dyDescent="0.2">
      <c r="W4435" s="50"/>
    </row>
    <row r="4436" spans="23:23" x14ac:dyDescent="0.2">
      <c r="W4436" s="50"/>
    </row>
    <row r="4437" spans="23:23" x14ac:dyDescent="0.2">
      <c r="W4437" s="50"/>
    </row>
    <row r="4438" spans="23:23" x14ac:dyDescent="0.2">
      <c r="W4438" s="50"/>
    </row>
    <row r="4439" spans="23:23" x14ac:dyDescent="0.2">
      <c r="W4439" s="50"/>
    </row>
    <row r="4440" spans="23:23" x14ac:dyDescent="0.2">
      <c r="W4440" s="50"/>
    </row>
    <row r="4441" spans="23:23" x14ac:dyDescent="0.2">
      <c r="W4441" s="50"/>
    </row>
    <row r="4442" spans="23:23" x14ac:dyDescent="0.2">
      <c r="W4442" s="50"/>
    </row>
    <row r="4443" spans="23:23" x14ac:dyDescent="0.2">
      <c r="W4443" s="50"/>
    </row>
    <row r="4444" spans="23:23" x14ac:dyDescent="0.2">
      <c r="W4444" s="50"/>
    </row>
    <row r="4445" spans="23:23" x14ac:dyDescent="0.2">
      <c r="W4445" s="50"/>
    </row>
    <row r="4446" spans="23:23" x14ac:dyDescent="0.2">
      <c r="W4446" s="50"/>
    </row>
    <row r="4447" spans="23:23" x14ac:dyDescent="0.2">
      <c r="W4447" s="50"/>
    </row>
    <row r="4448" spans="23:23" x14ac:dyDescent="0.2">
      <c r="W4448" s="50"/>
    </row>
    <row r="4449" spans="23:23" x14ac:dyDescent="0.2">
      <c r="W4449" s="50"/>
    </row>
    <row r="4450" spans="23:23" x14ac:dyDescent="0.2">
      <c r="W4450" s="50"/>
    </row>
    <row r="4451" spans="23:23" x14ac:dyDescent="0.2">
      <c r="W4451" s="50"/>
    </row>
    <row r="4452" spans="23:23" x14ac:dyDescent="0.2">
      <c r="W4452" s="50"/>
    </row>
    <row r="4453" spans="23:23" x14ac:dyDescent="0.2">
      <c r="W4453" s="50"/>
    </row>
    <row r="4454" spans="23:23" x14ac:dyDescent="0.2">
      <c r="W4454" s="50"/>
    </row>
    <row r="4455" spans="23:23" x14ac:dyDescent="0.2">
      <c r="W4455" s="50"/>
    </row>
    <row r="4456" spans="23:23" x14ac:dyDescent="0.2">
      <c r="W4456" s="50"/>
    </row>
    <row r="4457" spans="23:23" x14ac:dyDescent="0.2">
      <c r="W4457" s="50"/>
    </row>
    <row r="4458" spans="23:23" x14ac:dyDescent="0.2">
      <c r="W4458" s="50"/>
    </row>
    <row r="4459" spans="23:23" x14ac:dyDescent="0.2">
      <c r="W4459" s="50"/>
    </row>
    <row r="4460" spans="23:23" x14ac:dyDescent="0.2">
      <c r="W4460" s="50"/>
    </row>
    <row r="4461" spans="23:23" x14ac:dyDescent="0.2">
      <c r="W4461" s="50"/>
    </row>
    <row r="4462" spans="23:23" x14ac:dyDescent="0.2">
      <c r="W4462" s="50"/>
    </row>
    <row r="4463" spans="23:23" x14ac:dyDescent="0.2">
      <c r="W4463" s="50"/>
    </row>
    <row r="4464" spans="23:23" x14ac:dyDescent="0.2">
      <c r="W4464" s="50"/>
    </row>
    <row r="4465" spans="23:23" x14ac:dyDescent="0.2">
      <c r="W4465" s="50"/>
    </row>
    <row r="4466" spans="23:23" x14ac:dyDescent="0.2">
      <c r="W4466" s="50"/>
    </row>
    <row r="4467" spans="23:23" x14ac:dyDescent="0.2">
      <c r="W4467" s="50"/>
    </row>
    <row r="4468" spans="23:23" x14ac:dyDescent="0.2">
      <c r="W4468" s="50"/>
    </row>
    <row r="4469" spans="23:23" x14ac:dyDescent="0.2">
      <c r="W4469" s="50"/>
    </row>
    <row r="4470" spans="23:23" x14ac:dyDescent="0.2">
      <c r="W4470" s="50"/>
    </row>
    <row r="4471" spans="23:23" x14ac:dyDescent="0.2">
      <c r="W4471" s="50"/>
    </row>
    <row r="4472" spans="23:23" x14ac:dyDescent="0.2">
      <c r="W4472" s="50"/>
    </row>
    <row r="4473" spans="23:23" x14ac:dyDescent="0.2">
      <c r="W4473" s="50"/>
    </row>
    <row r="4474" spans="23:23" x14ac:dyDescent="0.2">
      <c r="W4474" s="50"/>
    </row>
    <row r="4475" spans="23:23" x14ac:dyDescent="0.2">
      <c r="W4475" s="50"/>
    </row>
    <row r="4476" spans="23:23" x14ac:dyDescent="0.2">
      <c r="W4476" s="50"/>
    </row>
    <row r="4477" spans="23:23" x14ac:dyDescent="0.2">
      <c r="W4477" s="50"/>
    </row>
    <row r="4478" spans="23:23" x14ac:dyDescent="0.2">
      <c r="W4478" s="50"/>
    </row>
    <row r="4479" spans="23:23" x14ac:dyDescent="0.2">
      <c r="W4479" s="50"/>
    </row>
    <row r="4480" spans="23:23" x14ac:dyDescent="0.2">
      <c r="W4480" s="50"/>
    </row>
    <row r="4481" spans="23:23" x14ac:dyDescent="0.2">
      <c r="W4481" s="50"/>
    </row>
    <row r="4482" spans="23:23" x14ac:dyDescent="0.2">
      <c r="W4482" s="50"/>
    </row>
    <row r="4483" spans="23:23" x14ac:dyDescent="0.2">
      <c r="W4483" s="50"/>
    </row>
    <row r="4484" spans="23:23" x14ac:dyDescent="0.2">
      <c r="W4484" s="50"/>
    </row>
    <row r="4485" spans="23:23" x14ac:dyDescent="0.2">
      <c r="W4485" s="50"/>
    </row>
    <row r="4486" spans="23:23" x14ac:dyDescent="0.2">
      <c r="W4486" s="50"/>
    </row>
    <row r="4487" spans="23:23" x14ac:dyDescent="0.2">
      <c r="W4487" s="50"/>
    </row>
    <row r="4488" spans="23:23" x14ac:dyDescent="0.2">
      <c r="W4488" s="50"/>
    </row>
    <row r="4489" spans="23:23" x14ac:dyDescent="0.2">
      <c r="W4489" s="50"/>
    </row>
    <row r="4490" spans="23:23" x14ac:dyDescent="0.2">
      <c r="W4490" s="50"/>
    </row>
    <row r="4491" spans="23:23" x14ac:dyDescent="0.2">
      <c r="W4491" s="50"/>
    </row>
    <row r="4492" spans="23:23" x14ac:dyDescent="0.2">
      <c r="W4492" s="50"/>
    </row>
    <row r="4493" spans="23:23" x14ac:dyDescent="0.2">
      <c r="W4493" s="50"/>
    </row>
    <row r="4494" spans="23:23" x14ac:dyDescent="0.2">
      <c r="W4494" s="50"/>
    </row>
    <row r="4495" spans="23:23" x14ac:dyDescent="0.2">
      <c r="W4495" s="50"/>
    </row>
    <row r="4496" spans="23:23" x14ac:dyDescent="0.2">
      <c r="W4496" s="50"/>
    </row>
    <row r="4497" spans="23:23" x14ac:dyDescent="0.2">
      <c r="W4497" s="50"/>
    </row>
    <row r="4498" spans="23:23" x14ac:dyDescent="0.2">
      <c r="W4498" s="50"/>
    </row>
    <row r="4499" spans="23:23" x14ac:dyDescent="0.2">
      <c r="W4499" s="50"/>
    </row>
    <row r="4500" spans="23:23" x14ac:dyDescent="0.2">
      <c r="W4500" s="50"/>
    </row>
    <row r="4501" spans="23:23" x14ac:dyDescent="0.2">
      <c r="W4501" s="50"/>
    </row>
    <row r="4502" spans="23:23" x14ac:dyDescent="0.2">
      <c r="W4502" s="50"/>
    </row>
    <row r="4503" spans="23:23" x14ac:dyDescent="0.2">
      <c r="W4503" s="50"/>
    </row>
    <row r="4504" spans="23:23" x14ac:dyDescent="0.2">
      <c r="W4504" s="50"/>
    </row>
    <row r="4505" spans="23:23" x14ac:dyDescent="0.2">
      <c r="W4505" s="50"/>
    </row>
    <row r="4506" spans="23:23" x14ac:dyDescent="0.2">
      <c r="W4506" s="50"/>
    </row>
    <row r="4507" spans="23:23" x14ac:dyDescent="0.2">
      <c r="W4507" s="50"/>
    </row>
    <row r="4508" spans="23:23" x14ac:dyDescent="0.2">
      <c r="W4508" s="50"/>
    </row>
    <row r="4509" spans="23:23" x14ac:dyDescent="0.2">
      <c r="W4509" s="50"/>
    </row>
    <row r="4510" spans="23:23" x14ac:dyDescent="0.2">
      <c r="W4510" s="50"/>
    </row>
    <row r="4511" spans="23:23" x14ac:dyDescent="0.2">
      <c r="W4511" s="50"/>
    </row>
    <row r="4512" spans="23:23" x14ac:dyDescent="0.2">
      <c r="W4512" s="50"/>
    </row>
    <row r="4513" spans="23:23" x14ac:dyDescent="0.2">
      <c r="W4513" s="50"/>
    </row>
    <row r="4514" spans="23:23" x14ac:dyDescent="0.2">
      <c r="W4514" s="50"/>
    </row>
    <row r="4515" spans="23:23" x14ac:dyDescent="0.2">
      <c r="W4515" s="50"/>
    </row>
    <row r="4516" spans="23:23" x14ac:dyDescent="0.2">
      <c r="W4516" s="50"/>
    </row>
    <row r="4517" spans="23:23" x14ac:dyDescent="0.2">
      <c r="W4517" s="50"/>
    </row>
    <row r="4518" spans="23:23" x14ac:dyDescent="0.2">
      <c r="W4518" s="50"/>
    </row>
    <row r="4519" spans="23:23" x14ac:dyDescent="0.2">
      <c r="W4519" s="50"/>
    </row>
    <row r="4520" spans="23:23" x14ac:dyDescent="0.2">
      <c r="W4520" s="50"/>
    </row>
    <row r="4521" spans="23:23" x14ac:dyDescent="0.2">
      <c r="W4521" s="50"/>
    </row>
    <row r="4522" spans="23:23" x14ac:dyDescent="0.2">
      <c r="W4522" s="50"/>
    </row>
    <row r="4523" spans="23:23" x14ac:dyDescent="0.2">
      <c r="W4523" s="50"/>
    </row>
    <row r="4524" spans="23:23" x14ac:dyDescent="0.2">
      <c r="W4524" s="50"/>
    </row>
    <row r="4525" spans="23:23" x14ac:dyDescent="0.2">
      <c r="W4525" s="50"/>
    </row>
    <row r="4526" spans="23:23" x14ac:dyDescent="0.2">
      <c r="W4526" s="50"/>
    </row>
    <row r="4527" spans="23:23" x14ac:dyDescent="0.2">
      <c r="W4527" s="50"/>
    </row>
    <row r="4528" spans="23:23" x14ac:dyDescent="0.2">
      <c r="W4528" s="50"/>
    </row>
    <row r="4529" spans="23:23" x14ac:dyDescent="0.2">
      <c r="W4529" s="50"/>
    </row>
    <row r="4530" spans="23:23" x14ac:dyDescent="0.2">
      <c r="W4530" s="50"/>
    </row>
    <row r="4531" spans="23:23" x14ac:dyDescent="0.2">
      <c r="W4531" s="50"/>
    </row>
    <row r="4532" spans="23:23" x14ac:dyDescent="0.2">
      <c r="W4532" s="50"/>
    </row>
    <row r="4533" spans="23:23" x14ac:dyDescent="0.2">
      <c r="W4533" s="50"/>
    </row>
    <row r="4534" spans="23:23" x14ac:dyDescent="0.2">
      <c r="W4534" s="50"/>
    </row>
    <row r="4535" spans="23:23" x14ac:dyDescent="0.2">
      <c r="W4535" s="50"/>
    </row>
    <row r="4536" spans="23:23" x14ac:dyDescent="0.2">
      <c r="W4536" s="50"/>
    </row>
    <row r="4537" spans="23:23" x14ac:dyDescent="0.2">
      <c r="W4537" s="50"/>
    </row>
    <row r="4538" spans="23:23" x14ac:dyDescent="0.2">
      <c r="W4538" s="50"/>
    </row>
    <row r="4539" spans="23:23" x14ac:dyDescent="0.2">
      <c r="W4539" s="50"/>
    </row>
    <row r="4540" spans="23:23" x14ac:dyDescent="0.2">
      <c r="W4540" s="50"/>
    </row>
    <row r="4541" spans="23:23" x14ac:dyDescent="0.2">
      <c r="W4541" s="50"/>
    </row>
    <row r="4542" spans="23:23" x14ac:dyDescent="0.2">
      <c r="W4542" s="50"/>
    </row>
    <row r="4543" spans="23:23" x14ac:dyDescent="0.2">
      <c r="W4543" s="50"/>
    </row>
    <row r="4544" spans="23:23" x14ac:dyDescent="0.2">
      <c r="W4544" s="50"/>
    </row>
    <row r="4545" spans="23:23" x14ac:dyDescent="0.2">
      <c r="W4545" s="50"/>
    </row>
    <row r="4546" spans="23:23" x14ac:dyDescent="0.2">
      <c r="W4546" s="50"/>
    </row>
    <row r="4547" spans="23:23" x14ac:dyDescent="0.2">
      <c r="W4547" s="50"/>
    </row>
    <row r="4548" spans="23:23" x14ac:dyDescent="0.2">
      <c r="W4548" s="50"/>
    </row>
    <row r="4549" spans="23:23" x14ac:dyDescent="0.2">
      <c r="W4549" s="50"/>
    </row>
    <row r="4550" spans="23:23" x14ac:dyDescent="0.2">
      <c r="W4550" s="50"/>
    </row>
    <row r="4551" spans="23:23" x14ac:dyDescent="0.2">
      <c r="W4551" s="50"/>
    </row>
    <row r="4552" spans="23:23" x14ac:dyDescent="0.2">
      <c r="W4552" s="50"/>
    </row>
    <row r="4553" spans="23:23" x14ac:dyDescent="0.2">
      <c r="W4553" s="50"/>
    </row>
    <row r="4554" spans="23:23" x14ac:dyDescent="0.2">
      <c r="W4554" s="50"/>
    </row>
    <row r="4555" spans="23:23" x14ac:dyDescent="0.2">
      <c r="W4555" s="50"/>
    </row>
    <row r="4556" spans="23:23" x14ac:dyDescent="0.2">
      <c r="W4556" s="50"/>
    </row>
    <row r="4557" spans="23:23" x14ac:dyDescent="0.2">
      <c r="W4557" s="50"/>
    </row>
    <row r="4558" spans="23:23" x14ac:dyDescent="0.2">
      <c r="W4558" s="50"/>
    </row>
    <row r="4559" spans="23:23" x14ac:dyDescent="0.2">
      <c r="W4559" s="50"/>
    </row>
    <row r="4560" spans="23:23" x14ac:dyDescent="0.2">
      <c r="W4560" s="50"/>
    </row>
    <row r="4561" spans="23:23" x14ac:dyDescent="0.2">
      <c r="W4561" s="50"/>
    </row>
    <row r="4562" spans="23:23" x14ac:dyDescent="0.2">
      <c r="W4562" s="50"/>
    </row>
    <row r="4563" spans="23:23" x14ac:dyDescent="0.2">
      <c r="W4563" s="50"/>
    </row>
    <row r="4564" spans="23:23" x14ac:dyDescent="0.2">
      <c r="W4564" s="50"/>
    </row>
    <row r="4565" spans="23:23" x14ac:dyDescent="0.2">
      <c r="W4565" s="50"/>
    </row>
    <row r="4566" spans="23:23" x14ac:dyDescent="0.2">
      <c r="W4566" s="50"/>
    </row>
    <row r="4567" spans="23:23" x14ac:dyDescent="0.2">
      <c r="W4567" s="50"/>
    </row>
    <row r="4568" spans="23:23" x14ac:dyDescent="0.2">
      <c r="W4568" s="50"/>
    </row>
    <row r="4569" spans="23:23" x14ac:dyDescent="0.2">
      <c r="W4569" s="50"/>
    </row>
    <row r="4570" spans="23:23" x14ac:dyDescent="0.2">
      <c r="W4570" s="50"/>
    </row>
    <row r="4571" spans="23:23" x14ac:dyDescent="0.2">
      <c r="W4571" s="50"/>
    </row>
    <row r="4572" spans="23:23" x14ac:dyDescent="0.2">
      <c r="W4572" s="50"/>
    </row>
    <row r="4573" spans="23:23" x14ac:dyDescent="0.2">
      <c r="W4573" s="50"/>
    </row>
    <row r="4574" spans="23:23" x14ac:dyDescent="0.2">
      <c r="W4574" s="50"/>
    </row>
    <row r="4575" spans="23:23" x14ac:dyDescent="0.2">
      <c r="W4575" s="50"/>
    </row>
    <row r="4576" spans="23:23" x14ac:dyDescent="0.2">
      <c r="W4576" s="50"/>
    </row>
    <row r="4577" spans="23:23" x14ac:dyDescent="0.2">
      <c r="W4577" s="50"/>
    </row>
    <row r="4578" spans="23:23" x14ac:dyDescent="0.2">
      <c r="W4578" s="50"/>
    </row>
    <row r="4579" spans="23:23" x14ac:dyDescent="0.2">
      <c r="W4579" s="50"/>
    </row>
    <row r="4580" spans="23:23" x14ac:dyDescent="0.2">
      <c r="W4580" s="50"/>
    </row>
    <row r="4581" spans="23:23" x14ac:dyDescent="0.2">
      <c r="W4581" s="50"/>
    </row>
    <row r="4582" spans="23:23" x14ac:dyDescent="0.2">
      <c r="W4582" s="50"/>
    </row>
    <row r="4583" spans="23:23" x14ac:dyDescent="0.2">
      <c r="W4583" s="50"/>
    </row>
    <row r="4584" spans="23:23" x14ac:dyDescent="0.2">
      <c r="W4584" s="50"/>
    </row>
    <row r="4585" spans="23:23" x14ac:dyDescent="0.2">
      <c r="W4585" s="50"/>
    </row>
    <row r="4586" spans="23:23" x14ac:dyDescent="0.2">
      <c r="W4586" s="50"/>
    </row>
    <row r="4587" spans="23:23" x14ac:dyDescent="0.2">
      <c r="W4587" s="50"/>
    </row>
    <row r="4588" spans="23:23" x14ac:dyDescent="0.2">
      <c r="W4588" s="50"/>
    </row>
    <row r="4589" spans="23:23" x14ac:dyDescent="0.2">
      <c r="W4589" s="50"/>
    </row>
    <row r="4590" spans="23:23" x14ac:dyDescent="0.2">
      <c r="W4590" s="50"/>
    </row>
    <row r="4591" spans="23:23" x14ac:dyDescent="0.2">
      <c r="W4591" s="50"/>
    </row>
    <row r="4592" spans="23:23" x14ac:dyDescent="0.2">
      <c r="W4592" s="50"/>
    </row>
    <row r="4593" spans="23:23" x14ac:dyDescent="0.2">
      <c r="W4593" s="50"/>
    </row>
    <row r="4594" spans="23:23" x14ac:dyDescent="0.2">
      <c r="W4594" s="50"/>
    </row>
    <row r="4595" spans="23:23" x14ac:dyDescent="0.2">
      <c r="W4595" s="50"/>
    </row>
    <row r="4596" spans="23:23" x14ac:dyDescent="0.2">
      <c r="W4596" s="50"/>
    </row>
    <row r="4597" spans="23:23" x14ac:dyDescent="0.2">
      <c r="W4597" s="50"/>
    </row>
    <row r="4598" spans="23:23" x14ac:dyDescent="0.2">
      <c r="W4598" s="50"/>
    </row>
    <row r="4599" spans="23:23" x14ac:dyDescent="0.2">
      <c r="W4599" s="50"/>
    </row>
    <row r="4600" spans="23:23" x14ac:dyDescent="0.2">
      <c r="W4600" s="50"/>
    </row>
    <row r="4601" spans="23:23" x14ac:dyDescent="0.2">
      <c r="W4601" s="50"/>
    </row>
    <row r="4602" spans="23:23" x14ac:dyDescent="0.2">
      <c r="W4602" s="50"/>
    </row>
    <row r="4603" spans="23:23" x14ac:dyDescent="0.2">
      <c r="W4603" s="50"/>
    </row>
    <row r="4604" spans="23:23" x14ac:dyDescent="0.2">
      <c r="W4604" s="50"/>
    </row>
    <row r="4605" spans="23:23" x14ac:dyDescent="0.2">
      <c r="W4605" s="50"/>
    </row>
    <row r="4606" spans="23:23" x14ac:dyDescent="0.2">
      <c r="W4606" s="50"/>
    </row>
    <row r="4607" spans="23:23" x14ac:dyDescent="0.2">
      <c r="W4607" s="50"/>
    </row>
    <row r="4608" spans="23:23" x14ac:dyDescent="0.2">
      <c r="W4608" s="50"/>
    </row>
    <row r="4609" spans="23:23" x14ac:dyDescent="0.2">
      <c r="W4609" s="50"/>
    </row>
    <row r="4610" spans="23:23" x14ac:dyDescent="0.2">
      <c r="W4610" s="50"/>
    </row>
    <row r="4611" spans="23:23" x14ac:dyDescent="0.2">
      <c r="W4611" s="50"/>
    </row>
    <row r="4612" spans="23:23" x14ac:dyDescent="0.2">
      <c r="W4612" s="50"/>
    </row>
    <row r="4613" spans="23:23" x14ac:dyDescent="0.2">
      <c r="W4613" s="50"/>
    </row>
    <row r="4614" spans="23:23" x14ac:dyDescent="0.2">
      <c r="W4614" s="50"/>
    </row>
    <row r="4615" spans="23:23" x14ac:dyDescent="0.2">
      <c r="W4615" s="50"/>
    </row>
    <row r="4616" spans="23:23" x14ac:dyDescent="0.2">
      <c r="W4616" s="50"/>
    </row>
    <row r="4617" spans="23:23" x14ac:dyDescent="0.2">
      <c r="W4617" s="50"/>
    </row>
    <row r="4618" spans="23:23" x14ac:dyDescent="0.2">
      <c r="W4618" s="50"/>
    </row>
    <row r="4619" spans="23:23" x14ac:dyDescent="0.2">
      <c r="W4619" s="50"/>
    </row>
    <row r="4620" spans="23:23" x14ac:dyDescent="0.2">
      <c r="W4620" s="50"/>
    </row>
    <row r="4621" spans="23:23" x14ac:dyDescent="0.2">
      <c r="W4621" s="50"/>
    </row>
    <row r="4622" spans="23:23" x14ac:dyDescent="0.2">
      <c r="W4622" s="50"/>
    </row>
    <row r="4623" spans="23:23" x14ac:dyDescent="0.2">
      <c r="W4623" s="50"/>
    </row>
    <row r="4624" spans="23:23" x14ac:dyDescent="0.2">
      <c r="W4624" s="50"/>
    </row>
    <row r="4625" spans="23:23" x14ac:dyDescent="0.2">
      <c r="W4625" s="50"/>
    </row>
    <row r="4626" spans="23:23" x14ac:dyDescent="0.2">
      <c r="W4626" s="50"/>
    </row>
    <row r="4627" spans="23:23" x14ac:dyDescent="0.2">
      <c r="W4627" s="50"/>
    </row>
    <row r="4628" spans="23:23" x14ac:dyDescent="0.2">
      <c r="W4628" s="50"/>
    </row>
    <row r="4629" spans="23:23" x14ac:dyDescent="0.2">
      <c r="W4629" s="50"/>
    </row>
    <row r="4630" spans="23:23" x14ac:dyDescent="0.2">
      <c r="W4630" s="50"/>
    </row>
    <row r="4631" spans="23:23" x14ac:dyDescent="0.2">
      <c r="W4631" s="50"/>
    </row>
    <row r="4632" spans="23:23" x14ac:dyDescent="0.2">
      <c r="W4632" s="50"/>
    </row>
    <row r="4633" spans="23:23" x14ac:dyDescent="0.2">
      <c r="W4633" s="50"/>
    </row>
    <row r="4634" spans="23:23" x14ac:dyDescent="0.2">
      <c r="W4634" s="50"/>
    </row>
    <row r="4635" spans="23:23" x14ac:dyDescent="0.2">
      <c r="W4635" s="50"/>
    </row>
    <row r="4636" spans="23:23" x14ac:dyDescent="0.2">
      <c r="W4636" s="50"/>
    </row>
    <row r="4637" spans="23:23" x14ac:dyDescent="0.2">
      <c r="W4637" s="50"/>
    </row>
    <row r="4638" spans="23:23" x14ac:dyDescent="0.2">
      <c r="W4638" s="50"/>
    </row>
    <row r="4639" spans="23:23" x14ac:dyDescent="0.2">
      <c r="W4639" s="50"/>
    </row>
    <row r="4640" spans="23:23" x14ac:dyDescent="0.2">
      <c r="W4640" s="50"/>
    </row>
    <row r="4641" spans="23:23" x14ac:dyDescent="0.2">
      <c r="W4641" s="50"/>
    </row>
    <row r="4642" spans="23:23" x14ac:dyDescent="0.2">
      <c r="W4642" s="50"/>
    </row>
    <row r="4643" spans="23:23" x14ac:dyDescent="0.2">
      <c r="W4643" s="50"/>
    </row>
    <row r="4644" spans="23:23" x14ac:dyDescent="0.2">
      <c r="W4644" s="50"/>
    </row>
    <row r="4645" spans="23:23" x14ac:dyDescent="0.2">
      <c r="W4645" s="50"/>
    </row>
    <row r="4646" spans="23:23" x14ac:dyDescent="0.2">
      <c r="W4646" s="50"/>
    </row>
    <row r="4647" spans="23:23" x14ac:dyDescent="0.2">
      <c r="W4647" s="50"/>
    </row>
    <row r="4648" spans="23:23" x14ac:dyDescent="0.2">
      <c r="W4648" s="50"/>
    </row>
    <row r="4649" spans="23:23" x14ac:dyDescent="0.2">
      <c r="W4649" s="50"/>
    </row>
    <row r="4650" spans="23:23" x14ac:dyDescent="0.2">
      <c r="W4650" s="50"/>
    </row>
    <row r="4651" spans="23:23" x14ac:dyDescent="0.2">
      <c r="W4651" s="50"/>
    </row>
    <row r="4652" spans="23:23" x14ac:dyDescent="0.2">
      <c r="W4652" s="50"/>
    </row>
    <row r="4653" spans="23:23" x14ac:dyDescent="0.2">
      <c r="W4653" s="50"/>
    </row>
    <row r="4654" spans="23:23" x14ac:dyDescent="0.2">
      <c r="W4654" s="50"/>
    </row>
    <row r="4655" spans="23:23" x14ac:dyDescent="0.2">
      <c r="W4655" s="50"/>
    </row>
    <row r="4656" spans="23:23" x14ac:dyDescent="0.2">
      <c r="W4656" s="50"/>
    </row>
    <row r="4657" spans="23:23" x14ac:dyDescent="0.2">
      <c r="W4657" s="50"/>
    </row>
    <row r="4658" spans="23:23" x14ac:dyDescent="0.2">
      <c r="W4658" s="50"/>
    </row>
    <row r="4659" spans="23:23" x14ac:dyDescent="0.2">
      <c r="W4659" s="50"/>
    </row>
    <row r="4660" spans="23:23" x14ac:dyDescent="0.2">
      <c r="W4660" s="50"/>
    </row>
    <row r="4661" spans="23:23" x14ac:dyDescent="0.2">
      <c r="W4661" s="50"/>
    </row>
    <row r="4662" spans="23:23" x14ac:dyDescent="0.2">
      <c r="W4662" s="50"/>
    </row>
    <row r="4663" spans="23:23" x14ac:dyDescent="0.2">
      <c r="W4663" s="50"/>
    </row>
    <row r="4664" spans="23:23" x14ac:dyDescent="0.2">
      <c r="W4664" s="50"/>
    </row>
    <row r="4665" spans="23:23" x14ac:dyDescent="0.2">
      <c r="W4665" s="50"/>
    </row>
    <row r="4666" spans="23:23" x14ac:dyDescent="0.2">
      <c r="W4666" s="50"/>
    </row>
    <row r="4667" spans="23:23" x14ac:dyDescent="0.2">
      <c r="W4667" s="50"/>
    </row>
    <row r="4668" spans="23:23" x14ac:dyDescent="0.2">
      <c r="W4668" s="50"/>
    </row>
    <row r="4669" spans="23:23" x14ac:dyDescent="0.2">
      <c r="W4669" s="50"/>
    </row>
    <row r="4670" spans="23:23" x14ac:dyDescent="0.2">
      <c r="W4670" s="50"/>
    </row>
    <row r="4671" spans="23:23" x14ac:dyDescent="0.2">
      <c r="W4671" s="50"/>
    </row>
    <row r="4672" spans="23:23" x14ac:dyDescent="0.2">
      <c r="W4672" s="50"/>
    </row>
    <row r="4673" spans="23:23" x14ac:dyDescent="0.2">
      <c r="W4673" s="50"/>
    </row>
    <row r="4674" spans="23:23" x14ac:dyDescent="0.2">
      <c r="W4674" s="50"/>
    </row>
    <row r="4675" spans="23:23" x14ac:dyDescent="0.2">
      <c r="W4675" s="50"/>
    </row>
    <row r="4676" spans="23:23" x14ac:dyDescent="0.2">
      <c r="W4676" s="50"/>
    </row>
    <row r="4677" spans="23:23" x14ac:dyDescent="0.2">
      <c r="W4677" s="50"/>
    </row>
    <row r="4678" spans="23:23" x14ac:dyDescent="0.2">
      <c r="W4678" s="50"/>
    </row>
    <row r="4679" spans="23:23" x14ac:dyDescent="0.2">
      <c r="W4679" s="50"/>
    </row>
    <row r="4680" spans="23:23" x14ac:dyDescent="0.2">
      <c r="W4680" s="50"/>
    </row>
    <row r="4681" spans="23:23" x14ac:dyDescent="0.2">
      <c r="W4681" s="50"/>
    </row>
    <row r="4682" spans="23:23" x14ac:dyDescent="0.2">
      <c r="W4682" s="50"/>
    </row>
    <row r="4683" spans="23:23" x14ac:dyDescent="0.2">
      <c r="W4683" s="50"/>
    </row>
    <row r="4684" spans="23:23" x14ac:dyDescent="0.2">
      <c r="W4684" s="50"/>
    </row>
    <row r="4685" spans="23:23" x14ac:dyDescent="0.2">
      <c r="W4685" s="50"/>
    </row>
    <row r="4686" spans="23:23" x14ac:dyDescent="0.2">
      <c r="W4686" s="50"/>
    </row>
    <row r="4687" spans="23:23" x14ac:dyDescent="0.2">
      <c r="W4687" s="50"/>
    </row>
    <row r="4688" spans="23:23" x14ac:dyDescent="0.2">
      <c r="W4688" s="50"/>
    </row>
    <row r="4689" spans="23:23" x14ac:dyDescent="0.2">
      <c r="W4689" s="50"/>
    </row>
    <row r="4690" spans="23:23" x14ac:dyDescent="0.2">
      <c r="W4690" s="50"/>
    </row>
    <row r="4691" spans="23:23" x14ac:dyDescent="0.2">
      <c r="W4691" s="50"/>
    </row>
    <row r="4692" spans="23:23" x14ac:dyDescent="0.2">
      <c r="W4692" s="50"/>
    </row>
    <row r="4693" spans="23:23" x14ac:dyDescent="0.2">
      <c r="W4693" s="50"/>
    </row>
    <row r="4694" spans="23:23" x14ac:dyDescent="0.2">
      <c r="W4694" s="50"/>
    </row>
    <row r="4695" spans="23:23" x14ac:dyDescent="0.2">
      <c r="W4695" s="50"/>
    </row>
    <row r="4696" spans="23:23" x14ac:dyDescent="0.2">
      <c r="W4696" s="50"/>
    </row>
    <row r="4697" spans="23:23" x14ac:dyDescent="0.2">
      <c r="W4697" s="50"/>
    </row>
    <row r="4698" spans="23:23" x14ac:dyDescent="0.2">
      <c r="W4698" s="50"/>
    </row>
    <row r="4699" spans="23:23" x14ac:dyDescent="0.2">
      <c r="W4699" s="50"/>
    </row>
    <row r="4700" spans="23:23" x14ac:dyDescent="0.2">
      <c r="W4700" s="50"/>
    </row>
    <row r="4701" spans="23:23" x14ac:dyDescent="0.2">
      <c r="W4701" s="50"/>
    </row>
    <row r="4702" spans="23:23" x14ac:dyDescent="0.2">
      <c r="W4702" s="50"/>
    </row>
    <row r="4703" spans="23:23" x14ac:dyDescent="0.2">
      <c r="W4703" s="50"/>
    </row>
    <row r="4704" spans="23:23" x14ac:dyDescent="0.2">
      <c r="W4704" s="50"/>
    </row>
    <row r="4705" spans="23:23" x14ac:dyDescent="0.2">
      <c r="W4705" s="50"/>
    </row>
    <row r="4706" spans="23:23" x14ac:dyDescent="0.2">
      <c r="W4706" s="50"/>
    </row>
    <row r="4707" spans="23:23" x14ac:dyDescent="0.2">
      <c r="W4707" s="50"/>
    </row>
    <row r="4708" spans="23:23" x14ac:dyDescent="0.2">
      <c r="W4708" s="50"/>
    </row>
    <row r="4709" spans="23:23" x14ac:dyDescent="0.2">
      <c r="W4709" s="50"/>
    </row>
    <row r="4710" spans="23:23" x14ac:dyDescent="0.2">
      <c r="W4710" s="50"/>
    </row>
    <row r="4711" spans="23:23" x14ac:dyDescent="0.2">
      <c r="W4711" s="50"/>
    </row>
    <row r="4712" spans="23:23" x14ac:dyDescent="0.2">
      <c r="W4712" s="50"/>
    </row>
    <row r="4713" spans="23:23" x14ac:dyDescent="0.2">
      <c r="W4713" s="50"/>
    </row>
    <row r="4714" spans="23:23" x14ac:dyDescent="0.2">
      <c r="W4714" s="50"/>
    </row>
    <row r="4715" spans="23:23" x14ac:dyDescent="0.2">
      <c r="W4715" s="50"/>
    </row>
    <row r="4716" spans="23:23" x14ac:dyDescent="0.2">
      <c r="W4716" s="50"/>
    </row>
    <row r="4717" spans="23:23" x14ac:dyDescent="0.2">
      <c r="W4717" s="50"/>
    </row>
    <row r="4718" spans="23:23" x14ac:dyDescent="0.2">
      <c r="W4718" s="50"/>
    </row>
    <row r="4719" spans="23:23" x14ac:dyDescent="0.2">
      <c r="W4719" s="50"/>
    </row>
    <row r="4720" spans="23:23" x14ac:dyDescent="0.2">
      <c r="W4720" s="50"/>
    </row>
    <row r="4721" spans="23:23" x14ac:dyDescent="0.2">
      <c r="W4721" s="50"/>
    </row>
    <row r="4722" spans="23:23" x14ac:dyDescent="0.2">
      <c r="W4722" s="50"/>
    </row>
    <row r="4723" spans="23:23" x14ac:dyDescent="0.2">
      <c r="W4723" s="50"/>
    </row>
    <row r="4724" spans="23:23" x14ac:dyDescent="0.2">
      <c r="W4724" s="50"/>
    </row>
    <row r="4725" spans="23:23" x14ac:dyDescent="0.2">
      <c r="W4725" s="50"/>
    </row>
    <row r="4726" spans="23:23" x14ac:dyDescent="0.2">
      <c r="W4726" s="50"/>
    </row>
    <row r="4727" spans="23:23" x14ac:dyDescent="0.2">
      <c r="W4727" s="50"/>
    </row>
    <row r="4728" spans="23:23" x14ac:dyDescent="0.2">
      <c r="W4728" s="50"/>
    </row>
    <row r="4729" spans="23:23" x14ac:dyDescent="0.2">
      <c r="W4729" s="50"/>
    </row>
    <row r="4730" spans="23:23" x14ac:dyDescent="0.2">
      <c r="W4730" s="50"/>
    </row>
    <row r="4731" spans="23:23" x14ac:dyDescent="0.2">
      <c r="W4731" s="50"/>
    </row>
    <row r="4732" spans="23:23" x14ac:dyDescent="0.2">
      <c r="W4732" s="50"/>
    </row>
    <row r="4733" spans="23:23" x14ac:dyDescent="0.2">
      <c r="W4733" s="50"/>
    </row>
    <row r="4734" spans="23:23" x14ac:dyDescent="0.2">
      <c r="W4734" s="50"/>
    </row>
    <row r="4735" spans="23:23" x14ac:dyDescent="0.2">
      <c r="W4735" s="50"/>
    </row>
    <row r="4736" spans="23:23" x14ac:dyDescent="0.2">
      <c r="W4736" s="50"/>
    </row>
    <row r="4737" spans="23:23" x14ac:dyDescent="0.2">
      <c r="W4737" s="50"/>
    </row>
    <row r="4738" spans="23:23" x14ac:dyDescent="0.2">
      <c r="W4738" s="50"/>
    </row>
    <row r="4739" spans="23:23" x14ac:dyDescent="0.2">
      <c r="W4739" s="50"/>
    </row>
    <row r="4740" spans="23:23" x14ac:dyDescent="0.2">
      <c r="W4740" s="50"/>
    </row>
    <row r="4741" spans="23:23" x14ac:dyDescent="0.2">
      <c r="W4741" s="50"/>
    </row>
    <row r="4742" spans="23:23" x14ac:dyDescent="0.2">
      <c r="W4742" s="50"/>
    </row>
    <row r="4743" spans="23:23" x14ac:dyDescent="0.2">
      <c r="W4743" s="50"/>
    </row>
    <row r="4744" spans="23:23" x14ac:dyDescent="0.2">
      <c r="W4744" s="50"/>
    </row>
    <row r="4745" spans="23:23" x14ac:dyDescent="0.2">
      <c r="W4745" s="50"/>
    </row>
    <row r="4746" spans="23:23" x14ac:dyDescent="0.2">
      <c r="W4746" s="50"/>
    </row>
    <row r="4747" spans="23:23" x14ac:dyDescent="0.2">
      <c r="W4747" s="50"/>
    </row>
    <row r="4748" spans="23:23" x14ac:dyDescent="0.2">
      <c r="W4748" s="50"/>
    </row>
    <row r="4749" spans="23:23" x14ac:dyDescent="0.2">
      <c r="W4749" s="50"/>
    </row>
    <row r="4750" spans="23:23" x14ac:dyDescent="0.2">
      <c r="W4750" s="50"/>
    </row>
    <row r="4751" spans="23:23" x14ac:dyDescent="0.2">
      <c r="W4751" s="50"/>
    </row>
    <row r="4752" spans="23:23" x14ac:dyDescent="0.2">
      <c r="W4752" s="50"/>
    </row>
    <row r="4753" spans="23:23" x14ac:dyDescent="0.2">
      <c r="W4753" s="50"/>
    </row>
    <row r="4754" spans="23:23" x14ac:dyDescent="0.2">
      <c r="W4754" s="50"/>
    </row>
    <row r="4755" spans="23:23" x14ac:dyDescent="0.2">
      <c r="W4755" s="50"/>
    </row>
    <row r="4756" spans="23:23" x14ac:dyDescent="0.2">
      <c r="W4756" s="50"/>
    </row>
    <row r="4757" spans="23:23" x14ac:dyDescent="0.2">
      <c r="W4757" s="50"/>
    </row>
    <row r="4758" spans="23:23" x14ac:dyDescent="0.2">
      <c r="W4758" s="50"/>
    </row>
    <row r="4759" spans="23:23" x14ac:dyDescent="0.2">
      <c r="W4759" s="50"/>
    </row>
    <row r="4760" spans="23:23" x14ac:dyDescent="0.2">
      <c r="W4760" s="50"/>
    </row>
    <row r="4761" spans="23:23" x14ac:dyDescent="0.2">
      <c r="W4761" s="50"/>
    </row>
    <row r="4762" spans="23:23" x14ac:dyDescent="0.2">
      <c r="W4762" s="50"/>
    </row>
    <row r="4763" spans="23:23" x14ac:dyDescent="0.2">
      <c r="W4763" s="50"/>
    </row>
    <row r="4764" spans="23:23" x14ac:dyDescent="0.2">
      <c r="W4764" s="50"/>
    </row>
    <row r="4765" spans="23:23" x14ac:dyDescent="0.2">
      <c r="W4765" s="50"/>
    </row>
    <row r="4766" spans="23:23" x14ac:dyDescent="0.2">
      <c r="W4766" s="50"/>
    </row>
    <row r="4767" spans="23:23" x14ac:dyDescent="0.2">
      <c r="W4767" s="50"/>
    </row>
    <row r="4768" spans="23:23" x14ac:dyDescent="0.2">
      <c r="W4768" s="50"/>
    </row>
    <row r="4769" spans="23:23" x14ac:dyDescent="0.2">
      <c r="W4769" s="50"/>
    </row>
    <row r="4770" spans="23:23" x14ac:dyDescent="0.2">
      <c r="W4770" s="50"/>
    </row>
    <row r="4771" spans="23:23" x14ac:dyDescent="0.2">
      <c r="W4771" s="50"/>
    </row>
    <row r="4772" spans="23:23" x14ac:dyDescent="0.2">
      <c r="W4772" s="50"/>
    </row>
    <row r="4773" spans="23:23" x14ac:dyDescent="0.2">
      <c r="W4773" s="50"/>
    </row>
    <row r="4774" spans="23:23" x14ac:dyDescent="0.2">
      <c r="W4774" s="50"/>
    </row>
    <row r="4775" spans="23:23" x14ac:dyDescent="0.2">
      <c r="W4775" s="50"/>
    </row>
    <row r="4776" spans="23:23" x14ac:dyDescent="0.2">
      <c r="W4776" s="50"/>
    </row>
    <row r="4777" spans="23:23" x14ac:dyDescent="0.2">
      <c r="W4777" s="50"/>
    </row>
    <row r="4778" spans="23:23" x14ac:dyDescent="0.2">
      <c r="W4778" s="50"/>
    </row>
    <row r="4779" spans="23:23" x14ac:dyDescent="0.2">
      <c r="W4779" s="50"/>
    </row>
    <row r="4780" spans="23:23" x14ac:dyDescent="0.2">
      <c r="W4780" s="50"/>
    </row>
    <row r="4781" spans="23:23" x14ac:dyDescent="0.2">
      <c r="W4781" s="50"/>
    </row>
    <row r="4782" spans="23:23" x14ac:dyDescent="0.2">
      <c r="W4782" s="50"/>
    </row>
    <row r="4783" spans="23:23" x14ac:dyDescent="0.2">
      <c r="W4783" s="50"/>
    </row>
    <row r="4784" spans="23:23" x14ac:dyDescent="0.2">
      <c r="W4784" s="50"/>
    </row>
    <row r="4785" spans="23:23" x14ac:dyDescent="0.2">
      <c r="W4785" s="50"/>
    </row>
    <row r="4786" spans="23:23" x14ac:dyDescent="0.2">
      <c r="W4786" s="50"/>
    </row>
    <row r="4787" spans="23:23" x14ac:dyDescent="0.2">
      <c r="W4787" s="50"/>
    </row>
    <row r="4788" spans="23:23" x14ac:dyDescent="0.2">
      <c r="W4788" s="50"/>
    </row>
    <row r="4789" spans="23:23" x14ac:dyDescent="0.2">
      <c r="W4789" s="50"/>
    </row>
    <row r="4790" spans="23:23" x14ac:dyDescent="0.2">
      <c r="W4790" s="50"/>
    </row>
    <row r="4791" spans="23:23" x14ac:dyDescent="0.2">
      <c r="W4791" s="50"/>
    </row>
    <row r="4792" spans="23:23" x14ac:dyDescent="0.2">
      <c r="W4792" s="50"/>
    </row>
    <row r="4793" spans="23:23" x14ac:dyDescent="0.2">
      <c r="W4793" s="50"/>
    </row>
    <row r="4794" spans="23:23" x14ac:dyDescent="0.2">
      <c r="W4794" s="50"/>
    </row>
    <row r="4795" spans="23:23" x14ac:dyDescent="0.2">
      <c r="W4795" s="50"/>
    </row>
    <row r="4796" spans="23:23" x14ac:dyDescent="0.2">
      <c r="W4796" s="50"/>
    </row>
    <row r="4797" spans="23:23" x14ac:dyDescent="0.2">
      <c r="W4797" s="50"/>
    </row>
    <row r="4798" spans="23:23" x14ac:dyDescent="0.2">
      <c r="W4798" s="50"/>
    </row>
    <row r="4799" spans="23:23" x14ac:dyDescent="0.2">
      <c r="W4799" s="50"/>
    </row>
    <row r="4800" spans="23:23" x14ac:dyDescent="0.2">
      <c r="W4800" s="50"/>
    </row>
    <row r="4801" spans="23:23" x14ac:dyDescent="0.2">
      <c r="W4801" s="50"/>
    </row>
    <row r="4802" spans="23:23" x14ac:dyDescent="0.2">
      <c r="W4802" s="50"/>
    </row>
    <row r="4803" spans="23:23" x14ac:dyDescent="0.2">
      <c r="W4803" s="50"/>
    </row>
    <row r="4804" spans="23:23" x14ac:dyDescent="0.2">
      <c r="W4804" s="50"/>
    </row>
    <row r="4805" spans="23:23" x14ac:dyDescent="0.2">
      <c r="W4805" s="50"/>
    </row>
    <row r="4806" spans="23:23" x14ac:dyDescent="0.2">
      <c r="W4806" s="50"/>
    </row>
    <row r="4807" spans="23:23" x14ac:dyDescent="0.2">
      <c r="W4807" s="50"/>
    </row>
    <row r="4808" spans="23:23" x14ac:dyDescent="0.2">
      <c r="W4808" s="50"/>
    </row>
    <row r="4809" spans="23:23" x14ac:dyDescent="0.2">
      <c r="W4809" s="50"/>
    </row>
    <row r="4810" spans="23:23" x14ac:dyDescent="0.2">
      <c r="W4810" s="50"/>
    </row>
    <row r="4811" spans="23:23" x14ac:dyDescent="0.2">
      <c r="W4811" s="50"/>
    </row>
    <row r="4812" spans="23:23" x14ac:dyDescent="0.2">
      <c r="W4812" s="50"/>
    </row>
    <row r="4813" spans="23:23" x14ac:dyDescent="0.2">
      <c r="W4813" s="50"/>
    </row>
    <row r="4814" spans="23:23" x14ac:dyDescent="0.2">
      <c r="W4814" s="50"/>
    </row>
    <row r="4815" spans="23:23" x14ac:dyDescent="0.2">
      <c r="W4815" s="50"/>
    </row>
    <row r="4816" spans="23:23" x14ac:dyDescent="0.2">
      <c r="W4816" s="50"/>
    </row>
    <row r="4817" spans="23:23" x14ac:dyDescent="0.2">
      <c r="W4817" s="50"/>
    </row>
    <row r="4818" spans="23:23" x14ac:dyDescent="0.2">
      <c r="W4818" s="50"/>
    </row>
    <row r="4819" spans="23:23" x14ac:dyDescent="0.2">
      <c r="W4819" s="50"/>
    </row>
    <row r="4820" spans="23:23" x14ac:dyDescent="0.2">
      <c r="W4820" s="50"/>
    </row>
    <row r="4821" spans="23:23" x14ac:dyDescent="0.2">
      <c r="W4821" s="50"/>
    </row>
    <row r="4822" spans="23:23" x14ac:dyDescent="0.2">
      <c r="W4822" s="50"/>
    </row>
    <row r="4823" spans="23:23" x14ac:dyDescent="0.2">
      <c r="W4823" s="50"/>
    </row>
    <row r="4824" spans="23:23" x14ac:dyDescent="0.2">
      <c r="W4824" s="50"/>
    </row>
    <row r="4825" spans="23:23" x14ac:dyDescent="0.2">
      <c r="W4825" s="50"/>
    </row>
    <row r="4826" spans="23:23" x14ac:dyDescent="0.2">
      <c r="W4826" s="50"/>
    </row>
    <row r="4827" spans="23:23" x14ac:dyDescent="0.2">
      <c r="W4827" s="50"/>
    </row>
    <row r="4828" spans="23:23" x14ac:dyDescent="0.2">
      <c r="W4828" s="50"/>
    </row>
    <row r="4829" spans="23:23" x14ac:dyDescent="0.2">
      <c r="W4829" s="50"/>
    </row>
    <row r="4830" spans="23:23" x14ac:dyDescent="0.2">
      <c r="W4830" s="50"/>
    </row>
    <row r="4831" spans="23:23" x14ac:dyDescent="0.2">
      <c r="W4831" s="50"/>
    </row>
    <row r="4832" spans="23:23" x14ac:dyDescent="0.2">
      <c r="W4832" s="50"/>
    </row>
    <row r="4833" spans="23:23" x14ac:dyDescent="0.2">
      <c r="W4833" s="50"/>
    </row>
    <row r="4834" spans="23:23" x14ac:dyDescent="0.2">
      <c r="W4834" s="50"/>
    </row>
    <row r="4835" spans="23:23" x14ac:dyDescent="0.2">
      <c r="W4835" s="50"/>
    </row>
    <row r="4836" spans="23:23" x14ac:dyDescent="0.2">
      <c r="W4836" s="50"/>
    </row>
    <row r="4837" spans="23:23" x14ac:dyDescent="0.2">
      <c r="W4837" s="50"/>
    </row>
    <row r="4838" spans="23:23" x14ac:dyDescent="0.2">
      <c r="W4838" s="50"/>
    </row>
    <row r="4839" spans="23:23" x14ac:dyDescent="0.2">
      <c r="W4839" s="50"/>
    </row>
    <row r="4840" spans="23:23" x14ac:dyDescent="0.2">
      <c r="W4840" s="50"/>
    </row>
    <row r="4841" spans="23:23" x14ac:dyDescent="0.2">
      <c r="W4841" s="50"/>
    </row>
    <row r="4842" spans="23:23" x14ac:dyDescent="0.2">
      <c r="W4842" s="50"/>
    </row>
    <row r="4843" spans="23:23" x14ac:dyDescent="0.2">
      <c r="W4843" s="50"/>
    </row>
    <row r="4844" spans="23:23" x14ac:dyDescent="0.2">
      <c r="W4844" s="50"/>
    </row>
    <row r="4845" spans="23:23" x14ac:dyDescent="0.2">
      <c r="W4845" s="50"/>
    </row>
    <row r="4846" spans="23:23" x14ac:dyDescent="0.2">
      <c r="W4846" s="50"/>
    </row>
    <row r="4847" spans="23:23" x14ac:dyDescent="0.2">
      <c r="W4847" s="50"/>
    </row>
    <row r="4848" spans="23:23" x14ac:dyDescent="0.2">
      <c r="W4848" s="50"/>
    </row>
    <row r="4849" spans="23:23" x14ac:dyDescent="0.2">
      <c r="W4849" s="50"/>
    </row>
    <row r="4850" spans="23:23" x14ac:dyDescent="0.2">
      <c r="W4850" s="50"/>
    </row>
    <row r="4851" spans="23:23" x14ac:dyDescent="0.2">
      <c r="W4851" s="50"/>
    </row>
    <row r="4852" spans="23:23" x14ac:dyDescent="0.2">
      <c r="W4852" s="50"/>
    </row>
    <row r="4853" spans="23:23" x14ac:dyDescent="0.2">
      <c r="W4853" s="50"/>
    </row>
    <row r="4854" spans="23:23" x14ac:dyDescent="0.2">
      <c r="W4854" s="50"/>
    </row>
    <row r="4855" spans="23:23" x14ac:dyDescent="0.2">
      <c r="W4855" s="50"/>
    </row>
    <row r="4856" spans="23:23" x14ac:dyDescent="0.2">
      <c r="W4856" s="50"/>
    </row>
    <row r="4857" spans="23:23" x14ac:dyDescent="0.2">
      <c r="W4857" s="50"/>
    </row>
    <row r="4858" spans="23:23" x14ac:dyDescent="0.2">
      <c r="W4858" s="50"/>
    </row>
    <row r="4859" spans="23:23" x14ac:dyDescent="0.2">
      <c r="W4859" s="50"/>
    </row>
    <row r="4860" spans="23:23" x14ac:dyDescent="0.2">
      <c r="W4860" s="50"/>
    </row>
    <row r="4861" spans="23:23" x14ac:dyDescent="0.2">
      <c r="W4861" s="50"/>
    </row>
    <row r="4862" spans="23:23" x14ac:dyDescent="0.2">
      <c r="W4862" s="50"/>
    </row>
    <row r="4863" spans="23:23" x14ac:dyDescent="0.2">
      <c r="W4863" s="50"/>
    </row>
    <row r="4864" spans="23:23" x14ac:dyDescent="0.2">
      <c r="W4864" s="50"/>
    </row>
    <row r="4865" spans="23:23" x14ac:dyDescent="0.2">
      <c r="W4865" s="50"/>
    </row>
    <row r="4866" spans="23:23" x14ac:dyDescent="0.2">
      <c r="W4866" s="50"/>
    </row>
    <row r="4867" spans="23:23" x14ac:dyDescent="0.2">
      <c r="W4867" s="50"/>
    </row>
    <row r="4868" spans="23:23" x14ac:dyDescent="0.2">
      <c r="W4868" s="50"/>
    </row>
    <row r="4869" spans="23:23" x14ac:dyDescent="0.2">
      <c r="W4869" s="50"/>
    </row>
    <row r="4870" spans="23:23" x14ac:dyDescent="0.2">
      <c r="W4870" s="50"/>
    </row>
    <row r="4871" spans="23:23" x14ac:dyDescent="0.2">
      <c r="W4871" s="50"/>
    </row>
    <row r="4872" spans="23:23" x14ac:dyDescent="0.2">
      <c r="W4872" s="50"/>
    </row>
    <row r="4873" spans="23:23" x14ac:dyDescent="0.2">
      <c r="W4873" s="50"/>
    </row>
    <row r="4874" spans="23:23" x14ac:dyDescent="0.2">
      <c r="W4874" s="50"/>
    </row>
    <row r="4875" spans="23:23" x14ac:dyDescent="0.2">
      <c r="W4875" s="50"/>
    </row>
    <row r="4876" spans="23:23" x14ac:dyDescent="0.2">
      <c r="W4876" s="50"/>
    </row>
    <row r="4877" spans="23:23" x14ac:dyDescent="0.2">
      <c r="W4877" s="50"/>
    </row>
    <row r="4878" spans="23:23" x14ac:dyDescent="0.2">
      <c r="W4878" s="50"/>
    </row>
    <row r="4879" spans="23:23" x14ac:dyDescent="0.2">
      <c r="W4879" s="50"/>
    </row>
    <row r="4880" spans="23:23" x14ac:dyDescent="0.2">
      <c r="W4880" s="50"/>
    </row>
    <row r="4881" spans="23:23" x14ac:dyDescent="0.2">
      <c r="W4881" s="50"/>
    </row>
    <row r="4882" spans="23:23" x14ac:dyDescent="0.2">
      <c r="W4882" s="50"/>
    </row>
    <row r="4883" spans="23:23" x14ac:dyDescent="0.2">
      <c r="W4883" s="50"/>
    </row>
    <row r="4884" spans="23:23" x14ac:dyDescent="0.2">
      <c r="W4884" s="50"/>
    </row>
    <row r="4885" spans="23:23" x14ac:dyDescent="0.2">
      <c r="W4885" s="50"/>
    </row>
    <row r="4886" spans="23:23" x14ac:dyDescent="0.2">
      <c r="W4886" s="50"/>
    </row>
    <row r="4887" spans="23:23" x14ac:dyDescent="0.2">
      <c r="W4887" s="50"/>
    </row>
    <row r="4888" spans="23:23" x14ac:dyDescent="0.2">
      <c r="W4888" s="50"/>
    </row>
    <row r="4889" spans="23:23" x14ac:dyDescent="0.2">
      <c r="W4889" s="50"/>
    </row>
    <row r="4890" spans="23:23" x14ac:dyDescent="0.2">
      <c r="W4890" s="50"/>
    </row>
    <row r="4891" spans="23:23" x14ac:dyDescent="0.2">
      <c r="W4891" s="50"/>
    </row>
    <row r="4892" spans="23:23" x14ac:dyDescent="0.2">
      <c r="W4892" s="50"/>
    </row>
    <row r="4893" spans="23:23" x14ac:dyDescent="0.2">
      <c r="W4893" s="50"/>
    </row>
    <row r="4894" spans="23:23" x14ac:dyDescent="0.2">
      <c r="W4894" s="50"/>
    </row>
    <row r="4895" spans="23:23" x14ac:dyDescent="0.2">
      <c r="W4895" s="50"/>
    </row>
    <row r="4896" spans="23:23" x14ac:dyDescent="0.2">
      <c r="W4896" s="50"/>
    </row>
    <row r="4897" spans="23:23" x14ac:dyDescent="0.2">
      <c r="W4897" s="50"/>
    </row>
    <row r="4898" spans="23:23" x14ac:dyDescent="0.2">
      <c r="W4898" s="50"/>
    </row>
    <row r="4899" spans="23:23" x14ac:dyDescent="0.2">
      <c r="W4899" s="50"/>
    </row>
    <row r="4900" spans="23:23" x14ac:dyDescent="0.2">
      <c r="W4900" s="50"/>
    </row>
    <row r="4901" spans="23:23" x14ac:dyDescent="0.2">
      <c r="W4901" s="50"/>
    </row>
    <row r="4902" spans="23:23" x14ac:dyDescent="0.2">
      <c r="W4902" s="50"/>
    </row>
    <row r="4903" spans="23:23" x14ac:dyDescent="0.2">
      <c r="W4903" s="50"/>
    </row>
    <row r="4904" spans="23:23" x14ac:dyDescent="0.2">
      <c r="W4904" s="50"/>
    </row>
    <row r="4905" spans="23:23" x14ac:dyDescent="0.2">
      <c r="W4905" s="50"/>
    </row>
    <row r="4906" spans="23:23" x14ac:dyDescent="0.2">
      <c r="W4906" s="50"/>
    </row>
    <row r="4907" spans="23:23" x14ac:dyDescent="0.2">
      <c r="W4907" s="50"/>
    </row>
    <row r="4908" spans="23:23" x14ac:dyDescent="0.2">
      <c r="W4908" s="50"/>
    </row>
    <row r="4909" spans="23:23" x14ac:dyDescent="0.2">
      <c r="W4909" s="50"/>
    </row>
    <row r="4910" spans="23:23" x14ac:dyDescent="0.2">
      <c r="W4910" s="50"/>
    </row>
    <row r="4911" spans="23:23" x14ac:dyDescent="0.2">
      <c r="W4911" s="50"/>
    </row>
    <row r="4912" spans="23:23" x14ac:dyDescent="0.2">
      <c r="W4912" s="50"/>
    </row>
    <row r="4913" spans="23:23" x14ac:dyDescent="0.2">
      <c r="W4913" s="50"/>
    </row>
    <row r="4914" spans="23:23" x14ac:dyDescent="0.2">
      <c r="W4914" s="50"/>
    </row>
    <row r="4915" spans="23:23" x14ac:dyDescent="0.2">
      <c r="W4915" s="50"/>
    </row>
    <row r="4916" spans="23:23" x14ac:dyDescent="0.2">
      <c r="W4916" s="50"/>
    </row>
    <row r="4917" spans="23:23" x14ac:dyDescent="0.2">
      <c r="W4917" s="50"/>
    </row>
    <row r="4918" spans="23:23" x14ac:dyDescent="0.2">
      <c r="W4918" s="50"/>
    </row>
    <row r="4919" spans="23:23" x14ac:dyDescent="0.2">
      <c r="W4919" s="50"/>
    </row>
    <row r="4920" spans="23:23" x14ac:dyDescent="0.2">
      <c r="W4920" s="50"/>
    </row>
    <row r="4921" spans="23:23" x14ac:dyDescent="0.2">
      <c r="W4921" s="50"/>
    </row>
    <row r="4922" spans="23:23" x14ac:dyDescent="0.2">
      <c r="W4922" s="50"/>
    </row>
    <row r="4923" spans="23:23" x14ac:dyDescent="0.2">
      <c r="W4923" s="50"/>
    </row>
    <row r="4924" spans="23:23" x14ac:dyDescent="0.2">
      <c r="W4924" s="50"/>
    </row>
    <row r="4925" spans="23:23" x14ac:dyDescent="0.2">
      <c r="W4925" s="50"/>
    </row>
    <row r="4926" spans="23:23" x14ac:dyDescent="0.2">
      <c r="W4926" s="50"/>
    </row>
    <row r="4927" spans="23:23" x14ac:dyDescent="0.2">
      <c r="W4927" s="50"/>
    </row>
    <row r="4928" spans="23:23" x14ac:dyDescent="0.2">
      <c r="W4928" s="50"/>
    </row>
    <row r="4929" spans="23:23" x14ac:dyDescent="0.2">
      <c r="W4929" s="50"/>
    </row>
    <row r="4930" spans="23:23" x14ac:dyDescent="0.2">
      <c r="W4930" s="50"/>
    </row>
    <row r="4931" spans="23:23" x14ac:dyDescent="0.2">
      <c r="W4931" s="50"/>
    </row>
    <row r="4932" spans="23:23" x14ac:dyDescent="0.2">
      <c r="W4932" s="50"/>
    </row>
    <row r="4933" spans="23:23" x14ac:dyDescent="0.2">
      <c r="W4933" s="50"/>
    </row>
    <row r="4934" spans="23:23" x14ac:dyDescent="0.2">
      <c r="W4934" s="50"/>
    </row>
    <row r="4935" spans="23:23" x14ac:dyDescent="0.2">
      <c r="W4935" s="50"/>
    </row>
    <row r="4936" spans="23:23" x14ac:dyDescent="0.2">
      <c r="W4936" s="50"/>
    </row>
    <row r="4937" spans="23:23" x14ac:dyDescent="0.2">
      <c r="W4937" s="50"/>
    </row>
    <row r="4938" spans="23:23" x14ac:dyDescent="0.2">
      <c r="W4938" s="50"/>
    </row>
    <row r="4939" spans="23:23" x14ac:dyDescent="0.2">
      <c r="W4939" s="50"/>
    </row>
    <row r="4940" spans="23:23" x14ac:dyDescent="0.2">
      <c r="W4940" s="50"/>
    </row>
    <row r="4941" spans="23:23" x14ac:dyDescent="0.2">
      <c r="W4941" s="50"/>
    </row>
    <row r="4942" spans="23:23" x14ac:dyDescent="0.2">
      <c r="W4942" s="50"/>
    </row>
    <row r="4943" spans="23:23" x14ac:dyDescent="0.2">
      <c r="W4943" s="50"/>
    </row>
    <row r="4944" spans="23:23" x14ac:dyDescent="0.2">
      <c r="W4944" s="50"/>
    </row>
    <row r="4945" spans="23:23" x14ac:dyDescent="0.2">
      <c r="W4945" s="50"/>
    </row>
    <row r="4946" spans="23:23" x14ac:dyDescent="0.2">
      <c r="W4946" s="50"/>
    </row>
    <row r="4947" spans="23:23" x14ac:dyDescent="0.2">
      <c r="W4947" s="50"/>
    </row>
    <row r="4948" spans="23:23" x14ac:dyDescent="0.2">
      <c r="W4948" s="50"/>
    </row>
    <row r="4949" spans="23:23" x14ac:dyDescent="0.2">
      <c r="W4949" s="50"/>
    </row>
    <row r="4950" spans="23:23" x14ac:dyDescent="0.2">
      <c r="W4950" s="50"/>
    </row>
    <row r="4951" spans="23:23" x14ac:dyDescent="0.2">
      <c r="W4951" s="50"/>
    </row>
    <row r="4952" spans="23:23" x14ac:dyDescent="0.2">
      <c r="W4952" s="50"/>
    </row>
    <row r="4953" spans="23:23" x14ac:dyDescent="0.2">
      <c r="W4953" s="50"/>
    </row>
    <row r="4954" spans="23:23" x14ac:dyDescent="0.2">
      <c r="W4954" s="50"/>
    </row>
    <row r="4955" spans="23:23" x14ac:dyDescent="0.2">
      <c r="W4955" s="50"/>
    </row>
    <row r="4956" spans="23:23" x14ac:dyDescent="0.2">
      <c r="W4956" s="50"/>
    </row>
    <row r="4957" spans="23:23" x14ac:dyDescent="0.2">
      <c r="W4957" s="50"/>
    </row>
    <row r="4958" spans="23:23" x14ac:dyDescent="0.2">
      <c r="W4958" s="50"/>
    </row>
    <row r="4959" spans="23:23" x14ac:dyDescent="0.2">
      <c r="W4959" s="50"/>
    </row>
    <row r="4960" spans="23:23" x14ac:dyDescent="0.2">
      <c r="W4960" s="50"/>
    </row>
    <row r="4961" spans="23:23" x14ac:dyDescent="0.2">
      <c r="W4961" s="50"/>
    </row>
    <row r="4962" spans="23:23" x14ac:dyDescent="0.2">
      <c r="W4962" s="50"/>
    </row>
    <row r="4963" spans="23:23" x14ac:dyDescent="0.2">
      <c r="W4963" s="50"/>
    </row>
    <row r="4964" spans="23:23" x14ac:dyDescent="0.2">
      <c r="W4964" s="50"/>
    </row>
    <row r="4965" spans="23:23" x14ac:dyDescent="0.2">
      <c r="W4965" s="50"/>
    </row>
    <row r="4966" spans="23:23" x14ac:dyDescent="0.2">
      <c r="W4966" s="50"/>
    </row>
    <row r="4967" spans="23:23" x14ac:dyDescent="0.2">
      <c r="W4967" s="50"/>
    </row>
    <row r="4968" spans="23:23" x14ac:dyDescent="0.2">
      <c r="W4968" s="50"/>
    </row>
    <row r="4969" spans="23:23" x14ac:dyDescent="0.2">
      <c r="W4969" s="50"/>
    </row>
    <row r="4970" spans="23:23" x14ac:dyDescent="0.2">
      <c r="W4970" s="50"/>
    </row>
    <row r="4971" spans="23:23" x14ac:dyDescent="0.2">
      <c r="W4971" s="50"/>
    </row>
    <row r="4972" spans="23:23" x14ac:dyDescent="0.2">
      <c r="W4972" s="50"/>
    </row>
    <row r="4973" spans="23:23" x14ac:dyDescent="0.2">
      <c r="W4973" s="50"/>
    </row>
    <row r="4974" spans="23:23" x14ac:dyDescent="0.2">
      <c r="W4974" s="50"/>
    </row>
    <row r="4975" spans="23:23" x14ac:dyDescent="0.2">
      <c r="W4975" s="50"/>
    </row>
    <row r="4976" spans="23:23" x14ac:dyDescent="0.2">
      <c r="W4976" s="50"/>
    </row>
    <row r="4977" spans="23:23" x14ac:dyDescent="0.2">
      <c r="W4977" s="50"/>
    </row>
    <row r="4978" spans="23:23" x14ac:dyDescent="0.2">
      <c r="W4978" s="50"/>
    </row>
    <row r="4979" spans="23:23" x14ac:dyDescent="0.2">
      <c r="W4979" s="50"/>
    </row>
    <row r="4980" spans="23:23" x14ac:dyDescent="0.2">
      <c r="W4980" s="50"/>
    </row>
    <row r="4981" spans="23:23" x14ac:dyDescent="0.2">
      <c r="W4981" s="50"/>
    </row>
    <row r="4982" spans="23:23" x14ac:dyDescent="0.2">
      <c r="W4982" s="50"/>
    </row>
    <row r="4983" spans="23:23" x14ac:dyDescent="0.2">
      <c r="W4983" s="50"/>
    </row>
    <row r="4984" spans="23:23" x14ac:dyDescent="0.2">
      <c r="W4984" s="50"/>
    </row>
    <row r="4985" spans="23:23" x14ac:dyDescent="0.2">
      <c r="W4985" s="50"/>
    </row>
    <row r="4986" spans="23:23" x14ac:dyDescent="0.2">
      <c r="W4986" s="50"/>
    </row>
    <row r="4987" spans="23:23" x14ac:dyDescent="0.2">
      <c r="W4987" s="50"/>
    </row>
    <row r="4988" spans="23:23" x14ac:dyDescent="0.2">
      <c r="W4988" s="50"/>
    </row>
    <row r="4989" spans="23:23" x14ac:dyDescent="0.2">
      <c r="W4989" s="50"/>
    </row>
    <row r="4990" spans="23:23" x14ac:dyDescent="0.2">
      <c r="W4990" s="50"/>
    </row>
    <row r="4991" spans="23:23" x14ac:dyDescent="0.2">
      <c r="W4991" s="50"/>
    </row>
    <row r="4992" spans="23:23" x14ac:dyDescent="0.2">
      <c r="W4992" s="50"/>
    </row>
    <row r="4993" spans="23:23" x14ac:dyDescent="0.2">
      <c r="W4993" s="50"/>
    </row>
    <row r="4994" spans="23:23" x14ac:dyDescent="0.2">
      <c r="W4994" s="50"/>
    </row>
    <row r="4995" spans="23:23" x14ac:dyDescent="0.2">
      <c r="W4995" s="50"/>
    </row>
    <row r="4996" spans="23:23" x14ac:dyDescent="0.2">
      <c r="W4996" s="50"/>
    </row>
    <row r="4997" spans="23:23" x14ac:dyDescent="0.2">
      <c r="W4997" s="50"/>
    </row>
    <row r="4998" spans="23:23" x14ac:dyDescent="0.2">
      <c r="W4998" s="50"/>
    </row>
    <row r="4999" spans="23:23" x14ac:dyDescent="0.2">
      <c r="W4999" s="50"/>
    </row>
    <row r="5000" spans="23:23" x14ac:dyDescent="0.2">
      <c r="W5000" s="50"/>
    </row>
    <row r="5001" spans="23:23" x14ac:dyDescent="0.2">
      <c r="W5001" s="50"/>
    </row>
    <row r="5002" spans="23:23" x14ac:dyDescent="0.2">
      <c r="W5002" s="50"/>
    </row>
    <row r="5003" spans="23:23" x14ac:dyDescent="0.2">
      <c r="W5003" s="50"/>
    </row>
    <row r="5004" spans="23:23" x14ac:dyDescent="0.2">
      <c r="W5004" s="50"/>
    </row>
    <row r="5005" spans="23:23" x14ac:dyDescent="0.2">
      <c r="W5005" s="50"/>
    </row>
    <row r="5006" spans="23:23" x14ac:dyDescent="0.2">
      <c r="W5006" s="50"/>
    </row>
    <row r="5007" spans="23:23" x14ac:dyDescent="0.2">
      <c r="W5007" s="50"/>
    </row>
    <row r="5008" spans="23:23" x14ac:dyDescent="0.2">
      <c r="W5008" s="50"/>
    </row>
    <row r="5009" spans="23:23" x14ac:dyDescent="0.2">
      <c r="W5009" s="50"/>
    </row>
    <row r="5010" spans="23:23" x14ac:dyDescent="0.2">
      <c r="W5010" s="50"/>
    </row>
    <row r="5011" spans="23:23" x14ac:dyDescent="0.2">
      <c r="W5011" s="50"/>
    </row>
    <row r="5012" spans="23:23" x14ac:dyDescent="0.2">
      <c r="W5012" s="50"/>
    </row>
    <row r="5013" spans="23:23" x14ac:dyDescent="0.2">
      <c r="W5013" s="50"/>
    </row>
    <row r="5014" spans="23:23" x14ac:dyDescent="0.2">
      <c r="W5014" s="50"/>
    </row>
    <row r="5015" spans="23:23" x14ac:dyDescent="0.2">
      <c r="W5015" s="50"/>
    </row>
    <row r="5016" spans="23:23" x14ac:dyDescent="0.2">
      <c r="W5016" s="50"/>
    </row>
    <row r="5017" spans="23:23" x14ac:dyDescent="0.2">
      <c r="W5017" s="50"/>
    </row>
    <row r="5018" spans="23:23" x14ac:dyDescent="0.2">
      <c r="W5018" s="50"/>
    </row>
    <row r="5019" spans="23:23" x14ac:dyDescent="0.2">
      <c r="W5019" s="50"/>
    </row>
    <row r="5020" spans="23:23" x14ac:dyDescent="0.2">
      <c r="W5020" s="50"/>
    </row>
    <row r="5021" spans="23:23" x14ac:dyDescent="0.2">
      <c r="W5021" s="50"/>
    </row>
    <row r="5022" spans="23:23" x14ac:dyDescent="0.2">
      <c r="W5022" s="50"/>
    </row>
    <row r="5023" spans="23:23" x14ac:dyDescent="0.2">
      <c r="W5023" s="50"/>
    </row>
    <row r="5024" spans="23:23" x14ac:dyDescent="0.2">
      <c r="W5024" s="50"/>
    </row>
    <row r="5025" spans="23:23" x14ac:dyDescent="0.2">
      <c r="W5025" s="50"/>
    </row>
    <row r="5026" spans="23:23" x14ac:dyDescent="0.2">
      <c r="W5026" s="50"/>
    </row>
    <row r="5027" spans="23:23" x14ac:dyDescent="0.2">
      <c r="W5027" s="50"/>
    </row>
    <row r="5028" spans="23:23" x14ac:dyDescent="0.2">
      <c r="W5028" s="50"/>
    </row>
    <row r="5029" spans="23:23" x14ac:dyDescent="0.2">
      <c r="W5029" s="50"/>
    </row>
    <row r="5030" spans="23:23" x14ac:dyDescent="0.2">
      <c r="W5030" s="50"/>
    </row>
    <row r="5031" spans="23:23" x14ac:dyDescent="0.2">
      <c r="W5031" s="50"/>
    </row>
    <row r="5032" spans="23:23" x14ac:dyDescent="0.2">
      <c r="W5032" s="50"/>
    </row>
    <row r="5033" spans="23:23" x14ac:dyDescent="0.2">
      <c r="W5033" s="50"/>
    </row>
    <row r="5034" spans="23:23" x14ac:dyDescent="0.2">
      <c r="W5034" s="50"/>
    </row>
    <row r="5035" spans="23:23" x14ac:dyDescent="0.2">
      <c r="W5035" s="50"/>
    </row>
    <row r="5036" spans="23:23" x14ac:dyDescent="0.2">
      <c r="W5036" s="50"/>
    </row>
    <row r="5037" spans="23:23" x14ac:dyDescent="0.2">
      <c r="W5037" s="50"/>
    </row>
    <row r="5038" spans="23:23" x14ac:dyDescent="0.2">
      <c r="W5038" s="50"/>
    </row>
    <row r="5039" spans="23:23" x14ac:dyDescent="0.2">
      <c r="W5039" s="50"/>
    </row>
    <row r="5040" spans="23:23" x14ac:dyDescent="0.2">
      <c r="W5040" s="50"/>
    </row>
    <row r="5041" spans="23:23" x14ac:dyDescent="0.2">
      <c r="W5041" s="50"/>
    </row>
    <row r="5042" spans="23:23" x14ac:dyDescent="0.2">
      <c r="W5042" s="50"/>
    </row>
    <row r="5043" spans="23:23" x14ac:dyDescent="0.2">
      <c r="W5043" s="50"/>
    </row>
    <row r="5044" spans="23:23" x14ac:dyDescent="0.2">
      <c r="W5044" s="50"/>
    </row>
    <row r="5045" spans="23:23" x14ac:dyDescent="0.2">
      <c r="W5045" s="50"/>
    </row>
    <row r="5046" spans="23:23" x14ac:dyDescent="0.2">
      <c r="W5046" s="50"/>
    </row>
    <row r="5047" spans="23:23" x14ac:dyDescent="0.2">
      <c r="W5047" s="50"/>
    </row>
    <row r="5048" spans="23:23" x14ac:dyDescent="0.2">
      <c r="W5048" s="50"/>
    </row>
    <row r="5049" spans="23:23" x14ac:dyDescent="0.2">
      <c r="W5049" s="50"/>
    </row>
    <row r="5050" spans="23:23" x14ac:dyDescent="0.2">
      <c r="W5050" s="50"/>
    </row>
    <row r="5051" spans="23:23" x14ac:dyDescent="0.2">
      <c r="W5051" s="50"/>
    </row>
    <row r="5052" spans="23:23" x14ac:dyDescent="0.2">
      <c r="W5052" s="50"/>
    </row>
    <row r="5053" spans="23:23" x14ac:dyDescent="0.2">
      <c r="W5053" s="50"/>
    </row>
    <row r="5054" spans="23:23" x14ac:dyDescent="0.2">
      <c r="W5054" s="50"/>
    </row>
    <row r="5055" spans="23:23" x14ac:dyDescent="0.2">
      <c r="W5055" s="50"/>
    </row>
    <row r="5056" spans="23:23" x14ac:dyDescent="0.2">
      <c r="W5056" s="50"/>
    </row>
    <row r="5057" spans="23:23" x14ac:dyDescent="0.2">
      <c r="W5057" s="50"/>
    </row>
    <row r="5058" spans="23:23" x14ac:dyDescent="0.2">
      <c r="W5058" s="50"/>
    </row>
    <row r="5059" spans="23:23" x14ac:dyDescent="0.2">
      <c r="W5059" s="50"/>
    </row>
    <row r="5060" spans="23:23" x14ac:dyDescent="0.2">
      <c r="W5060" s="50"/>
    </row>
    <row r="5061" spans="23:23" x14ac:dyDescent="0.2">
      <c r="W5061" s="50"/>
    </row>
    <row r="5062" spans="23:23" x14ac:dyDescent="0.2">
      <c r="W5062" s="50"/>
    </row>
    <row r="5063" spans="23:23" x14ac:dyDescent="0.2">
      <c r="W5063" s="50"/>
    </row>
    <row r="5064" spans="23:23" x14ac:dyDescent="0.2">
      <c r="W5064" s="50"/>
    </row>
    <row r="5065" spans="23:23" x14ac:dyDescent="0.2">
      <c r="W5065" s="50"/>
    </row>
    <row r="5066" spans="23:23" x14ac:dyDescent="0.2">
      <c r="W5066" s="50"/>
    </row>
    <row r="5067" spans="23:23" x14ac:dyDescent="0.2">
      <c r="W5067" s="50"/>
    </row>
    <row r="5068" spans="23:23" x14ac:dyDescent="0.2">
      <c r="W5068" s="50"/>
    </row>
    <row r="5069" spans="23:23" x14ac:dyDescent="0.2">
      <c r="W5069" s="50"/>
    </row>
    <row r="5070" spans="23:23" x14ac:dyDescent="0.2">
      <c r="W5070" s="50"/>
    </row>
    <row r="5071" spans="23:23" x14ac:dyDescent="0.2">
      <c r="W5071" s="50"/>
    </row>
    <row r="5072" spans="23:23" x14ac:dyDescent="0.2">
      <c r="W5072" s="50"/>
    </row>
    <row r="5073" spans="23:23" x14ac:dyDescent="0.2">
      <c r="W5073" s="50"/>
    </row>
    <row r="5074" spans="23:23" x14ac:dyDescent="0.2">
      <c r="W5074" s="50"/>
    </row>
    <row r="5075" spans="23:23" x14ac:dyDescent="0.2">
      <c r="W5075" s="50"/>
    </row>
    <row r="5076" spans="23:23" x14ac:dyDescent="0.2">
      <c r="W5076" s="50"/>
    </row>
    <row r="5077" spans="23:23" x14ac:dyDescent="0.2">
      <c r="W5077" s="50"/>
    </row>
    <row r="5078" spans="23:23" x14ac:dyDescent="0.2">
      <c r="W5078" s="50"/>
    </row>
    <row r="5079" spans="23:23" x14ac:dyDescent="0.2">
      <c r="W5079" s="50"/>
    </row>
    <row r="5080" spans="23:23" x14ac:dyDescent="0.2">
      <c r="W5080" s="50"/>
    </row>
    <row r="5081" spans="23:23" x14ac:dyDescent="0.2">
      <c r="W5081" s="50"/>
    </row>
    <row r="5082" spans="23:23" x14ac:dyDescent="0.2">
      <c r="W5082" s="50"/>
    </row>
    <row r="5083" spans="23:23" x14ac:dyDescent="0.2">
      <c r="W5083" s="50"/>
    </row>
    <row r="5084" spans="23:23" x14ac:dyDescent="0.2">
      <c r="W5084" s="50"/>
    </row>
    <row r="5085" spans="23:23" x14ac:dyDescent="0.2">
      <c r="W5085" s="50"/>
    </row>
    <row r="5086" spans="23:23" x14ac:dyDescent="0.2">
      <c r="W5086" s="50"/>
    </row>
    <row r="5087" spans="23:23" x14ac:dyDescent="0.2">
      <c r="W5087" s="50"/>
    </row>
    <row r="5088" spans="23:23" x14ac:dyDescent="0.2">
      <c r="W5088" s="50"/>
    </row>
    <row r="5089" spans="23:23" x14ac:dyDescent="0.2">
      <c r="W5089" s="50"/>
    </row>
    <row r="5090" spans="23:23" x14ac:dyDescent="0.2">
      <c r="W5090" s="50"/>
    </row>
    <row r="5091" spans="23:23" x14ac:dyDescent="0.2">
      <c r="W5091" s="50"/>
    </row>
    <row r="5092" spans="23:23" x14ac:dyDescent="0.2">
      <c r="W5092" s="50"/>
    </row>
    <row r="5093" spans="23:23" x14ac:dyDescent="0.2">
      <c r="W5093" s="50"/>
    </row>
    <row r="5094" spans="23:23" x14ac:dyDescent="0.2">
      <c r="W5094" s="50"/>
    </row>
    <row r="5095" spans="23:23" x14ac:dyDescent="0.2">
      <c r="W5095" s="50"/>
    </row>
    <row r="5096" spans="23:23" x14ac:dyDescent="0.2">
      <c r="W5096" s="50"/>
    </row>
    <row r="5097" spans="23:23" x14ac:dyDescent="0.2">
      <c r="W5097" s="50"/>
    </row>
    <row r="5098" spans="23:23" x14ac:dyDescent="0.2">
      <c r="W5098" s="50"/>
    </row>
    <row r="5099" spans="23:23" x14ac:dyDescent="0.2">
      <c r="W5099" s="50"/>
    </row>
    <row r="5100" spans="23:23" x14ac:dyDescent="0.2">
      <c r="W5100" s="50"/>
    </row>
    <row r="5101" spans="23:23" x14ac:dyDescent="0.2">
      <c r="W5101" s="50"/>
    </row>
    <row r="5102" spans="23:23" x14ac:dyDescent="0.2">
      <c r="W5102" s="50"/>
    </row>
    <row r="5103" spans="23:23" x14ac:dyDescent="0.2">
      <c r="W5103" s="50"/>
    </row>
    <row r="5104" spans="23:23" x14ac:dyDescent="0.2">
      <c r="W5104" s="50"/>
    </row>
    <row r="5105" spans="23:23" x14ac:dyDescent="0.2">
      <c r="W5105" s="50"/>
    </row>
    <row r="5106" spans="23:23" x14ac:dyDescent="0.2">
      <c r="W5106" s="50"/>
    </row>
    <row r="5107" spans="23:23" x14ac:dyDescent="0.2">
      <c r="W5107" s="50"/>
    </row>
    <row r="5108" spans="23:23" x14ac:dyDescent="0.2">
      <c r="W5108" s="50"/>
    </row>
    <row r="5109" spans="23:23" x14ac:dyDescent="0.2">
      <c r="W5109" s="50"/>
    </row>
    <row r="5110" spans="23:23" x14ac:dyDescent="0.2">
      <c r="W5110" s="50"/>
    </row>
    <row r="5111" spans="23:23" x14ac:dyDescent="0.2">
      <c r="W5111" s="50"/>
    </row>
    <row r="5112" spans="23:23" x14ac:dyDescent="0.2">
      <c r="W5112" s="50"/>
    </row>
    <row r="5113" spans="23:23" x14ac:dyDescent="0.2">
      <c r="W5113" s="50"/>
    </row>
    <row r="5114" spans="23:23" x14ac:dyDescent="0.2">
      <c r="W5114" s="50"/>
    </row>
    <row r="5115" spans="23:23" x14ac:dyDescent="0.2">
      <c r="W5115" s="50"/>
    </row>
    <row r="5116" spans="23:23" x14ac:dyDescent="0.2">
      <c r="W5116" s="50"/>
    </row>
    <row r="5117" spans="23:23" x14ac:dyDescent="0.2">
      <c r="W5117" s="50"/>
    </row>
    <row r="5118" spans="23:23" x14ac:dyDescent="0.2">
      <c r="W5118" s="50"/>
    </row>
    <row r="5119" spans="23:23" x14ac:dyDescent="0.2">
      <c r="W5119" s="50"/>
    </row>
    <row r="5120" spans="23:23" x14ac:dyDescent="0.2">
      <c r="W5120" s="50"/>
    </row>
    <row r="5121" spans="23:23" x14ac:dyDescent="0.2">
      <c r="W5121" s="50"/>
    </row>
    <row r="5122" spans="23:23" x14ac:dyDescent="0.2">
      <c r="W5122" s="50"/>
    </row>
    <row r="5123" spans="23:23" x14ac:dyDescent="0.2">
      <c r="W5123" s="50"/>
    </row>
    <row r="5124" spans="23:23" x14ac:dyDescent="0.2">
      <c r="W5124" s="50"/>
    </row>
    <row r="5125" spans="23:23" x14ac:dyDescent="0.2">
      <c r="W5125" s="50"/>
    </row>
    <row r="5126" spans="23:23" x14ac:dyDescent="0.2">
      <c r="W5126" s="50"/>
    </row>
    <row r="5127" spans="23:23" x14ac:dyDescent="0.2">
      <c r="W5127" s="50"/>
    </row>
    <row r="5128" spans="23:23" x14ac:dyDescent="0.2">
      <c r="W5128" s="50"/>
    </row>
    <row r="5129" spans="23:23" x14ac:dyDescent="0.2">
      <c r="W5129" s="50"/>
    </row>
    <row r="5130" spans="23:23" x14ac:dyDescent="0.2">
      <c r="W5130" s="50"/>
    </row>
    <row r="5131" spans="23:23" x14ac:dyDescent="0.2">
      <c r="W5131" s="50"/>
    </row>
    <row r="5132" spans="23:23" x14ac:dyDescent="0.2">
      <c r="W5132" s="50"/>
    </row>
    <row r="5133" spans="23:23" x14ac:dyDescent="0.2">
      <c r="W5133" s="50"/>
    </row>
    <row r="5134" spans="23:23" x14ac:dyDescent="0.2">
      <c r="W5134" s="50"/>
    </row>
    <row r="5135" spans="23:23" x14ac:dyDescent="0.2">
      <c r="W5135" s="50"/>
    </row>
    <row r="5136" spans="23:23" x14ac:dyDescent="0.2">
      <c r="W5136" s="50"/>
    </row>
    <row r="5137" spans="23:23" x14ac:dyDescent="0.2">
      <c r="W5137" s="50"/>
    </row>
    <row r="5138" spans="23:23" x14ac:dyDescent="0.2">
      <c r="W5138" s="50"/>
    </row>
    <row r="5139" spans="23:23" x14ac:dyDescent="0.2">
      <c r="W5139" s="50"/>
    </row>
    <row r="5140" spans="23:23" x14ac:dyDescent="0.2">
      <c r="W5140" s="50"/>
    </row>
    <row r="5141" spans="23:23" x14ac:dyDescent="0.2">
      <c r="W5141" s="50"/>
    </row>
    <row r="5142" spans="23:23" x14ac:dyDescent="0.2">
      <c r="W5142" s="50"/>
    </row>
    <row r="5143" spans="23:23" x14ac:dyDescent="0.2">
      <c r="W5143" s="50"/>
    </row>
    <row r="5144" spans="23:23" x14ac:dyDescent="0.2">
      <c r="W5144" s="50"/>
    </row>
    <row r="5145" spans="23:23" x14ac:dyDescent="0.2">
      <c r="W5145" s="50"/>
    </row>
    <row r="5146" spans="23:23" x14ac:dyDescent="0.2">
      <c r="W5146" s="50"/>
    </row>
    <row r="5147" spans="23:23" x14ac:dyDescent="0.2">
      <c r="W5147" s="50"/>
    </row>
    <row r="5148" spans="23:23" x14ac:dyDescent="0.2">
      <c r="W5148" s="50"/>
    </row>
    <row r="5149" spans="23:23" x14ac:dyDescent="0.2">
      <c r="W5149" s="50"/>
    </row>
    <row r="5150" spans="23:23" x14ac:dyDescent="0.2">
      <c r="W5150" s="50"/>
    </row>
    <row r="5151" spans="23:23" x14ac:dyDescent="0.2">
      <c r="W5151" s="50"/>
    </row>
    <row r="5152" spans="23:23" x14ac:dyDescent="0.2">
      <c r="W5152" s="50"/>
    </row>
    <row r="5153" spans="23:23" x14ac:dyDescent="0.2">
      <c r="W5153" s="50"/>
    </row>
    <row r="5154" spans="23:23" x14ac:dyDescent="0.2">
      <c r="W5154" s="50"/>
    </row>
    <row r="5155" spans="23:23" x14ac:dyDescent="0.2">
      <c r="W5155" s="50"/>
    </row>
    <row r="5156" spans="23:23" x14ac:dyDescent="0.2">
      <c r="W5156" s="50"/>
    </row>
    <row r="5157" spans="23:23" x14ac:dyDescent="0.2">
      <c r="W5157" s="50"/>
    </row>
    <row r="5158" spans="23:23" x14ac:dyDescent="0.2">
      <c r="W5158" s="50"/>
    </row>
    <row r="5159" spans="23:23" x14ac:dyDescent="0.2">
      <c r="W5159" s="50"/>
    </row>
    <row r="5160" spans="23:23" x14ac:dyDescent="0.2">
      <c r="W5160" s="50"/>
    </row>
    <row r="5161" spans="23:23" x14ac:dyDescent="0.2">
      <c r="W5161" s="50"/>
    </row>
    <row r="5162" spans="23:23" x14ac:dyDescent="0.2">
      <c r="W5162" s="50"/>
    </row>
    <row r="5163" spans="23:23" x14ac:dyDescent="0.2">
      <c r="W5163" s="50"/>
    </row>
    <row r="5164" spans="23:23" x14ac:dyDescent="0.2">
      <c r="W5164" s="50"/>
    </row>
    <row r="5165" spans="23:23" x14ac:dyDescent="0.2">
      <c r="W5165" s="50"/>
    </row>
    <row r="5166" spans="23:23" x14ac:dyDescent="0.2">
      <c r="W5166" s="50"/>
    </row>
    <row r="5167" spans="23:23" x14ac:dyDescent="0.2">
      <c r="W5167" s="50"/>
    </row>
    <row r="5168" spans="23:23" x14ac:dyDescent="0.2">
      <c r="W5168" s="50"/>
    </row>
    <row r="5169" spans="23:23" x14ac:dyDescent="0.2">
      <c r="W5169" s="50"/>
    </row>
    <row r="5170" spans="23:23" x14ac:dyDescent="0.2">
      <c r="W5170" s="50"/>
    </row>
    <row r="5171" spans="23:23" x14ac:dyDescent="0.2">
      <c r="W5171" s="50"/>
    </row>
    <row r="5172" spans="23:23" x14ac:dyDescent="0.2">
      <c r="W5172" s="50"/>
    </row>
    <row r="5173" spans="23:23" x14ac:dyDescent="0.2">
      <c r="W5173" s="50"/>
    </row>
    <row r="5174" spans="23:23" x14ac:dyDescent="0.2">
      <c r="W5174" s="50"/>
    </row>
    <row r="5175" spans="23:23" x14ac:dyDescent="0.2">
      <c r="W5175" s="50"/>
    </row>
    <row r="5176" spans="23:23" x14ac:dyDescent="0.2">
      <c r="W5176" s="50"/>
    </row>
    <row r="5177" spans="23:23" x14ac:dyDescent="0.2">
      <c r="W5177" s="50"/>
    </row>
    <row r="5178" spans="23:23" x14ac:dyDescent="0.2">
      <c r="W5178" s="50"/>
    </row>
    <row r="5179" spans="23:23" x14ac:dyDescent="0.2">
      <c r="W5179" s="50"/>
    </row>
    <row r="5180" spans="23:23" x14ac:dyDescent="0.2">
      <c r="W5180" s="50"/>
    </row>
    <row r="5181" spans="23:23" x14ac:dyDescent="0.2">
      <c r="W5181" s="50"/>
    </row>
    <row r="5182" spans="23:23" x14ac:dyDescent="0.2">
      <c r="W5182" s="50"/>
    </row>
    <row r="5183" spans="23:23" x14ac:dyDescent="0.2">
      <c r="W5183" s="50"/>
    </row>
    <row r="5184" spans="23:23" x14ac:dyDescent="0.2">
      <c r="W5184" s="50"/>
    </row>
    <row r="5185" spans="23:23" x14ac:dyDescent="0.2">
      <c r="W5185" s="50"/>
    </row>
    <row r="5186" spans="23:23" x14ac:dyDescent="0.2">
      <c r="W5186" s="50"/>
    </row>
    <row r="5187" spans="23:23" x14ac:dyDescent="0.2">
      <c r="W5187" s="50"/>
    </row>
    <row r="5188" spans="23:23" x14ac:dyDescent="0.2">
      <c r="W5188" s="50"/>
    </row>
    <row r="5189" spans="23:23" x14ac:dyDescent="0.2">
      <c r="W5189" s="50"/>
    </row>
    <row r="5190" spans="23:23" x14ac:dyDescent="0.2">
      <c r="W5190" s="50"/>
    </row>
    <row r="5191" spans="23:23" x14ac:dyDescent="0.2">
      <c r="W5191" s="50"/>
    </row>
    <row r="5192" spans="23:23" x14ac:dyDescent="0.2">
      <c r="W5192" s="50"/>
    </row>
    <row r="5193" spans="23:23" x14ac:dyDescent="0.2">
      <c r="W5193" s="50"/>
    </row>
    <row r="5194" spans="23:23" x14ac:dyDescent="0.2">
      <c r="W5194" s="50"/>
    </row>
    <row r="5195" spans="23:23" x14ac:dyDescent="0.2">
      <c r="W5195" s="50"/>
    </row>
    <row r="5196" spans="23:23" x14ac:dyDescent="0.2">
      <c r="W5196" s="50"/>
    </row>
    <row r="5197" spans="23:23" x14ac:dyDescent="0.2">
      <c r="W5197" s="50"/>
    </row>
    <row r="5198" spans="23:23" x14ac:dyDescent="0.2">
      <c r="W5198" s="50"/>
    </row>
    <row r="5199" spans="23:23" x14ac:dyDescent="0.2">
      <c r="W5199" s="50"/>
    </row>
    <row r="5200" spans="23:23" x14ac:dyDescent="0.2">
      <c r="W5200" s="50"/>
    </row>
    <row r="5201" spans="23:23" x14ac:dyDescent="0.2">
      <c r="W5201" s="50"/>
    </row>
    <row r="5202" spans="23:23" x14ac:dyDescent="0.2">
      <c r="W5202" s="50"/>
    </row>
    <row r="5203" spans="23:23" x14ac:dyDescent="0.2">
      <c r="W5203" s="50"/>
    </row>
    <row r="5204" spans="23:23" x14ac:dyDescent="0.2">
      <c r="W5204" s="50"/>
    </row>
    <row r="5205" spans="23:23" x14ac:dyDescent="0.2">
      <c r="W5205" s="50"/>
    </row>
    <row r="5206" spans="23:23" x14ac:dyDescent="0.2">
      <c r="W5206" s="50"/>
    </row>
    <row r="5207" spans="23:23" x14ac:dyDescent="0.2">
      <c r="W5207" s="50"/>
    </row>
    <row r="5208" spans="23:23" x14ac:dyDescent="0.2">
      <c r="W5208" s="50"/>
    </row>
    <row r="5209" spans="23:23" x14ac:dyDescent="0.2">
      <c r="W5209" s="50"/>
    </row>
    <row r="5210" spans="23:23" x14ac:dyDescent="0.2">
      <c r="W5210" s="50"/>
    </row>
    <row r="5211" spans="23:23" x14ac:dyDescent="0.2">
      <c r="W5211" s="50"/>
    </row>
    <row r="5212" spans="23:23" x14ac:dyDescent="0.2">
      <c r="W5212" s="50"/>
    </row>
    <row r="5213" spans="23:23" x14ac:dyDescent="0.2">
      <c r="W5213" s="50"/>
    </row>
    <row r="5214" spans="23:23" x14ac:dyDescent="0.2">
      <c r="W5214" s="50"/>
    </row>
    <row r="5215" spans="23:23" x14ac:dyDescent="0.2">
      <c r="W5215" s="50"/>
    </row>
    <row r="5216" spans="23:23" x14ac:dyDescent="0.2">
      <c r="W5216" s="50"/>
    </row>
    <row r="5217" spans="23:23" x14ac:dyDescent="0.2">
      <c r="W5217" s="50"/>
    </row>
    <row r="5218" spans="23:23" x14ac:dyDescent="0.2">
      <c r="W5218" s="50"/>
    </row>
    <row r="5219" spans="23:23" x14ac:dyDescent="0.2">
      <c r="W5219" s="50"/>
    </row>
    <row r="5220" spans="23:23" x14ac:dyDescent="0.2">
      <c r="W5220" s="50"/>
    </row>
    <row r="5221" spans="23:23" x14ac:dyDescent="0.2">
      <c r="W5221" s="50"/>
    </row>
    <row r="5222" spans="23:23" x14ac:dyDescent="0.2">
      <c r="W5222" s="50"/>
    </row>
    <row r="5223" spans="23:23" x14ac:dyDescent="0.2">
      <c r="W5223" s="50"/>
    </row>
    <row r="5224" spans="23:23" x14ac:dyDescent="0.2">
      <c r="W5224" s="50"/>
    </row>
    <row r="5225" spans="23:23" x14ac:dyDescent="0.2">
      <c r="W5225" s="50"/>
    </row>
    <row r="5226" spans="23:23" x14ac:dyDescent="0.2">
      <c r="W5226" s="50"/>
    </row>
    <row r="5227" spans="23:23" x14ac:dyDescent="0.2">
      <c r="W5227" s="50"/>
    </row>
    <row r="5228" spans="23:23" x14ac:dyDescent="0.2">
      <c r="W5228" s="50"/>
    </row>
    <row r="5229" spans="23:23" x14ac:dyDescent="0.2">
      <c r="W5229" s="50"/>
    </row>
    <row r="5230" spans="23:23" x14ac:dyDescent="0.2">
      <c r="W5230" s="50"/>
    </row>
    <row r="5231" spans="23:23" x14ac:dyDescent="0.2">
      <c r="W5231" s="50"/>
    </row>
    <row r="5232" spans="23:23" x14ac:dyDescent="0.2">
      <c r="W5232" s="50"/>
    </row>
    <row r="5233" spans="23:23" x14ac:dyDescent="0.2">
      <c r="W5233" s="50"/>
    </row>
    <row r="5234" spans="23:23" x14ac:dyDescent="0.2">
      <c r="W5234" s="50"/>
    </row>
    <row r="5235" spans="23:23" x14ac:dyDescent="0.2">
      <c r="W5235" s="50"/>
    </row>
    <row r="5236" spans="23:23" x14ac:dyDescent="0.2">
      <c r="W5236" s="50"/>
    </row>
    <row r="5237" spans="23:23" x14ac:dyDescent="0.2">
      <c r="W5237" s="50"/>
    </row>
    <row r="5238" spans="23:23" x14ac:dyDescent="0.2">
      <c r="W5238" s="50"/>
    </row>
    <row r="5239" spans="23:23" x14ac:dyDescent="0.2">
      <c r="W5239" s="50"/>
    </row>
    <row r="5240" spans="23:23" x14ac:dyDescent="0.2">
      <c r="W5240" s="50"/>
    </row>
    <row r="5241" spans="23:23" x14ac:dyDescent="0.2">
      <c r="W5241" s="50"/>
    </row>
    <row r="5242" spans="23:23" x14ac:dyDescent="0.2">
      <c r="W5242" s="50"/>
    </row>
    <row r="5243" spans="23:23" x14ac:dyDescent="0.2">
      <c r="W5243" s="50"/>
    </row>
    <row r="5244" spans="23:23" x14ac:dyDescent="0.2">
      <c r="W5244" s="50"/>
    </row>
    <row r="5245" spans="23:23" x14ac:dyDescent="0.2">
      <c r="W5245" s="50"/>
    </row>
    <row r="5246" spans="23:23" x14ac:dyDescent="0.2">
      <c r="W5246" s="50"/>
    </row>
    <row r="5247" spans="23:23" x14ac:dyDescent="0.2">
      <c r="W5247" s="50"/>
    </row>
    <row r="5248" spans="23:23" x14ac:dyDescent="0.2">
      <c r="W5248" s="50"/>
    </row>
    <row r="5249" spans="23:23" x14ac:dyDescent="0.2">
      <c r="W5249" s="50"/>
    </row>
    <row r="5250" spans="23:23" x14ac:dyDescent="0.2">
      <c r="W5250" s="50"/>
    </row>
    <row r="5251" spans="23:23" x14ac:dyDescent="0.2">
      <c r="W5251" s="50"/>
    </row>
    <row r="5252" spans="23:23" x14ac:dyDescent="0.2">
      <c r="W5252" s="50"/>
    </row>
    <row r="5253" spans="23:23" x14ac:dyDescent="0.2">
      <c r="W5253" s="50"/>
    </row>
    <row r="5254" spans="23:23" x14ac:dyDescent="0.2">
      <c r="W5254" s="50"/>
    </row>
    <row r="5255" spans="23:23" x14ac:dyDescent="0.2">
      <c r="W5255" s="50"/>
    </row>
    <row r="5256" spans="23:23" x14ac:dyDescent="0.2">
      <c r="W5256" s="50"/>
    </row>
    <row r="5257" spans="23:23" x14ac:dyDescent="0.2">
      <c r="W5257" s="50"/>
    </row>
    <row r="5258" spans="23:23" x14ac:dyDescent="0.2">
      <c r="W5258" s="50"/>
    </row>
    <row r="5259" spans="23:23" x14ac:dyDescent="0.2">
      <c r="W5259" s="50"/>
    </row>
    <row r="5260" spans="23:23" x14ac:dyDescent="0.2">
      <c r="W5260" s="50"/>
    </row>
    <row r="5261" spans="23:23" x14ac:dyDescent="0.2">
      <c r="W5261" s="50"/>
    </row>
    <row r="5262" spans="23:23" x14ac:dyDescent="0.2">
      <c r="W5262" s="50"/>
    </row>
    <row r="5263" spans="23:23" x14ac:dyDescent="0.2">
      <c r="W5263" s="50"/>
    </row>
    <row r="5264" spans="23:23" x14ac:dyDescent="0.2">
      <c r="W5264" s="50"/>
    </row>
    <row r="5265" spans="23:23" x14ac:dyDescent="0.2">
      <c r="W5265" s="50"/>
    </row>
    <row r="5266" spans="23:23" x14ac:dyDescent="0.2">
      <c r="W5266" s="50"/>
    </row>
    <row r="5267" spans="23:23" x14ac:dyDescent="0.2">
      <c r="W5267" s="50"/>
    </row>
    <row r="5268" spans="23:23" x14ac:dyDescent="0.2">
      <c r="W5268" s="50"/>
    </row>
    <row r="5269" spans="23:23" x14ac:dyDescent="0.2">
      <c r="W5269" s="50"/>
    </row>
    <row r="5270" spans="23:23" x14ac:dyDescent="0.2">
      <c r="W5270" s="50"/>
    </row>
    <row r="5271" spans="23:23" x14ac:dyDescent="0.2">
      <c r="W5271" s="50"/>
    </row>
    <row r="5272" spans="23:23" x14ac:dyDescent="0.2">
      <c r="W5272" s="50"/>
    </row>
    <row r="5273" spans="23:23" x14ac:dyDescent="0.2">
      <c r="W5273" s="50"/>
    </row>
    <row r="5274" spans="23:23" x14ac:dyDescent="0.2">
      <c r="W5274" s="50"/>
    </row>
    <row r="5275" spans="23:23" x14ac:dyDescent="0.2">
      <c r="W5275" s="50"/>
    </row>
    <row r="5276" spans="23:23" x14ac:dyDescent="0.2">
      <c r="W5276" s="50"/>
    </row>
    <row r="5277" spans="23:23" x14ac:dyDescent="0.2">
      <c r="W5277" s="50"/>
    </row>
    <row r="5278" spans="23:23" x14ac:dyDescent="0.2">
      <c r="W5278" s="50"/>
    </row>
    <row r="5279" spans="23:23" x14ac:dyDescent="0.2">
      <c r="W5279" s="50"/>
    </row>
    <row r="5280" spans="23:23" x14ac:dyDescent="0.2">
      <c r="W5280" s="50"/>
    </row>
    <row r="5281" spans="23:23" x14ac:dyDescent="0.2">
      <c r="W5281" s="50"/>
    </row>
    <row r="5282" spans="23:23" x14ac:dyDescent="0.2">
      <c r="W5282" s="50"/>
    </row>
    <row r="5283" spans="23:23" x14ac:dyDescent="0.2">
      <c r="W5283" s="50"/>
    </row>
    <row r="5284" spans="23:23" x14ac:dyDescent="0.2">
      <c r="W5284" s="50"/>
    </row>
    <row r="5285" spans="23:23" x14ac:dyDescent="0.2">
      <c r="W5285" s="50"/>
    </row>
    <row r="5286" spans="23:23" x14ac:dyDescent="0.2">
      <c r="W5286" s="50"/>
    </row>
    <row r="5287" spans="23:23" x14ac:dyDescent="0.2">
      <c r="W5287" s="50"/>
    </row>
    <row r="5288" spans="23:23" x14ac:dyDescent="0.2">
      <c r="W5288" s="50"/>
    </row>
    <row r="5289" spans="23:23" x14ac:dyDescent="0.2">
      <c r="W5289" s="50"/>
    </row>
    <row r="5290" spans="23:23" x14ac:dyDescent="0.2">
      <c r="W5290" s="50"/>
    </row>
    <row r="5291" spans="23:23" x14ac:dyDescent="0.2">
      <c r="W5291" s="50"/>
    </row>
    <row r="5292" spans="23:23" x14ac:dyDescent="0.2">
      <c r="W5292" s="50"/>
    </row>
    <row r="5293" spans="23:23" x14ac:dyDescent="0.2">
      <c r="W5293" s="50"/>
    </row>
    <row r="5294" spans="23:23" x14ac:dyDescent="0.2">
      <c r="W5294" s="50"/>
    </row>
    <row r="5295" spans="23:23" x14ac:dyDescent="0.2">
      <c r="W5295" s="50"/>
    </row>
    <row r="5296" spans="23:23" x14ac:dyDescent="0.2">
      <c r="W5296" s="50"/>
    </row>
    <row r="5297" spans="23:23" x14ac:dyDescent="0.2">
      <c r="W5297" s="50"/>
    </row>
    <row r="5298" spans="23:23" x14ac:dyDescent="0.2">
      <c r="W5298" s="50"/>
    </row>
    <row r="5299" spans="23:23" x14ac:dyDescent="0.2">
      <c r="W5299" s="50"/>
    </row>
    <row r="5300" spans="23:23" x14ac:dyDescent="0.2">
      <c r="W5300" s="50"/>
    </row>
    <row r="5301" spans="23:23" x14ac:dyDescent="0.2">
      <c r="W5301" s="50"/>
    </row>
    <row r="5302" spans="23:23" x14ac:dyDescent="0.2">
      <c r="W5302" s="50"/>
    </row>
    <row r="5303" spans="23:23" x14ac:dyDescent="0.2">
      <c r="W5303" s="50"/>
    </row>
    <row r="5304" spans="23:23" x14ac:dyDescent="0.2">
      <c r="W5304" s="50"/>
    </row>
    <row r="5305" spans="23:23" x14ac:dyDescent="0.2">
      <c r="W5305" s="50"/>
    </row>
    <row r="5306" spans="23:23" x14ac:dyDescent="0.2">
      <c r="W5306" s="50"/>
    </row>
    <row r="5307" spans="23:23" x14ac:dyDescent="0.2">
      <c r="W5307" s="50"/>
    </row>
    <row r="5308" spans="23:23" x14ac:dyDescent="0.2">
      <c r="W5308" s="50"/>
    </row>
    <row r="5309" spans="23:23" x14ac:dyDescent="0.2">
      <c r="W5309" s="50"/>
    </row>
    <row r="5310" spans="23:23" x14ac:dyDescent="0.2">
      <c r="W5310" s="50"/>
    </row>
    <row r="5311" spans="23:23" x14ac:dyDescent="0.2">
      <c r="W5311" s="50"/>
    </row>
    <row r="5312" spans="23:23" x14ac:dyDescent="0.2">
      <c r="W5312" s="50"/>
    </row>
    <row r="5313" spans="23:23" x14ac:dyDescent="0.2">
      <c r="W5313" s="50"/>
    </row>
    <row r="5314" spans="23:23" x14ac:dyDescent="0.2">
      <c r="W5314" s="50"/>
    </row>
    <row r="5315" spans="23:23" x14ac:dyDescent="0.2">
      <c r="W5315" s="50"/>
    </row>
    <row r="5316" spans="23:23" x14ac:dyDescent="0.2">
      <c r="W5316" s="50"/>
    </row>
    <row r="5317" spans="23:23" x14ac:dyDescent="0.2">
      <c r="W5317" s="50"/>
    </row>
    <row r="5318" spans="23:23" x14ac:dyDescent="0.2">
      <c r="W5318" s="50"/>
    </row>
    <row r="5319" spans="23:23" x14ac:dyDescent="0.2">
      <c r="W5319" s="50"/>
    </row>
    <row r="5320" spans="23:23" x14ac:dyDescent="0.2">
      <c r="W5320" s="50"/>
    </row>
    <row r="5321" spans="23:23" x14ac:dyDescent="0.2">
      <c r="W5321" s="50"/>
    </row>
    <row r="5322" spans="23:23" x14ac:dyDescent="0.2">
      <c r="W5322" s="50"/>
    </row>
    <row r="5323" spans="23:23" x14ac:dyDescent="0.2">
      <c r="W5323" s="50"/>
    </row>
    <row r="5324" spans="23:23" x14ac:dyDescent="0.2">
      <c r="W5324" s="50"/>
    </row>
    <row r="5325" spans="23:23" x14ac:dyDescent="0.2">
      <c r="W5325" s="50"/>
    </row>
    <row r="5326" spans="23:23" x14ac:dyDescent="0.2">
      <c r="W5326" s="50"/>
    </row>
    <row r="5327" spans="23:23" x14ac:dyDescent="0.2">
      <c r="W5327" s="50"/>
    </row>
    <row r="5328" spans="23:23" x14ac:dyDescent="0.2">
      <c r="W5328" s="50"/>
    </row>
    <row r="5329" spans="23:23" x14ac:dyDescent="0.2">
      <c r="W5329" s="50"/>
    </row>
    <row r="5330" spans="23:23" x14ac:dyDescent="0.2">
      <c r="W5330" s="50"/>
    </row>
    <row r="5331" spans="23:23" x14ac:dyDescent="0.2">
      <c r="W5331" s="50"/>
    </row>
    <row r="5332" spans="23:23" x14ac:dyDescent="0.2">
      <c r="W5332" s="50"/>
    </row>
    <row r="5333" spans="23:23" x14ac:dyDescent="0.2">
      <c r="W5333" s="50"/>
    </row>
    <row r="5334" spans="23:23" x14ac:dyDescent="0.2">
      <c r="W5334" s="50"/>
    </row>
    <row r="5335" spans="23:23" x14ac:dyDescent="0.2">
      <c r="W5335" s="50"/>
    </row>
    <row r="5336" spans="23:23" x14ac:dyDescent="0.2">
      <c r="W5336" s="50"/>
    </row>
    <row r="5337" spans="23:23" x14ac:dyDescent="0.2">
      <c r="W5337" s="50"/>
    </row>
    <row r="5338" spans="23:23" x14ac:dyDescent="0.2">
      <c r="W5338" s="50"/>
    </row>
    <row r="5339" spans="23:23" x14ac:dyDescent="0.2">
      <c r="W5339" s="50"/>
    </row>
    <row r="5340" spans="23:23" x14ac:dyDescent="0.2">
      <c r="W5340" s="50"/>
    </row>
    <row r="5341" spans="23:23" x14ac:dyDescent="0.2">
      <c r="W5341" s="50"/>
    </row>
    <row r="5342" spans="23:23" x14ac:dyDescent="0.2">
      <c r="W5342" s="50"/>
    </row>
    <row r="5343" spans="23:23" x14ac:dyDescent="0.2">
      <c r="W5343" s="50"/>
    </row>
    <row r="5344" spans="23:23" x14ac:dyDescent="0.2">
      <c r="W5344" s="50"/>
    </row>
    <row r="5345" spans="23:23" x14ac:dyDescent="0.2">
      <c r="W5345" s="50"/>
    </row>
    <row r="5346" spans="23:23" x14ac:dyDescent="0.2">
      <c r="W5346" s="50"/>
    </row>
    <row r="5347" spans="23:23" x14ac:dyDescent="0.2">
      <c r="W5347" s="50"/>
    </row>
    <row r="5348" spans="23:23" x14ac:dyDescent="0.2">
      <c r="W5348" s="50"/>
    </row>
    <row r="5349" spans="23:23" x14ac:dyDescent="0.2">
      <c r="W5349" s="50"/>
    </row>
    <row r="5350" spans="23:23" x14ac:dyDescent="0.2">
      <c r="W5350" s="50"/>
    </row>
    <row r="5351" spans="23:23" x14ac:dyDescent="0.2">
      <c r="W5351" s="50"/>
    </row>
    <row r="5352" spans="23:23" x14ac:dyDescent="0.2">
      <c r="W5352" s="50"/>
    </row>
    <row r="5353" spans="23:23" x14ac:dyDescent="0.2">
      <c r="W5353" s="50"/>
    </row>
    <row r="5354" spans="23:23" x14ac:dyDescent="0.2">
      <c r="W5354" s="50"/>
    </row>
    <row r="5355" spans="23:23" x14ac:dyDescent="0.2">
      <c r="W5355" s="50"/>
    </row>
    <row r="5356" spans="23:23" x14ac:dyDescent="0.2">
      <c r="W5356" s="50"/>
    </row>
    <row r="5357" spans="23:23" x14ac:dyDescent="0.2">
      <c r="W5357" s="50"/>
    </row>
    <row r="5358" spans="23:23" x14ac:dyDescent="0.2">
      <c r="W5358" s="50"/>
    </row>
    <row r="5359" spans="23:23" x14ac:dyDescent="0.2">
      <c r="W5359" s="50"/>
    </row>
    <row r="5360" spans="23:23" x14ac:dyDescent="0.2">
      <c r="W5360" s="50"/>
    </row>
    <row r="5361" spans="23:23" x14ac:dyDescent="0.2">
      <c r="W5361" s="50"/>
    </row>
    <row r="5362" spans="23:23" x14ac:dyDescent="0.2">
      <c r="W5362" s="50"/>
    </row>
    <row r="5363" spans="23:23" x14ac:dyDescent="0.2">
      <c r="W5363" s="50"/>
    </row>
    <row r="5364" spans="23:23" x14ac:dyDescent="0.2">
      <c r="W5364" s="50"/>
    </row>
    <row r="5365" spans="23:23" x14ac:dyDescent="0.2">
      <c r="W5365" s="50"/>
    </row>
    <row r="5366" spans="23:23" x14ac:dyDescent="0.2">
      <c r="W5366" s="50"/>
    </row>
    <row r="5367" spans="23:23" x14ac:dyDescent="0.2">
      <c r="W5367" s="50"/>
    </row>
    <row r="5368" spans="23:23" x14ac:dyDescent="0.2">
      <c r="W5368" s="50"/>
    </row>
    <row r="5369" spans="23:23" x14ac:dyDescent="0.2">
      <c r="W5369" s="50"/>
    </row>
    <row r="5370" spans="23:23" x14ac:dyDescent="0.2">
      <c r="W5370" s="50"/>
    </row>
    <row r="5371" spans="23:23" x14ac:dyDescent="0.2">
      <c r="W5371" s="50"/>
    </row>
    <row r="5372" spans="23:23" x14ac:dyDescent="0.2">
      <c r="W5372" s="50"/>
    </row>
    <row r="5373" spans="23:23" x14ac:dyDescent="0.2">
      <c r="W5373" s="50"/>
    </row>
    <row r="5374" spans="23:23" x14ac:dyDescent="0.2">
      <c r="W5374" s="50"/>
    </row>
    <row r="5375" spans="23:23" x14ac:dyDescent="0.2">
      <c r="W5375" s="50"/>
    </row>
    <row r="5376" spans="23:23" x14ac:dyDescent="0.2">
      <c r="W5376" s="50"/>
    </row>
    <row r="5377" spans="23:23" x14ac:dyDescent="0.2">
      <c r="W5377" s="50"/>
    </row>
    <row r="5378" spans="23:23" x14ac:dyDescent="0.2">
      <c r="W5378" s="50"/>
    </row>
    <row r="5379" spans="23:23" x14ac:dyDescent="0.2">
      <c r="W5379" s="50"/>
    </row>
    <row r="5380" spans="23:23" x14ac:dyDescent="0.2">
      <c r="W5380" s="50"/>
    </row>
    <row r="5381" spans="23:23" x14ac:dyDescent="0.2">
      <c r="W5381" s="50"/>
    </row>
    <row r="5382" spans="23:23" x14ac:dyDescent="0.2">
      <c r="W5382" s="50"/>
    </row>
    <row r="5383" spans="23:23" x14ac:dyDescent="0.2">
      <c r="W5383" s="50"/>
    </row>
    <row r="5384" spans="23:23" x14ac:dyDescent="0.2">
      <c r="W5384" s="50"/>
    </row>
    <row r="5385" spans="23:23" x14ac:dyDescent="0.2">
      <c r="W5385" s="50"/>
    </row>
    <row r="5386" spans="23:23" x14ac:dyDescent="0.2">
      <c r="W5386" s="50"/>
    </row>
    <row r="5387" spans="23:23" x14ac:dyDescent="0.2">
      <c r="W5387" s="50"/>
    </row>
    <row r="5388" spans="23:23" x14ac:dyDescent="0.2">
      <c r="W5388" s="50"/>
    </row>
    <row r="5389" spans="23:23" x14ac:dyDescent="0.2">
      <c r="W5389" s="50"/>
    </row>
    <row r="5390" spans="23:23" x14ac:dyDescent="0.2">
      <c r="W5390" s="50"/>
    </row>
    <row r="5391" spans="23:23" x14ac:dyDescent="0.2">
      <c r="W5391" s="50"/>
    </row>
    <row r="5392" spans="23:23" x14ac:dyDescent="0.2">
      <c r="W5392" s="50"/>
    </row>
    <row r="5393" spans="23:23" x14ac:dyDescent="0.2">
      <c r="W5393" s="50"/>
    </row>
    <row r="5394" spans="23:23" x14ac:dyDescent="0.2">
      <c r="W5394" s="50"/>
    </row>
    <row r="5395" spans="23:23" x14ac:dyDescent="0.2">
      <c r="W5395" s="50"/>
    </row>
    <row r="5396" spans="23:23" x14ac:dyDescent="0.2">
      <c r="W5396" s="50"/>
    </row>
    <row r="5397" spans="23:23" x14ac:dyDescent="0.2">
      <c r="W5397" s="50"/>
    </row>
    <row r="5398" spans="23:23" x14ac:dyDescent="0.2">
      <c r="W5398" s="50"/>
    </row>
    <row r="5399" spans="23:23" x14ac:dyDescent="0.2">
      <c r="W5399" s="50"/>
    </row>
    <row r="5400" spans="23:23" x14ac:dyDescent="0.2">
      <c r="W5400" s="50"/>
    </row>
    <row r="5401" spans="23:23" x14ac:dyDescent="0.2">
      <c r="W5401" s="50"/>
    </row>
    <row r="5402" spans="23:23" x14ac:dyDescent="0.2">
      <c r="W5402" s="50"/>
    </row>
    <row r="5403" spans="23:23" x14ac:dyDescent="0.2">
      <c r="W5403" s="50"/>
    </row>
    <row r="5404" spans="23:23" x14ac:dyDescent="0.2">
      <c r="W5404" s="50"/>
    </row>
    <row r="5405" spans="23:23" x14ac:dyDescent="0.2">
      <c r="W5405" s="50"/>
    </row>
    <row r="5406" spans="23:23" x14ac:dyDescent="0.2">
      <c r="W5406" s="50"/>
    </row>
    <row r="5407" spans="23:23" x14ac:dyDescent="0.2">
      <c r="W5407" s="50"/>
    </row>
    <row r="5408" spans="23:23" x14ac:dyDescent="0.2">
      <c r="W5408" s="50"/>
    </row>
    <row r="5409" spans="23:23" x14ac:dyDescent="0.2">
      <c r="W5409" s="50"/>
    </row>
    <row r="5410" spans="23:23" x14ac:dyDescent="0.2">
      <c r="W5410" s="50"/>
    </row>
    <row r="5411" spans="23:23" x14ac:dyDescent="0.2">
      <c r="W5411" s="50"/>
    </row>
    <row r="5412" spans="23:23" x14ac:dyDescent="0.2">
      <c r="W5412" s="50"/>
    </row>
    <row r="5413" spans="23:23" x14ac:dyDescent="0.2">
      <c r="W5413" s="50"/>
    </row>
    <row r="5414" spans="23:23" x14ac:dyDescent="0.2">
      <c r="W5414" s="50"/>
    </row>
    <row r="5415" spans="23:23" x14ac:dyDescent="0.2">
      <c r="W5415" s="50"/>
    </row>
    <row r="5416" spans="23:23" x14ac:dyDescent="0.2">
      <c r="W5416" s="50"/>
    </row>
    <row r="5417" spans="23:23" x14ac:dyDescent="0.2">
      <c r="W5417" s="50"/>
    </row>
    <row r="5418" spans="23:23" x14ac:dyDescent="0.2">
      <c r="W5418" s="50"/>
    </row>
    <row r="5419" spans="23:23" x14ac:dyDescent="0.2">
      <c r="W5419" s="50"/>
    </row>
    <row r="5420" spans="23:23" x14ac:dyDescent="0.2">
      <c r="W5420" s="50"/>
    </row>
    <row r="5421" spans="23:23" x14ac:dyDescent="0.2">
      <c r="W5421" s="50"/>
    </row>
    <row r="5422" spans="23:23" x14ac:dyDescent="0.2">
      <c r="W5422" s="50"/>
    </row>
    <row r="5423" spans="23:23" x14ac:dyDescent="0.2">
      <c r="W5423" s="50"/>
    </row>
    <row r="5424" spans="23:23" x14ac:dyDescent="0.2">
      <c r="W5424" s="50"/>
    </row>
    <row r="5425" spans="23:23" x14ac:dyDescent="0.2">
      <c r="W5425" s="50"/>
    </row>
    <row r="5426" spans="23:23" x14ac:dyDescent="0.2">
      <c r="W5426" s="50"/>
    </row>
    <row r="5427" spans="23:23" x14ac:dyDescent="0.2">
      <c r="W5427" s="50"/>
    </row>
    <row r="5428" spans="23:23" x14ac:dyDescent="0.2">
      <c r="W5428" s="50"/>
    </row>
    <row r="5429" spans="23:23" x14ac:dyDescent="0.2">
      <c r="W5429" s="50"/>
    </row>
    <row r="5430" spans="23:23" x14ac:dyDescent="0.2">
      <c r="W5430" s="50"/>
    </row>
    <row r="5431" spans="23:23" x14ac:dyDescent="0.2">
      <c r="W5431" s="50"/>
    </row>
    <row r="5432" spans="23:23" x14ac:dyDescent="0.2">
      <c r="W5432" s="50"/>
    </row>
    <row r="5433" spans="23:23" x14ac:dyDescent="0.2">
      <c r="W5433" s="50"/>
    </row>
    <row r="5434" spans="23:23" x14ac:dyDescent="0.2">
      <c r="W5434" s="50"/>
    </row>
    <row r="5435" spans="23:23" x14ac:dyDescent="0.2">
      <c r="W5435" s="50"/>
    </row>
    <row r="5436" spans="23:23" x14ac:dyDescent="0.2">
      <c r="W5436" s="50"/>
    </row>
    <row r="5437" spans="23:23" x14ac:dyDescent="0.2">
      <c r="W5437" s="50"/>
    </row>
    <row r="5438" spans="23:23" x14ac:dyDescent="0.2">
      <c r="W5438" s="50"/>
    </row>
    <row r="5439" spans="23:23" x14ac:dyDescent="0.2">
      <c r="W5439" s="50"/>
    </row>
    <row r="5440" spans="23:23" x14ac:dyDescent="0.2">
      <c r="W5440" s="50"/>
    </row>
    <row r="5441" spans="23:23" x14ac:dyDescent="0.2">
      <c r="W5441" s="50"/>
    </row>
    <row r="5442" spans="23:23" x14ac:dyDescent="0.2">
      <c r="W5442" s="50"/>
    </row>
    <row r="5443" spans="23:23" x14ac:dyDescent="0.2">
      <c r="W5443" s="50"/>
    </row>
    <row r="5444" spans="23:23" x14ac:dyDescent="0.2">
      <c r="W5444" s="50"/>
    </row>
    <row r="5445" spans="23:23" x14ac:dyDescent="0.2">
      <c r="W5445" s="50"/>
    </row>
    <row r="5446" spans="23:23" x14ac:dyDescent="0.2">
      <c r="W5446" s="50"/>
    </row>
    <row r="5447" spans="23:23" x14ac:dyDescent="0.2">
      <c r="W5447" s="50"/>
    </row>
    <row r="5448" spans="23:23" x14ac:dyDescent="0.2">
      <c r="W5448" s="50"/>
    </row>
    <row r="5449" spans="23:23" x14ac:dyDescent="0.2">
      <c r="W5449" s="50"/>
    </row>
    <row r="5450" spans="23:23" x14ac:dyDescent="0.2">
      <c r="W5450" s="50"/>
    </row>
    <row r="5451" spans="23:23" x14ac:dyDescent="0.2">
      <c r="W5451" s="50"/>
    </row>
    <row r="5452" spans="23:23" x14ac:dyDescent="0.2">
      <c r="W5452" s="50"/>
    </row>
    <row r="5453" spans="23:23" x14ac:dyDescent="0.2">
      <c r="W5453" s="50"/>
    </row>
    <row r="5454" spans="23:23" x14ac:dyDescent="0.2">
      <c r="W5454" s="50"/>
    </row>
    <row r="5455" spans="23:23" x14ac:dyDescent="0.2">
      <c r="W5455" s="50"/>
    </row>
    <row r="5456" spans="23:23" x14ac:dyDescent="0.2">
      <c r="W5456" s="50"/>
    </row>
    <row r="5457" spans="23:23" x14ac:dyDescent="0.2">
      <c r="W5457" s="50"/>
    </row>
    <row r="5458" spans="23:23" x14ac:dyDescent="0.2">
      <c r="W5458" s="50"/>
    </row>
    <row r="5459" spans="23:23" x14ac:dyDescent="0.2">
      <c r="W5459" s="50"/>
    </row>
    <row r="5460" spans="23:23" x14ac:dyDescent="0.2">
      <c r="W5460" s="50"/>
    </row>
    <row r="5461" spans="23:23" x14ac:dyDescent="0.2">
      <c r="W5461" s="50"/>
    </row>
    <row r="5462" spans="23:23" x14ac:dyDescent="0.2">
      <c r="W5462" s="50"/>
    </row>
    <row r="5463" spans="23:23" x14ac:dyDescent="0.2">
      <c r="W5463" s="50"/>
    </row>
    <row r="5464" spans="23:23" x14ac:dyDescent="0.2">
      <c r="W5464" s="50"/>
    </row>
    <row r="5465" spans="23:23" x14ac:dyDescent="0.2">
      <c r="W5465" s="50"/>
    </row>
    <row r="5466" spans="23:23" x14ac:dyDescent="0.2">
      <c r="W5466" s="50"/>
    </row>
    <row r="5467" spans="23:23" x14ac:dyDescent="0.2">
      <c r="W5467" s="50"/>
    </row>
    <row r="5468" spans="23:23" x14ac:dyDescent="0.2">
      <c r="W5468" s="50"/>
    </row>
    <row r="5469" spans="23:23" x14ac:dyDescent="0.2">
      <c r="W5469" s="50"/>
    </row>
    <row r="5470" spans="23:23" x14ac:dyDescent="0.2">
      <c r="W5470" s="50"/>
    </row>
    <row r="5471" spans="23:23" x14ac:dyDescent="0.2">
      <c r="W5471" s="50"/>
    </row>
    <row r="5472" spans="23:23" x14ac:dyDescent="0.2">
      <c r="W5472" s="50"/>
    </row>
    <row r="5473" spans="23:23" x14ac:dyDescent="0.2">
      <c r="W5473" s="50"/>
    </row>
    <row r="5474" spans="23:23" x14ac:dyDescent="0.2">
      <c r="W5474" s="50"/>
    </row>
    <row r="5475" spans="23:23" x14ac:dyDescent="0.2">
      <c r="W5475" s="50"/>
    </row>
    <row r="5476" spans="23:23" x14ac:dyDescent="0.2">
      <c r="W5476" s="50"/>
    </row>
    <row r="5477" spans="23:23" x14ac:dyDescent="0.2">
      <c r="W5477" s="50"/>
    </row>
    <row r="5478" spans="23:23" x14ac:dyDescent="0.2">
      <c r="W5478" s="50"/>
    </row>
    <row r="5479" spans="23:23" x14ac:dyDescent="0.2">
      <c r="W5479" s="50"/>
    </row>
    <row r="5480" spans="23:23" x14ac:dyDescent="0.2">
      <c r="W5480" s="50"/>
    </row>
    <row r="5481" spans="23:23" x14ac:dyDescent="0.2">
      <c r="W5481" s="50"/>
    </row>
    <row r="5482" spans="23:23" x14ac:dyDescent="0.2">
      <c r="W5482" s="50"/>
    </row>
    <row r="5483" spans="23:23" x14ac:dyDescent="0.2">
      <c r="W5483" s="50"/>
    </row>
    <row r="5484" spans="23:23" x14ac:dyDescent="0.2">
      <c r="W5484" s="50"/>
    </row>
    <row r="5485" spans="23:23" x14ac:dyDescent="0.2">
      <c r="W5485" s="50"/>
    </row>
    <row r="5486" spans="23:23" x14ac:dyDescent="0.2">
      <c r="W5486" s="50"/>
    </row>
    <row r="5487" spans="23:23" x14ac:dyDescent="0.2">
      <c r="W5487" s="50"/>
    </row>
    <row r="5488" spans="23:23" x14ac:dyDescent="0.2">
      <c r="W5488" s="50"/>
    </row>
    <row r="5489" spans="23:23" x14ac:dyDescent="0.2">
      <c r="W5489" s="50"/>
    </row>
    <row r="5490" spans="23:23" x14ac:dyDescent="0.2">
      <c r="W5490" s="50"/>
    </row>
    <row r="5491" spans="23:23" x14ac:dyDescent="0.2">
      <c r="W5491" s="50"/>
    </row>
    <row r="5492" spans="23:23" x14ac:dyDescent="0.2">
      <c r="W5492" s="50"/>
    </row>
    <row r="5493" spans="23:23" x14ac:dyDescent="0.2">
      <c r="W5493" s="50"/>
    </row>
    <row r="5494" spans="23:23" x14ac:dyDescent="0.2">
      <c r="W5494" s="50"/>
    </row>
    <row r="5495" spans="23:23" x14ac:dyDescent="0.2">
      <c r="W5495" s="50"/>
    </row>
    <row r="5496" spans="23:23" x14ac:dyDescent="0.2">
      <c r="W5496" s="50"/>
    </row>
    <row r="5497" spans="23:23" x14ac:dyDescent="0.2">
      <c r="W5497" s="50"/>
    </row>
    <row r="5498" spans="23:23" x14ac:dyDescent="0.2">
      <c r="W5498" s="50"/>
    </row>
    <row r="5499" spans="23:23" x14ac:dyDescent="0.2">
      <c r="W5499" s="50"/>
    </row>
    <row r="5500" spans="23:23" x14ac:dyDescent="0.2">
      <c r="W5500" s="50"/>
    </row>
    <row r="5501" spans="23:23" x14ac:dyDescent="0.2">
      <c r="W5501" s="50"/>
    </row>
    <row r="5502" spans="23:23" x14ac:dyDescent="0.2">
      <c r="W5502" s="50"/>
    </row>
    <row r="5503" spans="23:23" x14ac:dyDescent="0.2">
      <c r="W5503" s="50"/>
    </row>
    <row r="5504" spans="23:23" x14ac:dyDescent="0.2">
      <c r="W5504" s="50"/>
    </row>
    <row r="5505" spans="23:23" x14ac:dyDescent="0.2">
      <c r="W5505" s="50"/>
    </row>
    <row r="5506" spans="23:23" x14ac:dyDescent="0.2">
      <c r="W5506" s="50"/>
    </row>
    <row r="5507" spans="23:23" x14ac:dyDescent="0.2">
      <c r="W5507" s="50"/>
    </row>
    <row r="5508" spans="23:23" x14ac:dyDescent="0.2">
      <c r="W5508" s="50"/>
    </row>
    <row r="5509" spans="23:23" x14ac:dyDescent="0.2">
      <c r="W5509" s="50"/>
    </row>
    <row r="5510" spans="23:23" x14ac:dyDescent="0.2">
      <c r="W5510" s="50"/>
    </row>
    <row r="5511" spans="23:23" x14ac:dyDescent="0.2">
      <c r="W5511" s="50"/>
    </row>
    <row r="5512" spans="23:23" x14ac:dyDescent="0.2">
      <c r="W5512" s="50"/>
    </row>
    <row r="5513" spans="23:23" x14ac:dyDescent="0.2">
      <c r="W5513" s="50"/>
    </row>
    <row r="5514" spans="23:23" x14ac:dyDescent="0.2">
      <c r="W5514" s="50"/>
    </row>
    <row r="5515" spans="23:23" x14ac:dyDescent="0.2">
      <c r="W5515" s="50"/>
    </row>
    <row r="5516" spans="23:23" x14ac:dyDescent="0.2">
      <c r="W5516" s="50"/>
    </row>
    <row r="5517" spans="23:23" x14ac:dyDescent="0.2">
      <c r="W5517" s="50"/>
    </row>
    <row r="5518" spans="23:23" x14ac:dyDescent="0.2">
      <c r="W5518" s="50"/>
    </row>
    <row r="5519" spans="23:23" x14ac:dyDescent="0.2">
      <c r="W5519" s="50"/>
    </row>
    <row r="5520" spans="23:23" x14ac:dyDescent="0.2">
      <c r="W5520" s="50"/>
    </row>
    <row r="5521" spans="23:23" x14ac:dyDescent="0.2">
      <c r="W5521" s="50"/>
    </row>
    <row r="5522" spans="23:23" x14ac:dyDescent="0.2">
      <c r="W5522" s="50"/>
    </row>
    <row r="5523" spans="23:23" x14ac:dyDescent="0.2">
      <c r="W5523" s="50"/>
    </row>
    <row r="5524" spans="23:23" x14ac:dyDescent="0.2">
      <c r="W5524" s="50"/>
    </row>
    <row r="5525" spans="23:23" x14ac:dyDescent="0.2">
      <c r="W5525" s="50"/>
    </row>
    <row r="5526" spans="23:23" x14ac:dyDescent="0.2">
      <c r="W5526" s="50"/>
    </row>
    <row r="5527" spans="23:23" x14ac:dyDescent="0.2">
      <c r="W5527" s="50"/>
    </row>
    <row r="5528" spans="23:23" x14ac:dyDescent="0.2">
      <c r="W5528" s="50"/>
    </row>
    <row r="5529" spans="23:23" x14ac:dyDescent="0.2">
      <c r="W5529" s="50"/>
    </row>
    <row r="5530" spans="23:23" x14ac:dyDescent="0.2">
      <c r="W5530" s="50"/>
    </row>
    <row r="5531" spans="23:23" x14ac:dyDescent="0.2">
      <c r="W5531" s="50"/>
    </row>
    <row r="5532" spans="23:23" x14ac:dyDescent="0.2">
      <c r="W5532" s="50"/>
    </row>
    <row r="5533" spans="23:23" x14ac:dyDescent="0.2">
      <c r="W5533" s="50"/>
    </row>
    <row r="5534" spans="23:23" x14ac:dyDescent="0.2">
      <c r="W5534" s="50"/>
    </row>
    <row r="5535" spans="23:23" x14ac:dyDescent="0.2">
      <c r="W5535" s="50"/>
    </row>
    <row r="5536" spans="23:23" x14ac:dyDescent="0.2">
      <c r="W5536" s="50"/>
    </row>
    <row r="5537" spans="23:23" x14ac:dyDescent="0.2">
      <c r="W5537" s="50"/>
    </row>
    <row r="5538" spans="23:23" x14ac:dyDescent="0.2">
      <c r="W5538" s="50"/>
    </row>
    <row r="5539" spans="23:23" x14ac:dyDescent="0.2">
      <c r="W5539" s="50"/>
    </row>
    <row r="5540" spans="23:23" x14ac:dyDescent="0.2">
      <c r="W5540" s="50"/>
    </row>
    <row r="5541" spans="23:23" x14ac:dyDescent="0.2">
      <c r="W5541" s="50"/>
    </row>
    <row r="5542" spans="23:23" x14ac:dyDescent="0.2">
      <c r="W5542" s="50"/>
    </row>
    <row r="5543" spans="23:23" x14ac:dyDescent="0.2">
      <c r="W5543" s="50"/>
    </row>
    <row r="5544" spans="23:23" x14ac:dyDescent="0.2">
      <c r="W5544" s="50"/>
    </row>
    <row r="5545" spans="23:23" x14ac:dyDescent="0.2">
      <c r="W5545" s="50"/>
    </row>
    <row r="5546" spans="23:23" x14ac:dyDescent="0.2">
      <c r="W5546" s="50"/>
    </row>
    <row r="5547" spans="23:23" x14ac:dyDescent="0.2">
      <c r="W5547" s="50"/>
    </row>
    <row r="5548" spans="23:23" x14ac:dyDescent="0.2">
      <c r="W5548" s="50"/>
    </row>
    <row r="5549" spans="23:23" x14ac:dyDescent="0.2">
      <c r="W5549" s="50"/>
    </row>
    <row r="5550" spans="23:23" x14ac:dyDescent="0.2">
      <c r="W5550" s="50"/>
    </row>
    <row r="5551" spans="23:23" x14ac:dyDescent="0.2">
      <c r="W5551" s="50"/>
    </row>
    <row r="5552" spans="23:23" x14ac:dyDescent="0.2">
      <c r="W5552" s="50"/>
    </row>
    <row r="5553" spans="23:23" x14ac:dyDescent="0.2">
      <c r="W5553" s="50"/>
    </row>
    <row r="5554" spans="23:23" x14ac:dyDescent="0.2">
      <c r="W5554" s="50"/>
    </row>
    <row r="5555" spans="23:23" x14ac:dyDescent="0.2">
      <c r="W5555" s="50"/>
    </row>
    <row r="5556" spans="23:23" x14ac:dyDescent="0.2">
      <c r="W5556" s="50"/>
    </row>
    <row r="5557" spans="23:23" x14ac:dyDescent="0.2">
      <c r="W5557" s="50"/>
    </row>
    <row r="5558" spans="23:23" x14ac:dyDescent="0.2">
      <c r="W5558" s="50"/>
    </row>
    <row r="5559" spans="23:23" x14ac:dyDescent="0.2">
      <c r="W5559" s="50"/>
    </row>
    <row r="5560" spans="23:23" x14ac:dyDescent="0.2">
      <c r="W5560" s="50"/>
    </row>
    <row r="5561" spans="23:23" x14ac:dyDescent="0.2">
      <c r="W5561" s="50"/>
    </row>
    <row r="5562" spans="23:23" x14ac:dyDescent="0.2">
      <c r="W5562" s="50"/>
    </row>
    <row r="5563" spans="23:23" x14ac:dyDescent="0.2">
      <c r="W5563" s="50"/>
    </row>
    <row r="5564" spans="23:23" x14ac:dyDescent="0.2">
      <c r="W5564" s="50"/>
    </row>
    <row r="5565" spans="23:23" x14ac:dyDescent="0.2">
      <c r="W5565" s="50"/>
    </row>
    <row r="5566" spans="23:23" x14ac:dyDescent="0.2">
      <c r="W5566" s="50"/>
    </row>
    <row r="5567" spans="23:23" x14ac:dyDescent="0.2">
      <c r="W5567" s="50"/>
    </row>
    <row r="5568" spans="23:23" x14ac:dyDescent="0.2">
      <c r="W5568" s="50"/>
    </row>
    <row r="5569" spans="23:23" x14ac:dyDescent="0.2">
      <c r="W5569" s="50"/>
    </row>
    <row r="5570" spans="23:23" x14ac:dyDescent="0.2">
      <c r="W5570" s="50"/>
    </row>
    <row r="5571" spans="23:23" x14ac:dyDescent="0.2">
      <c r="W5571" s="50"/>
    </row>
    <row r="5572" spans="23:23" x14ac:dyDescent="0.2">
      <c r="W5572" s="50"/>
    </row>
    <row r="5573" spans="23:23" x14ac:dyDescent="0.2">
      <c r="W5573" s="50"/>
    </row>
    <row r="5574" spans="23:23" x14ac:dyDescent="0.2">
      <c r="W5574" s="50"/>
    </row>
    <row r="5575" spans="23:23" x14ac:dyDescent="0.2">
      <c r="W5575" s="50"/>
    </row>
    <row r="5576" spans="23:23" x14ac:dyDescent="0.2">
      <c r="W5576" s="50"/>
    </row>
    <row r="5577" spans="23:23" x14ac:dyDescent="0.2">
      <c r="W5577" s="50"/>
    </row>
    <row r="5578" spans="23:23" x14ac:dyDescent="0.2">
      <c r="W5578" s="50"/>
    </row>
    <row r="5579" spans="23:23" x14ac:dyDescent="0.2">
      <c r="W5579" s="50"/>
    </row>
    <row r="5580" spans="23:23" x14ac:dyDescent="0.2">
      <c r="W5580" s="50"/>
    </row>
    <row r="5581" spans="23:23" x14ac:dyDescent="0.2">
      <c r="W5581" s="50"/>
    </row>
    <row r="5582" spans="23:23" x14ac:dyDescent="0.2">
      <c r="W5582" s="50"/>
    </row>
    <row r="5583" spans="23:23" x14ac:dyDescent="0.2">
      <c r="W5583" s="50"/>
    </row>
    <row r="5584" spans="23:23" x14ac:dyDescent="0.2">
      <c r="W5584" s="50"/>
    </row>
    <row r="5585" spans="23:23" x14ac:dyDescent="0.2">
      <c r="W5585" s="50"/>
    </row>
    <row r="5586" spans="23:23" x14ac:dyDescent="0.2">
      <c r="W5586" s="50"/>
    </row>
    <row r="5587" spans="23:23" x14ac:dyDescent="0.2">
      <c r="W5587" s="50"/>
    </row>
    <row r="5588" spans="23:23" x14ac:dyDescent="0.2">
      <c r="W5588" s="50"/>
    </row>
    <row r="5589" spans="23:23" x14ac:dyDescent="0.2">
      <c r="W5589" s="50"/>
    </row>
    <row r="5590" spans="23:23" x14ac:dyDescent="0.2">
      <c r="W5590" s="50"/>
    </row>
    <row r="5591" spans="23:23" x14ac:dyDescent="0.2">
      <c r="W5591" s="50"/>
    </row>
    <row r="5592" spans="23:23" x14ac:dyDescent="0.2">
      <c r="W5592" s="50"/>
    </row>
    <row r="5593" spans="23:23" x14ac:dyDescent="0.2">
      <c r="W5593" s="50"/>
    </row>
    <row r="5594" spans="23:23" x14ac:dyDescent="0.2">
      <c r="W5594" s="50"/>
    </row>
    <row r="5595" spans="23:23" x14ac:dyDescent="0.2">
      <c r="W5595" s="50"/>
    </row>
    <row r="5596" spans="23:23" x14ac:dyDescent="0.2">
      <c r="W5596" s="50"/>
    </row>
    <row r="5597" spans="23:23" x14ac:dyDescent="0.2">
      <c r="W5597" s="50"/>
    </row>
    <row r="5598" spans="23:23" x14ac:dyDescent="0.2">
      <c r="W5598" s="50"/>
    </row>
    <row r="5599" spans="23:23" x14ac:dyDescent="0.2">
      <c r="W5599" s="50"/>
    </row>
    <row r="5600" spans="23:23" x14ac:dyDescent="0.2">
      <c r="W5600" s="50"/>
    </row>
    <row r="5601" spans="23:23" x14ac:dyDescent="0.2">
      <c r="W5601" s="50"/>
    </row>
    <row r="5602" spans="23:23" x14ac:dyDescent="0.2">
      <c r="W5602" s="50"/>
    </row>
    <row r="5603" spans="23:23" x14ac:dyDescent="0.2">
      <c r="W5603" s="50"/>
    </row>
    <row r="5604" spans="23:23" x14ac:dyDescent="0.2">
      <c r="W5604" s="50"/>
    </row>
    <row r="5605" spans="23:23" x14ac:dyDescent="0.2">
      <c r="W5605" s="50"/>
    </row>
    <row r="5606" spans="23:23" x14ac:dyDescent="0.2">
      <c r="W5606" s="50"/>
    </row>
    <row r="5607" spans="23:23" x14ac:dyDescent="0.2">
      <c r="W5607" s="50"/>
    </row>
    <row r="5608" spans="23:23" x14ac:dyDescent="0.2">
      <c r="W5608" s="50"/>
    </row>
    <row r="5609" spans="23:23" x14ac:dyDescent="0.2">
      <c r="W5609" s="50"/>
    </row>
    <row r="5610" spans="23:23" x14ac:dyDescent="0.2">
      <c r="W5610" s="50"/>
    </row>
    <row r="5611" spans="23:23" x14ac:dyDescent="0.2">
      <c r="W5611" s="50"/>
    </row>
    <row r="5612" spans="23:23" x14ac:dyDescent="0.2">
      <c r="W5612" s="50"/>
    </row>
    <row r="5613" spans="23:23" x14ac:dyDescent="0.2">
      <c r="W5613" s="50"/>
    </row>
    <row r="5614" spans="23:23" x14ac:dyDescent="0.2">
      <c r="W5614" s="50"/>
    </row>
    <row r="5615" spans="23:23" x14ac:dyDescent="0.2">
      <c r="W5615" s="50"/>
    </row>
    <row r="5616" spans="23:23" x14ac:dyDescent="0.2">
      <c r="W5616" s="50"/>
    </row>
    <row r="5617" spans="23:23" x14ac:dyDescent="0.2">
      <c r="W5617" s="50"/>
    </row>
    <row r="5618" spans="23:23" x14ac:dyDescent="0.2">
      <c r="W5618" s="50"/>
    </row>
    <row r="5619" spans="23:23" x14ac:dyDescent="0.2">
      <c r="W5619" s="50"/>
    </row>
    <row r="5620" spans="23:23" x14ac:dyDescent="0.2">
      <c r="W5620" s="50"/>
    </row>
    <row r="5621" spans="23:23" x14ac:dyDescent="0.2">
      <c r="W5621" s="50"/>
    </row>
    <row r="5622" spans="23:23" x14ac:dyDescent="0.2">
      <c r="W5622" s="50"/>
    </row>
    <row r="5623" spans="23:23" x14ac:dyDescent="0.2">
      <c r="W5623" s="50"/>
    </row>
    <row r="5624" spans="23:23" x14ac:dyDescent="0.2">
      <c r="W5624" s="50"/>
    </row>
    <row r="5625" spans="23:23" x14ac:dyDescent="0.2">
      <c r="W5625" s="50"/>
    </row>
    <row r="5626" spans="23:23" x14ac:dyDescent="0.2">
      <c r="W5626" s="50"/>
    </row>
    <row r="5627" spans="23:23" x14ac:dyDescent="0.2">
      <c r="W5627" s="50"/>
    </row>
    <row r="5628" spans="23:23" x14ac:dyDescent="0.2">
      <c r="W5628" s="50"/>
    </row>
    <row r="5629" spans="23:23" x14ac:dyDescent="0.2">
      <c r="W5629" s="50"/>
    </row>
    <row r="5630" spans="23:23" x14ac:dyDescent="0.2">
      <c r="W5630" s="50"/>
    </row>
    <row r="5631" spans="23:23" x14ac:dyDescent="0.2">
      <c r="W5631" s="50"/>
    </row>
    <row r="5632" spans="23:23" x14ac:dyDescent="0.2">
      <c r="W5632" s="50"/>
    </row>
    <row r="5633" spans="23:23" x14ac:dyDescent="0.2">
      <c r="W5633" s="50"/>
    </row>
    <row r="5634" spans="23:23" x14ac:dyDescent="0.2">
      <c r="W5634" s="50"/>
    </row>
    <row r="5635" spans="23:23" x14ac:dyDescent="0.2">
      <c r="W5635" s="50"/>
    </row>
    <row r="5636" spans="23:23" x14ac:dyDescent="0.2">
      <c r="W5636" s="50"/>
    </row>
    <row r="5637" spans="23:23" x14ac:dyDescent="0.2">
      <c r="W5637" s="50"/>
    </row>
    <row r="5638" spans="23:23" x14ac:dyDescent="0.2">
      <c r="W5638" s="50"/>
    </row>
    <row r="5639" spans="23:23" x14ac:dyDescent="0.2">
      <c r="W5639" s="50"/>
    </row>
    <row r="5640" spans="23:23" x14ac:dyDescent="0.2">
      <c r="W5640" s="50"/>
    </row>
    <row r="5641" spans="23:23" x14ac:dyDescent="0.2">
      <c r="W5641" s="50"/>
    </row>
    <row r="5642" spans="23:23" x14ac:dyDescent="0.2">
      <c r="W5642" s="50"/>
    </row>
    <row r="5643" spans="23:23" x14ac:dyDescent="0.2">
      <c r="W5643" s="50"/>
    </row>
    <row r="5644" spans="23:23" x14ac:dyDescent="0.2">
      <c r="W5644" s="50"/>
    </row>
    <row r="5645" spans="23:23" x14ac:dyDescent="0.2">
      <c r="W5645" s="50"/>
    </row>
    <row r="5646" spans="23:23" x14ac:dyDescent="0.2">
      <c r="W5646" s="50"/>
    </row>
    <row r="5647" spans="23:23" x14ac:dyDescent="0.2">
      <c r="W5647" s="50"/>
    </row>
    <row r="5648" spans="23:23" x14ac:dyDescent="0.2">
      <c r="W5648" s="50"/>
    </row>
    <row r="5649" spans="23:23" x14ac:dyDescent="0.2">
      <c r="W5649" s="50"/>
    </row>
    <row r="5650" spans="23:23" x14ac:dyDescent="0.2">
      <c r="W5650" s="50"/>
    </row>
    <row r="5651" spans="23:23" x14ac:dyDescent="0.2">
      <c r="W5651" s="50"/>
    </row>
    <row r="5652" spans="23:23" x14ac:dyDescent="0.2">
      <c r="W5652" s="50"/>
    </row>
    <row r="5653" spans="23:23" x14ac:dyDescent="0.2">
      <c r="W5653" s="50"/>
    </row>
    <row r="5654" spans="23:23" x14ac:dyDescent="0.2">
      <c r="W5654" s="50"/>
    </row>
    <row r="5655" spans="23:23" x14ac:dyDescent="0.2">
      <c r="W5655" s="50"/>
    </row>
    <row r="5656" spans="23:23" x14ac:dyDescent="0.2">
      <c r="W5656" s="50"/>
    </row>
    <row r="5657" spans="23:23" x14ac:dyDescent="0.2">
      <c r="W5657" s="50"/>
    </row>
    <row r="5658" spans="23:23" x14ac:dyDescent="0.2">
      <c r="W5658" s="50"/>
    </row>
    <row r="5659" spans="23:23" x14ac:dyDescent="0.2">
      <c r="W5659" s="50"/>
    </row>
    <row r="5660" spans="23:23" x14ac:dyDescent="0.2">
      <c r="W5660" s="50"/>
    </row>
    <row r="5661" spans="23:23" x14ac:dyDescent="0.2">
      <c r="W5661" s="50"/>
    </row>
    <row r="5662" spans="23:23" x14ac:dyDescent="0.2">
      <c r="W5662" s="50"/>
    </row>
    <row r="5663" spans="23:23" x14ac:dyDescent="0.2">
      <c r="W5663" s="50"/>
    </row>
    <row r="5664" spans="23:23" x14ac:dyDescent="0.2">
      <c r="W5664" s="50"/>
    </row>
    <row r="5665" spans="23:23" x14ac:dyDescent="0.2">
      <c r="W5665" s="50"/>
    </row>
    <row r="5666" spans="23:23" x14ac:dyDescent="0.2">
      <c r="W5666" s="50"/>
    </row>
    <row r="5667" spans="23:23" x14ac:dyDescent="0.2">
      <c r="W5667" s="50"/>
    </row>
    <row r="5668" spans="23:23" x14ac:dyDescent="0.2">
      <c r="W5668" s="50"/>
    </row>
    <row r="5669" spans="23:23" x14ac:dyDescent="0.2">
      <c r="W5669" s="50"/>
    </row>
    <row r="5670" spans="23:23" x14ac:dyDescent="0.2">
      <c r="W5670" s="50"/>
    </row>
    <row r="5671" spans="23:23" x14ac:dyDescent="0.2">
      <c r="W5671" s="50"/>
    </row>
    <row r="5672" spans="23:23" x14ac:dyDescent="0.2">
      <c r="W5672" s="50"/>
    </row>
    <row r="5673" spans="23:23" x14ac:dyDescent="0.2">
      <c r="W5673" s="50"/>
    </row>
    <row r="5674" spans="23:23" x14ac:dyDescent="0.2">
      <c r="W5674" s="50"/>
    </row>
    <row r="5675" spans="23:23" x14ac:dyDescent="0.2">
      <c r="W5675" s="50"/>
    </row>
    <row r="5676" spans="23:23" x14ac:dyDescent="0.2">
      <c r="W5676" s="50"/>
    </row>
    <row r="5677" spans="23:23" x14ac:dyDescent="0.2">
      <c r="W5677" s="50"/>
    </row>
    <row r="5678" spans="23:23" x14ac:dyDescent="0.2">
      <c r="W5678" s="50"/>
    </row>
    <row r="5679" spans="23:23" x14ac:dyDescent="0.2">
      <c r="W5679" s="50"/>
    </row>
    <row r="5680" spans="23:23" x14ac:dyDescent="0.2">
      <c r="W5680" s="50"/>
    </row>
    <row r="5681" spans="23:23" x14ac:dyDescent="0.2">
      <c r="W5681" s="50"/>
    </row>
    <row r="5682" spans="23:23" x14ac:dyDescent="0.2">
      <c r="W5682" s="50"/>
    </row>
    <row r="5683" spans="23:23" x14ac:dyDescent="0.2">
      <c r="W5683" s="50"/>
    </row>
    <row r="5684" spans="23:23" x14ac:dyDescent="0.2">
      <c r="W5684" s="50"/>
    </row>
    <row r="5685" spans="23:23" x14ac:dyDescent="0.2">
      <c r="W5685" s="50"/>
    </row>
    <row r="5686" spans="23:23" x14ac:dyDescent="0.2">
      <c r="W5686" s="50"/>
    </row>
    <row r="5687" spans="23:23" x14ac:dyDescent="0.2">
      <c r="W5687" s="50"/>
    </row>
    <row r="5688" spans="23:23" x14ac:dyDescent="0.2">
      <c r="W5688" s="50"/>
    </row>
    <row r="5689" spans="23:23" x14ac:dyDescent="0.2">
      <c r="W5689" s="50"/>
    </row>
    <row r="5690" spans="23:23" x14ac:dyDescent="0.2">
      <c r="W5690" s="50"/>
    </row>
    <row r="5691" spans="23:23" x14ac:dyDescent="0.2">
      <c r="W5691" s="50"/>
    </row>
    <row r="5692" spans="23:23" x14ac:dyDescent="0.2">
      <c r="W5692" s="50"/>
    </row>
    <row r="5693" spans="23:23" x14ac:dyDescent="0.2">
      <c r="W5693" s="50"/>
    </row>
    <row r="5694" spans="23:23" x14ac:dyDescent="0.2">
      <c r="W5694" s="50"/>
    </row>
    <row r="5695" spans="23:23" x14ac:dyDescent="0.2">
      <c r="W5695" s="50"/>
    </row>
    <row r="5696" spans="23:23" x14ac:dyDescent="0.2">
      <c r="W5696" s="50"/>
    </row>
    <row r="5697" spans="23:23" x14ac:dyDescent="0.2">
      <c r="W5697" s="50"/>
    </row>
    <row r="5698" spans="23:23" x14ac:dyDescent="0.2">
      <c r="W5698" s="50"/>
    </row>
    <row r="5699" spans="23:23" x14ac:dyDescent="0.2">
      <c r="W5699" s="50"/>
    </row>
    <row r="5700" spans="23:23" x14ac:dyDescent="0.2">
      <c r="W5700" s="50"/>
    </row>
    <row r="5701" spans="23:23" x14ac:dyDescent="0.2">
      <c r="W5701" s="50"/>
    </row>
    <row r="5702" spans="23:23" x14ac:dyDescent="0.2">
      <c r="W5702" s="50"/>
    </row>
    <row r="5703" spans="23:23" x14ac:dyDescent="0.2">
      <c r="W5703" s="50"/>
    </row>
    <row r="5704" spans="23:23" x14ac:dyDescent="0.2">
      <c r="W5704" s="50"/>
    </row>
    <row r="5705" spans="23:23" x14ac:dyDescent="0.2">
      <c r="W5705" s="50"/>
    </row>
    <row r="5706" spans="23:23" x14ac:dyDescent="0.2">
      <c r="W5706" s="50"/>
    </row>
    <row r="5707" spans="23:23" x14ac:dyDescent="0.2">
      <c r="W5707" s="50"/>
    </row>
    <row r="5708" spans="23:23" x14ac:dyDescent="0.2">
      <c r="W5708" s="50"/>
    </row>
    <row r="5709" spans="23:23" x14ac:dyDescent="0.2">
      <c r="W5709" s="50"/>
    </row>
    <row r="5710" spans="23:23" x14ac:dyDescent="0.2">
      <c r="W5710" s="50"/>
    </row>
    <row r="5711" spans="23:23" x14ac:dyDescent="0.2">
      <c r="W5711" s="50"/>
    </row>
    <row r="5712" spans="23:23" x14ac:dyDescent="0.2">
      <c r="W5712" s="50"/>
    </row>
    <row r="5713" spans="23:23" x14ac:dyDescent="0.2">
      <c r="W5713" s="50"/>
    </row>
    <row r="5714" spans="23:23" x14ac:dyDescent="0.2">
      <c r="W5714" s="50"/>
    </row>
    <row r="5715" spans="23:23" x14ac:dyDescent="0.2">
      <c r="W5715" s="50"/>
    </row>
    <row r="5716" spans="23:23" x14ac:dyDescent="0.2">
      <c r="W5716" s="50"/>
    </row>
    <row r="5717" spans="23:23" x14ac:dyDescent="0.2">
      <c r="W5717" s="50"/>
    </row>
    <row r="5718" spans="23:23" x14ac:dyDescent="0.2">
      <c r="W5718" s="50"/>
    </row>
    <row r="5719" spans="23:23" x14ac:dyDescent="0.2">
      <c r="W5719" s="50"/>
    </row>
    <row r="5720" spans="23:23" x14ac:dyDescent="0.2">
      <c r="W5720" s="50"/>
    </row>
    <row r="5721" spans="23:23" x14ac:dyDescent="0.2">
      <c r="W5721" s="50"/>
    </row>
    <row r="5722" spans="23:23" x14ac:dyDescent="0.2">
      <c r="W5722" s="50"/>
    </row>
    <row r="5723" spans="23:23" x14ac:dyDescent="0.2">
      <c r="W5723" s="50"/>
    </row>
    <row r="5724" spans="23:23" x14ac:dyDescent="0.2">
      <c r="W5724" s="50"/>
    </row>
    <row r="5725" spans="23:23" x14ac:dyDescent="0.2">
      <c r="W5725" s="50"/>
    </row>
    <row r="5726" spans="23:23" x14ac:dyDescent="0.2">
      <c r="W5726" s="50"/>
    </row>
    <row r="5727" spans="23:23" x14ac:dyDescent="0.2">
      <c r="W5727" s="50"/>
    </row>
    <row r="5728" spans="23:23" x14ac:dyDescent="0.2">
      <c r="W5728" s="50"/>
    </row>
    <row r="5729" spans="23:23" x14ac:dyDescent="0.2">
      <c r="W5729" s="50"/>
    </row>
    <row r="5730" spans="23:23" x14ac:dyDescent="0.2">
      <c r="W5730" s="50"/>
    </row>
    <row r="5731" spans="23:23" x14ac:dyDescent="0.2">
      <c r="W5731" s="50"/>
    </row>
    <row r="5732" spans="23:23" x14ac:dyDescent="0.2">
      <c r="W5732" s="50"/>
    </row>
    <row r="5733" spans="23:23" x14ac:dyDescent="0.2">
      <c r="W5733" s="50"/>
    </row>
    <row r="5734" spans="23:23" x14ac:dyDescent="0.2">
      <c r="W5734" s="50"/>
    </row>
    <row r="5735" spans="23:23" x14ac:dyDescent="0.2">
      <c r="W5735" s="50"/>
    </row>
    <row r="5736" spans="23:23" x14ac:dyDescent="0.2">
      <c r="W5736" s="50"/>
    </row>
    <row r="5737" spans="23:23" x14ac:dyDescent="0.2">
      <c r="W5737" s="50"/>
    </row>
    <row r="5738" spans="23:23" x14ac:dyDescent="0.2">
      <c r="W5738" s="50"/>
    </row>
    <row r="5739" spans="23:23" x14ac:dyDescent="0.2">
      <c r="W5739" s="50"/>
    </row>
    <row r="5740" spans="23:23" x14ac:dyDescent="0.2">
      <c r="W5740" s="50"/>
    </row>
    <row r="5741" spans="23:23" x14ac:dyDescent="0.2">
      <c r="W5741" s="50"/>
    </row>
    <row r="5742" spans="23:23" x14ac:dyDescent="0.2">
      <c r="W5742" s="50"/>
    </row>
    <row r="5743" spans="23:23" x14ac:dyDescent="0.2">
      <c r="W5743" s="50"/>
    </row>
    <row r="5744" spans="23:23" x14ac:dyDescent="0.2">
      <c r="W5744" s="50"/>
    </row>
    <row r="5745" spans="23:23" x14ac:dyDescent="0.2">
      <c r="W5745" s="50"/>
    </row>
    <row r="5746" spans="23:23" x14ac:dyDescent="0.2">
      <c r="W5746" s="50"/>
    </row>
    <row r="5747" spans="23:23" x14ac:dyDescent="0.2">
      <c r="W5747" s="50"/>
    </row>
    <row r="5748" spans="23:23" x14ac:dyDescent="0.2">
      <c r="W5748" s="50"/>
    </row>
    <row r="5749" spans="23:23" x14ac:dyDescent="0.2">
      <c r="W5749" s="50"/>
    </row>
    <row r="5750" spans="23:23" x14ac:dyDescent="0.2">
      <c r="W5750" s="50"/>
    </row>
    <row r="5751" spans="23:23" x14ac:dyDescent="0.2">
      <c r="W5751" s="50"/>
    </row>
    <row r="5752" spans="23:23" x14ac:dyDescent="0.2">
      <c r="W5752" s="50"/>
    </row>
    <row r="5753" spans="23:23" x14ac:dyDescent="0.2">
      <c r="W5753" s="50"/>
    </row>
    <row r="5754" spans="23:23" x14ac:dyDescent="0.2">
      <c r="W5754" s="50"/>
    </row>
    <row r="5755" spans="23:23" x14ac:dyDescent="0.2">
      <c r="W5755" s="50"/>
    </row>
    <row r="5756" spans="23:23" x14ac:dyDescent="0.2">
      <c r="W5756" s="50"/>
    </row>
    <row r="5757" spans="23:23" x14ac:dyDescent="0.2">
      <c r="W5757" s="50"/>
    </row>
    <row r="5758" spans="23:23" x14ac:dyDescent="0.2">
      <c r="W5758" s="50"/>
    </row>
    <row r="5759" spans="23:23" x14ac:dyDescent="0.2">
      <c r="W5759" s="50"/>
    </row>
    <row r="5760" spans="23:23" x14ac:dyDescent="0.2">
      <c r="W5760" s="50"/>
    </row>
    <row r="5761" spans="23:23" x14ac:dyDescent="0.2">
      <c r="W5761" s="50"/>
    </row>
    <row r="5762" spans="23:23" x14ac:dyDescent="0.2">
      <c r="W5762" s="50"/>
    </row>
    <row r="5763" spans="23:23" x14ac:dyDescent="0.2">
      <c r="W5763" s="50"/>
    </row>
    <row r="5764" spans="23:23" x14ac:dyDescent="0.2">
      <c r="W5764" s="50"/>
    </row>
    <row r="5765" spans="23:23" x14ac:dyDescent="0.2">
      <c r="W5765" s="50"/>
    </row>
    <row r="5766" spans="23:23" x14ac:dyDescent="0.2">
      <c r="W5766" s="50"/>
    </row>
    <row r="5767" spans="23:23" x14ac:dyDescent="0.2">
      <c r="W5767" s="50"/>
    </row>
    <row r="5768" spans="23:23" x14ac:dyDescent="0.2">
      <c r="W5768" s="50"/>
    </row>
    <row r="5769" spans="23:23" x14ac:dyDescent="0.2">
      <c r="W5769" s="50"/>
    </row>
    <row r="5770" spans="23:23" x14ac:dyDescent="0.2">
      <c r="W5770" s="50"/>
    </row>
    <row r="5771" spans="23:23" x14ac:dyDescent="0.2">
      <c r="W5771" s="50"/>
    </row>
    <row r="5772" spans="23:23" x14ac:dyDescent="0.2">
      <c r="W5772" s="50"/>
    </row>
    <row r="5773" spans="23:23" x14ac:dyDescent="0.2">
      <c r="W5773" s="50"/>
    </row>
    <row r="5774" spans="23:23" x14ac:dyDescent="0.2">
      <c r="W5774" s="50"/>
    </row>
    <row r="5775" spans="23:23" x14ac:dyDescent="0.2">
      <c r="W5775" s="50"/>
    </row>
    <row r="5776" spans="23:23" x14ac:dyDescent="0.2">
      <c r="W5776" s="50"/>
    </row>
    <row r="5777" spans="23:23" x14ac:dyDescent="0.2">
      <c r="W5777" s="50"/>
    </row>
    <row r="5778" spans="23:23" x14ac:dyDescent="0.2">
      <c r="W5778" s="50"/>
    </row>
    <row r="5779" spans="23:23" x14ac:dyDescent="0.2">
      <c r="W5779" s="50"/>
    </row>
    <row r="5780" spans="23:23" x14ac:dyDescent="0.2">
      <c r="W5780" s="50"/>
    </row>
    <row r="5781" spans="23:23" x14ac:dyDescent="0.2">
      <c r="W5781" s="50"/>
    </row>
    <row r="5782" spans="23:23" x14ac:dyDescent="0.2">
      <c r="W5782" s="50"/>
    </row>
    <row r="5783" spans="23:23" x14ac:dyDescent="0.2">
      <c r="W5783" s="50"/>
    </row>
    <row r="5784" spans="23:23" x14ac:dyDescent="0.2">
      <c r="W5784" s="50"/>
    </row>
    <row r="5785" spans="23:23" x14ac:dyDescent="0.2">
      <c r="W5785" s="50"/>
    </row>
    <row r="5786" spans="23:23" x14ac:dyDescent="0.2">
      <c r="W5786" s="50"/>
    </row>
    <row r="5787" spans="23:23" x14ac:dyDescent="0.2">
      <c r="W5787" s="50"/>
    </row>
    <row r="5788" spans="23:23" x14ac:dyDescent="0.2">
      <c r="W5788" s="50"/>
    </row>
    <row r="5789" spans="23:23" x14ac:dyDescent="0.2">
      <c r="W5789" s="50"/>
    </row>
    <row r="5790" spans="23:23" x14ac:dyDescent="0.2">
      <c r="W5790" s="50"/>
    </row>
    <row r="5791" spans="23:23" x14ac:dyDescent="0.2">
      <c r="W5791" s="50"/>
    </row>
    <row r="5792" spans="23:23" x14ac:dyDescent="0.2">
      <c r="W5792" s="50"/>
    </row>
    <row r="5793" spans="23:23" x14ac:dyDescent="0.2">
      <c r="W5793" s="50"/>
    </row>
    <row r="5794" spans="23:23" x14ac:dyDescent="0.2">
      <c r="W5794" s="50"/>
    </row>
    <row r="5795" spans="23:23" x14ac:dyDescent="0.2">
      <c r="W5795" s="50"/>
    </row>
    <row r="5796" spans="23:23" x14ac:dyDescent="0.2">
      <c r="W5796" s="50"/>
    </row>
    <row r="5797" spans="23:23" x14ac:dyDescent="0.2">
      <c r="W5797" s="50"/>
    </row>
    <row r="5798" spans="23:23" x14ac:dyDescent="0.2">
      <c r="W5798" s="50"/>
    </row>
    <row r="5799" spans="23:23" x14ac:dyDescent="0.2">
      <c r="W5799" s="50"/>
    </row>
    <row r="5800" spans="23:23" x14ac:dyDescent="0.2">
      <c r="W5800" s="50"/>
    </row>
    <row r="5801" spans="23:23" x14ac:dyDescent="0.2">
      <c r="W5801" s="50"/>
    </row>
    <row r="5802" spans="23:23" x14ac:dyDescent="0.2">
      <c r="W5802" s="50"/>
    </row>
    <row r="5803" spans="23:23" x14ac:dyDescent="0.2">
      <c r="W5803" s="50"/>
    </row>
    <row r="5804" spans="23:23" x14ac:dyDescent="0.2">
      <c r="W5804" s="50"/>
    </row>
    <row r="5805" spans="23:23" x14ac:dyDescent="0.2">
      <c r="W5805" s="50"/>
    </row>
    <row r="5806" spans="23:23" x14ac:dyDescent="0.2">
      <c r="W5806" s="50"/>
    </row>
    <row r="5807" spans="23:23" x14ac:dyDescent="0.2">
      <c r="W5807" s="50"/>
    </row>
    <row r="5808" spans="23:23" x14ac:dyDescent="0.2">
      <c r="W5808" s="50"/>
    </row>
    <row r="5809" spans="23:23" x14ac:dyDescent="0.2">
      <c r="W5809" s="50"/>
    </row>
    <row r="5810" spans="23:23" x14ac:dyDescent="0.2">
      <c r="W5810" s="50"/>
    </row>
    <row r="5811" spans="23:23" x14ac:dyDescent="0.2">
      <c r="W5811" s="50"/>
    </row>
    <row r="5812" spans="23:23" x14ac:dyDescent="0.2">
      <c r="W5812" s="50"/>
    </row>
    <row r="5813" spans="23:23" x14ac:dyDescent="0.2">
      <c r="W5813" s="50"/>
    </row>
    <row r="5814" spans="23:23" x14ac:dyDescent="0.2">
      <c r="W5814" s="50"/>
    </row>
    <row r="5815" spans="23:23" x14ac:dyDescent="0.2">
      <c r="W5815" s="50"/>
    </row>
    <row r="5816" spans="23:23" x14ac:dyDescent="0.2">
      <c r="W5816" s="50"/>
    </row>
    <row r="5817" spans="23:23" x14ac:dyDescent="0.2">
      <c r="W5817" s="50"/>
    </row>
    <row r="5818" spans="23:23" x14ac:dyDescent="0.2">
      <c r="W5818" s="50"/>
    </row>
    <row r="5819" spans="23:23" x14ac:dyDescent="0.2">
      <c r="W5819" s="50"/>
    </row>
    <row r="5820" spans="23:23" x14ac:dyDescent="0.2">
      <c r="W5820" s="50"/>
    </row>
    <row r="5821" spans="23:23" x14ac:dyDescent="0.2">
      <c r="W5821" s="50"/>
    </row>
    <row r="5822" spans="23:23" x14ac:dyDescent="0.2">
      <c r="W5822" s="50"/>
    </row>
    <row r="5823" spans="23:23" x14ac:dyDescent="0.2">
      <c r="W5823" s="50"/>
    </row>
    <row r="5824" spans="23:23" x14ac:dyDescent="0.2">
      <c r="W5824" s="50"/>
    </row>
    <row r="5825" spans="23:23" x14ac:dyDescent="0.2">
      <c r="W5825" s="50"/>
    </row>
    <row r="5826" spans="23:23" x14ac:dyDescent="0.2">
      <c r="W5826" s="50"/>
    </row>
    <row r="5827" spans="23:23" x14ac:dyDescent="0.2">
      <c r="W5827" s="50"/>
    </row>
    <row r="5828" spans="23:23" x14ac:dyDescent="0.2">
      <c r="W5828" s="50"/>
    </row>
    <row r="5829" spans="23:23" x14ac:dyDescent="0.2">
      <c r="W5829" s="50"/>
    </row>
    <row r="5830" spans="23:23" x14ac:dyDescent="0.2">
      <c r="W5830" s="50"/>
    </row>
    <row r="5831" spans="23:23" x14ac:dyDescent="0.2">
      <c r="W5831" s="50"/>
    </row>
    <row r="5832" spans="23:23" x14ac:dyDescent="0.2">
      <c r="W5832" s="50"/>
    </row>
    <row r="5833" spans="23:23" x14ac:dyDescent="0.2">
      <c r="W5833" s="50"/>
    </row>
    <row r="5834" spans="23:23" x14ac:dyDescent="0.2">
      <c r="W5834" s="50"/>
    </row>
    <row r="5835" spans="23:23" x14ac:dyDescent="0.2">
      <c r="W5835" s="50"/>
    </row>
    <row r="5836" spans="23:23" x14ac:dyDescent="0.2">
      <c r="W5836" s="50"/>
    </row>
    <row r="5837" spans="23:23" x14ac:dyDescent="0.2">
      <c r="W5837" s="50"/>
    </row>
    <row r="5838" spans="23:23" x14ac:dyDescent="0.2">
      <c r="W5838" s="50"/>
    </row>
    <row r="5839" spans="23:23" x14ac:dyDescent="0.2">
      <c r="W5839" s="50"/>
    </row>
    <row r="5840" spans="23:23" x14ac:dyDescent="0.2">
      <c r="W5840" s="50"/>
    </row>
    <row r="5841" spans="23:23" x14ac:dyDescent="0.2">
      <c r="W5841" s="50"/>
    </row>
    <row r="5842" spans="23:23" x14ac:dyDescent="0.2">
      <c r="W5842" s="50"/>
    </row>
    <row r="5843" spans="23:23" x14ac:dyDescent="0.2">
      <c r="W5843" s="50"/>
    </row>
    <row r="5844" spans="23:23" x14ac:dyDescent="0.2">
      <c r="W5844" s="50"/>
    </row>
    <row r="5845" spans="23:23" x14ac:dyDescent="0.2">
      <c r="W5845" s="50"/>
    </row>
    <row r="5846" spans="23:23" x14ac:dyDescent="0.2">
      <c r="W5846" s="50"/>
    </row>
    <row r="5847" spans="23:23" x14ac:dyDescent="0.2">
      <c r="W5847" s="50"/>
    </row>
    <row r="5848" spans="23:23" x14ac:dyDescent="0.2">
      <c r="W5848" s="50"/>
    </row>
    <row r="5849" spans="23:23" x14ac:dyDescent="0.2">
      <c r="W5849" s="50"/>
    </row>
    <row r="5850" spans="23:23" x14ac:dyDescent="0.2">
      <c r="W5850" s="50"/>
    </row>
    <row r="5851" spans="23:23" x14ac:dyDescent="0.2">
      <c r="W5851" s="50"/>
    </row>
    <row r="5852" spans="23:23" x14ac:dyDescent="0.2">
      <c r="W5852" s="50"/>
    </row>
    <row r="5853" spans="23:23" x14ac:dyDescent="0.2">
      <c r="W5853" s="50"/>
    </row>
    <row r="5854" spans="23:23" x14ac:dyDescent="0.2">
      <c r="W5854" s="50"/>
    </row>
    <row r="5855" spans="23:23" x14ac:dyDescent="0.2">
      <c r="W5855" s="50"/>
    </row>
    <row r="5856" spans="23:23" x14ac:dyDescent="0.2">
      <c r="W5856" s="50"/>
    </row>
    <row r="5857" spans="23:23" x14ac:dyDescent="0.2">
      <c r="W5857" s="50"/>
    </row>
    <row r="5858" spans="23:23" x14ac:dyDescent="0.2">
      <c r="W5858" s="50"/>
    </row>
    <row r="5859" spans="23:23" x14ac:dyDescent="0.2">
      <c r="W5859" s="50"/>
    </row>
    <row r="5860" spans="23:23" x14ac:dyDescent="0.2">
      <c r="W5860" s="50"/>
    </row>
    <row r="5861" spans="23:23" x14ac:dyDescent="0.2">
      <c r="W5861" s="50"/>
    </row>
    <row r="5862" spans="23:23" x14ac:dyDescent="0.2">
      <c r="W5862" s="50"/>
    </row>
    <row r="5863" spans="23:23" x14ac:dyDescent="0.2">
      <c r="W5863" s="50"/>
    </row>
    <row r="5864" spans="23:23" x14ac:dyDescent="0.2">
      <c r="W5864" s="50"/>
    </row>
    <row r="5865" spans="23:23" x14ac:dyDescent="0.2">
      <c r="W5865" s="50"/>
    </row>
    <row r="5866" spans="23:23" x14ac:dyDescent="0.2">
      <c r="W5866" s="50"/>
    </row>
    <row r="5867" spans="23:23" x14ac:dyDescent="0.2">
      <c r="W5867" s="50"/>
    </row>
    <row r="5868" spans="23:23" x14ac:dyDescent="0.2">
      <c r="W5868" s="50"/>
    </row>
    <row r="5869" spans="23:23" x14ac:dyDescent="0.2">
      <c r="W5869" s="50"/>
    </row>
    <row r="5870" spans="23:23" x14ac:dyDescent="0.2">
      <c r="W5870" s="50"/>
    </row>
    <row r="5871" spans="23:23" x14ac:dyDescent="0.2">
      <c r="W5871" s="50"/>
    </row>
    <row r="5872" spans="23:23" x14ac:dyDescent="0.2">
      <c r="W5872" s="50"/>
    </row>
    <row r="5873" spans="23:23" x14ac:dyDescent="0.2">
      <c r="W5873" s="50"/>
    </row>
    <row r="5874" spans="23:23" x14ac:dyDescent="0.2">
      <c r="W5874" s="50"/>
    </row>
    <row r="5875" spans="23:23" x14ac:dyDescent="0.2">
      <c r="W5875" s="50"/>
    </row>
    <row r="5876" spans="23:23" x14ac:dyDescent="0.2">
      <c r="W5876" s="50"/>
    </row>
    <row r="5877" spans="23:23" x14ac:dyDescent="0.2">
      <c r="W5877" s="50"/>
    </row>
    <row r="5878" spans="23:23" x14ac:dyDescent="0.2">
      <c r="W5878" s="50"/>
    </row>
    <row r="5879" spans="23:23" x14ac:dyDescent="0.2">
      <c r="W5879" s="50"/>
    </row>
    <row r="5880" spans="23:23" x14ac:dyDescent="0.2">
      <c r="W5880" s="50"/>
    </row>
    <row r="5881" spans="23:23" x14ac:dyDescent="0.2">
      <c r="W5881" s="50"/>
    </row>
    <row r="5882" spans="23:23" x14ac:dyDescent="0.2">
      <c r="W5882" s="50"/>
    </row>
    <row r="5883" spans="23:23" x14ac:dyDescent="0.2">
      <c r="W5883" s="50"/>
    </row>
    <row r="5884" spans="23:23" x14ac:dyDescent="0.2">
      <c r="W5884" s="50"/>
    </row>
    <row r="5885" spans="23:23" x14ac:dyDescent="0.2">
      <c r="W5885" s="50"/>
    </row>
    <row r="5886" spans="23:23" x14ac:dyDescent="0.2">
      <c r="W5886" s="50"/>
    </row>
    <row r="5887" spans="23:23" x14ac:dyDescent="0.2">
      <c r="W5887" s="50"/>
    </row>
    <row r="5888" spans="23:23" x14ac:dyDescent="0.2">
      <c r="W5888" s="50"/>
    </row>
    <row r="5889" spans="23:23" x14ac:dyDescent="0.2">
      <c r="W5889" s="50"/>
    </row>
    <row r="5890" spans="23:23" x14ac:dyDescent="0.2">
      <c r="W5890" s="50"/>
    </row>
    <row r="5891" spans="23:23" x14ac:dyDescent="0.2">
      <c r="W5891" s="50"/>
    </row>
    <row r="5892" spans="23:23" x14ac:dyDescent="0.2">
      <c r="W5892" s="50"/>
    </row>
    <row r="5893" spans="23:23" x14ac:dyDescent="0.2">
      <c r="W5893" s="50"/>
    </row>
    <row r="5894" spans="23:23" x14ac:dyDescent="0.2">
      <c r="W5894" s="50"/>
    </row>
    <row r="5895" spans="23:23" x14ac:dyDescent="0.2">
      <c r="W5895" s="50"/>
    </row>
    <row r="5896" spans="23:23" x14ac:dyDescent="0.2">
      <c r="W5896" s="50"/>
    </row>
    <row r="5897" spans="23:23" x14ac:dyDescent="0.2">
      <c r="W5897" s="50"/>
    </row>
    <row r="5898" spans="23:23" x14ac:dyDescent="0.2">
      <c r="W5898" s="50"/>
    </row>
    <row r="5899" spans="23:23" x14ac:dyDescent="0.2">
      <c r="W5899" s="50"/>
    </row>
    <row r="5900" spans="23:23" x14ac:dyDescent="0.2">
      <c r="W5900" s="50"/>
    </row>
    <row r="5901" spans="23:23" x14ac:dyDescent="0.2">
      <c r="W5901" s="50"/>
    </row>
    <row r="5902" spans="23:23" x14ac:dyDescent="0.2">
      <c r="W5902" s="50"/>
    </row>
    <row r="5903" spans="23:23" x14ac:dyDescent="0.2">
      <c r="W5903" s="50"/>
    </row>
    <row r="5904" spans="23:23" x14ac:dyDescent="0.2">
      <c r="W5904" s="50"/>
    </row>
    <row r="5905" spans="23:23" x14ac:dyDescent="0.2">
      <c r="W5905" s="50"/>
    </row>
    <row r="5906" spans="23:23" x14ac:dyDescent="0.2">
      <c r="W5906" s="50"/>
    </row>
    <row r="5907" spans="23:23" x14ac:dyDescent="0.2">
      <c r="W5907" s="50"/>
    </row>
    <row r="5908" spans="23:23" x14ac:dyDescent="0.2">
      <c r="W5908" s="50"/>
    </row>
    <row r="5909" spans="23:23" x14ac:dyDescent="0.2">
      <c r="W5909" s="50"/>
    </row>
    <row r="5910" spans="23:23" x14ac:dyDescent="0.2">
      <c r="W5910" s="50"/>
    </row>
    <row r="5911" spans="23:23" x14ac:dyDescent="0.2">
      <c r="W5911" s="50"/>
    </row>
    <row r="5912" spans="23:23" x14ac:dyDescent="0.2">
      <c r="W5912" s="50"/>
    </row>
    <row r="5913" spans="23:23" x14ac:dyDescent="0.2">
      <c r="W5913" s="50"/>
    </row>
    <row r="5914" spans="23:23" x14ac:dyDescent="0.2">
      <c r="W5914" s="50"/>
    </row>
    <row r="5915" spans="23:23" x14ac:dyDescent="0.2">
      <c r="W5915" s="50"/>
    </row>
    <row r="5916" spans="23:23" x14ac:dyDescent="0.2">
      <c r="W5916" s="50"/>
    </row>
    <row r="5917" spans="23:23" x14ac:dyDescent="0.2">
      <c r="W5917" s="50"/>
    </row>
    <row r="5918" spans="23:23" x14ac:dyDescent="0.2">
      <c r="W5918" s="50"/>
    </row>
    <row r="5919" spans="23:23" x14ac:dyDescent="0.2">
      <c r="W5919" s="50"/>
    </row>
    <row r="5920" spans="23:23" x14ac:dyDescent="0.2">
      <c r="W5920" s="50"/>
    </row>
    <row r="5921" spans="23:23" x14ac:dyDescent="0.2">
      <c r="W5921" s="50"/>
    </row>
    <row r="5922" spans="23:23" x14ac:dyDescent="0.2">
      <c r="W5922" s="50"/>
    </row>
    <row r="5923" spans="23:23" x14ac:dyDescent="0.2">
      <c r="W5923" s="50"/>
    </row>
    <row r="5924" spans="23:23" x14ac:dyDescent="0.2">
      <c r="W5924" s="50"/>
    </row>
    <row r="5925" spans="23:23" x14ac:dyDescent="0.2">
      <c r="W5925" s="50"/>
    </row>
    <row r="5926" spans="23:23" x14ac:dyDescent="0.2">
      <c r="W5926" s="50"/>
    </row>
    <row r="5927" spans="23:23" x14ac:dyDescent="0.2">
      <c r="W5927" s="50"/>
    </row>
    <row r="5928" spans="23:23" x14ac:dyDescent="0.2">
      <c r="W5928" s="50"/>
    </row>
    <row r="5929" spans="23:23" x14ac:dyDescent="0.2">
      <c r="W5929" s="50"/>
    </row>
    <row r="5930" spans="23:23" x14ac:dyDescent="0.2">
      <c r="W5930" s="50"/>
    </row>
    <row r="5931" spans="23:23" x14ac:dyDescent="0.2">
      <c r="W5931" s="50"/>
    </row>
    <row r="5932" spans="23:23" x14ac:dyDescent="0.2">
      <c r="W5932" s="50"/>
    </row>
    <row r="5933" spans="23:23" x14ac:dyDescent="0.2">
      <c r="W5933" s="50"/>
    </row>
    <row r="5934" spans="23:23" x14ac:dyDescent="0.2">
      <c r="W5934" s="50"/>
    </row>
    <row r="5935" spans="23:23" x14ac:dyDescent="0.2">
      <c r="W5935" s="50"/>
    </row>
    <row r="5936" spans="23:23" x14ac:dyDescent="0.2">
      <c r="W5936" s="50"/>
    </row>
    <row r="5937" spans="23:23" x14ac:dyDescent="0.2">
      <c r="W5937" s="50"/>
    </row>
    <row r="5938" spans="23:23" x14ac:dyDescent="0.2">
      <c r="W5938" s="50"/>
    </row>
    <row r="5939" spans="23:23" x14ac:dyDescent="0.2">
      <c r="W5939" s="50"/>
    </row>
    <row r="5940" spans="23:23" x14ac:dyDescent="0.2">
      <c r="W5940" s="50"/>
    </row>
    <row r="5941" spans="23:23" x14ac:dyDescent="0.2">
      <c r="W5941" s="50"/>
    </row>
    <row r="5942" spans="23:23" x14ac:dyDescent="0.2">
      <c r="W5942" s="50"/>
    </row>
    <row r="5943" spans="23:23" x14ac:dyDescent="0.2">
      <c r="W5943" s="50"/>
    </row>
    <row r="5944" spans="23:23" x14ac:dyDescent="0.2">
      <c r="W5944" s="50"/>
    </row>
    <row r="5945" spans="23:23" x14ac:dyDescent="0.2">
      <c r="W5945" s="50"/>
    </row>
    <row r="5946" spans="23:23" x14ac:dyDescent="0.2">
      <c r="W5946" s="50"/>
    </row>
    <row r="5947" spans="23:23" x14ac:dyDescent="0.2">
      <c r="W5947" s="50"/>
    </row>
    <row r="5948" spans="23:23" x14ac:dyDescent="0.2">
      <c r="W5948" s="50"/>
    </row>
    <row r="5949" spans="23:23" x14ac:dyDescent="0.2">
      <c r="W5949" s="50"/>
    </row>
    <row r="5950" spans="23:23" x14ac:dyDescent="0.2">
      <c r="W5950" s="50"/>
    </row>
    <row r="5951" spans="23:23" x14ac:dyDescent="0.2">
      <c r="W5951" s="50"/>
    </row>
    <row r="5952" spans="23:23" x14ac:dyDescent="0.2">
      <c r="W5952" s="50"/>
    </row>
    <row r="5953" spans="23:23" x14ac:dyDescent="0.2">
      <c r="W5953" s="50"/>
    </row>
    <row r="5954" spans="23:23" x14ac:dyDescent="0.2">
      <c r="W5954" s="50"/>
    </row>
    <row r="5955" spans="23:23" x14ac:dyDescent="0.2">
      <c r="W5955" s="50"/>
    </row>
    <row r="5956" spans="23:23" x14ac:dyDescent="0.2">
      <c r="W5956" s="50"/>
    </row>
    <row r="5957" spans="23:23" x14ac:dyDescent="0.2">
      <c r="W5957" s="50"/>
    </row>
    <row r="5958" spans="23:23" x14ac:dyDescent="0.2">
      <c r="W5958" s="50"/>
    </row>
    <row r="5959" spans="23:23" x14ac:dyDescent="0.2">
      <c r="W5959" s="50"/>
    </row>
    <row r="5960" spans="23:23" x14ac:dyDescent="0.2">
      <c r="W5960" s="50"/>
    </row>
    <row r="5961" spans="23:23" x14ac:dyDescent="0.2">
      <c r="W5961" s="50"/>
    </row>
    <row r="5962" spans="23:23" x14ac:dyDescent="0.2">
      <c r="W5962" s="50"/>
    </row>
    <row r="5963" spans="23:23" x14ac:dyDescent="0.2">
      <c r="W5963" s="50"/>
    </row>
    <row r="5964" spans="23:23" x14ac:dyDescent="0.2">
      <c r="W5964" s="50"/>
    </row>
    <row r="5965" spans="23:23" x14ac:dyDescent="0.2">
      <c r="W5965" s="50"/>
    </row>
    <row r="5966" spans="23:23" x14ac:dyDescent="0.2">
      <c r="W5966" s="50"/>
    </row>
    <row r="5967" spans="23:23" x14ac:dyDescent="0.2">
      <c r="W5967" s="50"/>
    </row>
    <row r="5968" spans="23:23" x14ac:dyDescent="0.2">
      <c r="W5968" s="50"/>
    </row>
    <row r="5969" spans="23:23" x14ac:dyDescent="0.2">
      <c r="W5969" s="50"/>
    </row>
    <row r="5970" spans="23:23" x14ac:dyDescent="0.2">
      <c r="W5970" s="50"/>
    </row>
    <row r="5971" spans="23:23" x14ac:dyDescent="0.2">
      <c r="W5971" s="50"/>
    </row>
    <row r="5972" spans="23:23" x14ac:dyDescent="0.2">
      <c r="W5972" s="50"/>
    </row>
    <row r="5973" spans="23:23" x14ac:dyDescent="0.2">
      <c r="W5973" s="50"/>
    </row>
    <row r="5974" spans="23:23" x14ac:dyDescent="0.2">
      <c r="W5974" s="50"/>
    </row>
    <row r="5975" spans="23:23" x14ac:dyDescent="0.2">
      <c r="W5975" s="50"/>
    </row>
    <row r="5976" spans="23:23" x14ac:dyDescent="0.2">
      <c r="W5976" s="50"/>
    </row>
    <row r="5977" spans="23:23" x14ac:dyDescent="0.2">
      <c r="W5977" s="50"/>
    </row>
    <row r="5978" spans="23:23" x14ac:dyDescent="0.2">
      <c r="W5978" s="50"/>
    </row>
    <row r="5979" spans="23:23" x14ac:dyDescent="0.2">
      <c r="W5979" s="50"/>
    </row>
    <row r="5980" spans="23:23" x14ac:dyDescent="0.2">
      <c r="W5980" s="50"/>
    </row>
    <row r="5981" spans="23:23" x14ac:dyDescent="0.2">
      <c r="W5981" s="50"/>
    </row>
    <row r="5982" spans="23:23" x14ac:dyDescent="0.2">
      <c r="W5982" s="50"/>
    </row>
    <row r="5983" spans="23:23" x14ac:dyDescent="0.2">
      <c r="W5983" s="50"/>
    </row>
    <row r="5984" spans="23:23" x14ac:dyDescent="0.2">
      <c r="W5984" s="50"/>
    </row>
    <row r="5985" spans="23:23" x14ac:dyDescent="0.2">
      <c r="W5985" s="50"/>
    </row>
    <row r="5986" spans="23:23" x14ac:dyDescent="0.2">
      <c r="W5986" s="50"/>
    </row>
    <row r="5987" spans="23:23" x14ac:dyDescent="0.2">
      <c r="W5987" s="50"/>
    </row>
    <row r="5988" spans="23:23" x14ac:dyDescent="0.2">
      <c r="W5988" s="50"/>
    </row>
    <row r="5989" spans="23:23" x14ac:dyDescent="0.2">
      <c r="W5989" s="50"/>
    </row>
    <row r="5990" spans="23:23" x14ac:dyDescent="0.2">
      <c r="W5990" s="50"/>
    </row>
    <row r="5991" spans="23:23" x14ac:dyDescent="0.2">
      <c r="W5991" s="50"/>
    </row>
    <row r="5992" spans="23:23" x14ac:dyDescent="0.2">
      <c r="W5992" s="50"/>
    </row>
    <row r="5993" spans="23:23" x14ac:dyDescent="0.2">
      <c r="W5993" s="50"/>
    </row>
    <row r="5994" spans="23:23" x14ac:dyDescent="0.2">
      <c r="W5994" s="50"/>
    </row>
    <row r="5995" spans="23:23" x14ac:dyDescent="0.2">
      <c r="W5995" s="50"/>
    </row>
    <row r="5996" spans="23:23" x14ac:dyDescent="0.2">
      <c r="W5996" s="50"/>
    </row>
    <row r="5997" spans="23:23" x14ac:dyDescent="0.2">
      <c r="W5997" s="50"/>
    </row>
    <row r="5998" spans="23:23" x14ac:dyDescent="0.2">
      <c r="W5998" s="50"/>
    </row>
    <row r="5999" spans="23:23" x14ac:dyDescent="0.2">
      <c r="W5999" s="50"/>
    </row>
    <row r="6000" spans="23:23" x14ac:dyDescent="0.2">
      <c r="W6000" s="50"/>
    </row>
    <row r="6001" spans="23:23" x14ac:dyDescent="0.2">
      <c r="W6001" s="50"/>
    </row>
    <row r="6002" spans="23:23" x14ac:dyDescent="0.2">
      <c r="W6002" s="50"/>
    </row>
    <row r="6003" spans="23:23" x14ac:dyDescent="0.2">
      <c r="W6003" s="50"/>
    </row>
    <row r="6004" spans="23:23" x14ac:dyDescent="0.2">
      <c r="W6004" s="50"/>
    </row>
    <row r="6005" spans="23:23" x14ac:dyDescent="0.2">
      <c r="W6005" s="50"/>
    </row>
    <row r="6006" spans="23:23" x14ac:dyDescent="0.2">
      <c r="W6006" s="50"/>
    </row>
    <row r="6007" spans="23:23" x14ac:dyDescent="0.2">
      <c r="W6007" s="50"/>
    </row>
    <row r="6008" spans="23:23" x14ac:dyDescent="0.2">
      <c r="W6008" s="50"/>
    </row>
    <row r="6009" spans="23:23" x14ac:dyDescent="0.2">
      <c r="W6009" s="50"/>
    </row>
    <row r="6010" spans="23:23" x14ac:dyDescent="0.2">
      <c r="W6010" s="50"/>
    </row>
    <row r="6011" spans="23:23" x14ac:dyDescent="0.2">
      <c r="W6011" s="50"/>
    </row>
    <row r="6012" spans="23:23" x14ac:dyDescent="0.2">
      <c r="W6012" s="50"/>
    </row>
    <row r="6013" spans="23:23" x14ac:dyDescent="0.2">
      <c r="W6013" s="50"/>
    </row>
    <row r="6014" spans="23:23" x14ac:dyDescent="0.2">
      <c r="W6014" s="50"/>
    </row>
    <row r="6015" spans="23:23" x14ac:dyDescent="0.2">
      <c r="W6015" s="50"/>
    </row>
    <row r="6016" spans="23:23" x14ac:dyDescent="0.2">
      <c r="W6016" s="50"/>
    </row>
    <row r="6017" spans="23:23" x14ac:dyDescent="0.2">
      <c r="W6017" s="50"/>
    </row>
    <row r="6018" spans="23:23" x14ac:dyDescent="0.2">
      <c r="W6018" s="50"/>
    </row>
    <row r="6019" spans="23:23" x14ac:dyDescent="0.2">
      <c r="W6019" s="50"/>
    </row>
    <row r="6020" spans="23:23" x14ac:dyDescent="0.2">
      <c r="W6020" s="50"/>
    </row>
    <row r="6021" spans="23:23" x14ac:dyDescent="0.2">
      <c r="W6021" s="50"/>
    </row>
    <row r="6022" spans="23:23" x14ac:dyDescent="0.2">
      <c r="W6022" s="50"/>
    </row>
    <row r="6023" spans="23:23" x14ac:dyDescent="0.2">
      <c r="W6023" s="50"/>
    </row>
    <row r="6024" spans="23:23" x14ac:dyDescent="0.2">
      <c r="W6024" s="50"/>
    </row>
    <row r="6025" spans="23:23" x14ac:dyDescent="0.2">
      <c r="W6025" s="50"/>
    </row>
    <row r="6026" spans="23:23" x14ac:dyDescent="0.2">
      <c r="W6026" s="50"/>
    </row>
    <row r="6027" spans="23:23" x14ac:dyDescent="0.2">
      <c r="W6027" s="50"/>
    </row>
    <row r="6028" spans="23:23" x14ac:dyDescent="0.2">
      <c r="W6028" s="50"/>
    </row>
    <row r="6029" spans="23:23" x14ac:dyDescent="0.2">
      <c r="W6029" s="50"/>
    </row>
    <row r="6030" spans="23:23" x14ac:dyDescent="0.2">
      <c r="W6030" s="50"/>
    </row>
    <row r="6031" spans="23:23" x14ac:dyDescent="0.2">
      <c r="W6031" s="50"/>
    </row>
    <row r="6032" spans="23:23" x14ac:dyDescent="0.2">
      <c r="W6032" s="50"/>
    </row>
    <row r="6033" spans="23:23" x14ac:dyDescent="0.2">
      <c r="W6033" s="50"/>
    </row>
    <row r="6034" spans="23:23" x14ac:dyDescent="0.2">
      <c r="W6034" s="50"/>
    </row>
    <row r="6035" spans="23:23" x14ac:dyDescent="0.2">
      <c r="W6035" s="50"/>
    </row>
    <row r="6036" spans="23:23" x14ac:dyDescent="0.2">
      <c r="W6036" s="50"/>
    </row>
    <row r="6037" spans="23:23" x14ac:dyDescent="0.2">
      <c r="W6037" s="50"/>
    </row>
    <row r="6038" spans="23:23" x14ac:dyDescent="0.2">
      <c r="W6038" s="50"/>
    </row>
    <row r="6039" spans="23:23" x14ac:dyDescent="0.2">
      <c r="W6039" s="50"/>
    </row>
    <row r="6040" spans="23:23" x14ac:dyDescent="0.2">
      <c r="W6040" s="50"/>
    </row>
    <row r="6041" spans="23:23" x14ac:dyDescent="0.2">
      <c r="W6041" s="50"/>
    </row>
    <row r="6042" spans="23:23" x14ac:dyDescent="0.2">
      <c r="W6042" s="50"/>
    </row>
    <row r="6043" spans="23:23" x14ac:dyDescent="0.2">
      <c r="W6043" s="50"/>
    </row>
    <row r="6044" spans="23:23" x14ac:dyDescent="0.2">
      <c r="W6044" s="50"/>
    </row>
    <row r="6045" spans="23:23" x14ac:dyDescent="0.2">
      <c r="W6045" s="50"/>
    </row>
    <row r="6046" spans="23:23" x14ac:dyDescent="0.2">
      <c r="W6046" s="50"/>
    </row>
    <row r="6047" spans="23:23" x14ac:dyDescent="0.2">
      <c r="W6047" s="50"/>
    </row>
    <row r="6048" spans="23:23" x14ac:dyDescent="0.2">
      <c r="W6048" s="50"/>
    </row>
    <row r="6049" spans="23:23" x14ac:dyDescent="0.2">
      <c r="W6049" s="50"/>
    </row>
    <row r="6050" spans="23:23" x14ac:dyDescent="0.2">
      <c r="W6050" s="50"/>
    </row>
    <row r="6051" spans="23:23" x14ac:dyDescent="0.2">
      <c r="W6051" s="50"/>
    </row>
    <row r="6052" spans="23:23" x14ac:dyDescent="0.2">
      <c r="W6052" s="50"/>
    </row>
    <row r="6053" spans="23:23" x14ac:dyDescent="0.2">
      <c r="W6053" s="50"/>
    </row>
    <row r="6054" spans="23:23" x14ac:dyDescent="0.2">
      <c r="W6054" s="50"/>
    </row>
    <row r="6055" spans="23:23" x14ac:dyDescent="0.2">
      <c r="W6055" s="50"/>
    </row>
    <row r="6056" spans="23:23" x14ac:dyDescent="0.2">
      <c r="W6056" s="50"/>
    </row>
    <row r="6057" spans="23:23" x14ac:dyDescent="0.2">
      <c r="W6057" s="50"/>
    </row>
    <row r="6058" spans="23:23" x14ac:dyDescent="0.2">
      <c r="W6058" s="50"/>
    </row>
    <row r="6059" spans="23:23" x14ac:dyDescent="0.2">
      <c r="W6059" s="50"/>
    </row>
    <row r="6060" spans="23:23" x14ac:dyDescent="0.2">
      <c r="W6060" s="50"/>
    </row>
    <row r="6061" spans="23:23" x14ac:dyDescent="0.2">
      <c r="W6061" s="50"/>
    </row>
    <row r="6062" spans="23:23" x14ac:dyDescent="0.2">
      <c r="W6062" s="50"/>
    </row>
    <row r="6063" spans="23:23" x14ac:dyDescent="0.2">
      <c r="W6063" s="50"/>
    </row>
    <row r="6064" spans="23:23" x14ac:dyDescent="0.2">
      <c r="W6064" s="50"/>
    </row>
    <row r="6065" spans="23:23" x14ac:dyDescent="0.2">
      <c r="W6065" s="50"/>
    </row>
    <row r="6066" spans="23:23" x14ac:dyDescent="0.2">
      <c r="W6066" s="50"/>
    </row>
    <row r="6067" spans="23:23" x14ac:dyDescent="0.2">
      <c r="W6067" s="50"/>
    </row>
    <row r="6068" spans="23:23" x14ac:dyDescent="0.2">
      <c r="W6068" s="50"/>
    </row>
    <row r="6069" spans="23:23" x14ac:dyDescent="0.2">
      <c r="W6069" s="50"/>
    </row>
    <row r="6070" spans="23:23" x14ac:dyDescent="0.2">
      <c r="W6070" s="50"/>
    </row>
    <row r="6071" spans="23:23" x14ac:dyDescent="0.2">
      <c r="W6071" s="50"/>
    </row>
    <row r="6072" spans="23:23" x14ac:dyDescent="0.2">
      <c r="W6072" s="50"/>
    </row>
    <row r="6073" spans="23:23" x14ac:dyDescent="0.2">
      <c r="W6073" s="50"/>
    </row>
    <row r="6074" spans="23:23" x14ac:dyDescent="0.2">
      <c r="W6074" s="50"/>
    </row>
    <row r="6075" spans="23:23" x14ac:dyDescent="0.2">
      <c r="W6075" s="50"/>
    </row>
    <row r="6076" spans="23:23" x14ac:dyDescent="0.2">
      <c r="W6076" s="50"/>
    </row>
    <row r="6077" spans="23:23" x14ac:dyDescent="0.2">
      <c r="W6077" s="50"/>
    </row>
    <row r="6078" spans="23:23" x14ac:dyDescent="0.2">
      <c r="W6078" s="50"/>
    </row>
    <row r="6079" spans="23:23" x14ac:dyDescent="0.2">
      <c r="W6079" s="50"/>
    </row>
    <row r="6080" spans="23:23" x14ac:dyDescent="0.2">
      <c r="W6080" s="50"/>
    </row>
    <row r="6081" spans="23:23" x14ac:dyDescent="0.2">
      <c r="W6081" s="50"/>
    </row>
    <row r="6082" spans="23:23" x14ac:dyDescent="0.2">
      <c r="W6082" s="50"/>
    </row>
    <row r="6083" spans="23:23" x14ac:dyDescent="0.2">
      <c r="W6083" s="50"/>
    </row>
    <row r="6084" spans="23:23" x14ac:dyDescent="0.2">
      <c r="W6084" s="50"/>
    </row>
    <row r="6085" spans="23:23" x14ac:dyDescent="0.2">
      <c r="W6085" s="50"/>
    </row>
    <row r="6086" spans="23:23" x14ac:dyDescent="0.2">
      <c r="W6086" s="50"/>
    </row>
    <row r="6087" spans="23:23" x14ac:dyDescent="0.2">
      <c r="W6087" s="50"/>
    </row>
    <row r="6088" spans="23:23" x14ac:dyDescent="0.2">
      <c r="W6088" s="50"/>
    </row>
    <row r="6089" spans="23:23" x14ac:dyDescent="0.2">
      <c r="W6089" s="50"/>
    </row>
    <row r="6090" spans="23:23" x14ac:dyDescent="0.2">
      <c r="W6090" s="50"/>
    </row>
    <row r="6091" spans="23:23" x14ac:dyDescent="0.2">
      <c r="W6091" s="50"/>
    </row>
    <row r="6092" spans="23:23" x14ac:dyDescent="0.2">
      <c r="W6092" s="50"/>
    </row>
    <row r="6093" spans="23:23" x14ac:dyDescent="0.2">
      <c r="W6093" s="50"/>
    </row>
    <row r="6094" spans="23:23" x14ac:dyDescent="0.2">
      <c r="W6094" s="50"/>
    </row>
    <row r="6095" spans="23:23" x14ac:dyDescent="0.2">
      <c r="W6095" s="50"/>
    </row>
    <row r="6096" spans="23:23" x14ac:dyDescent="0.2">
      <c r="W6096" s="50"/>
    </row>
    <row r="6097" spans="23:23" x14ac:dyDescent="0.2">
      <c r="W6097" s="50"/>
    </row>
    <row r="6098" spans="23:23" x14ac:dyDescent="0.2">
      <c r="W6098" s="50"/>
    </row>
    <row r="6099" spans="23:23" x14ac:dyDescent="0.2">
      <c r="W6099" s="50"/>
    </row>
    <row r="6100" spans="23:23" x14ac:dyDescent="0.2">
      <c r="W6100" s="50"/>
    </row>
    <row r="6101" spans="23:23" x14ac:dyDescent="0.2">
      <c r="W6101" s="50"/>
    </row>
    <row r="6102" spans="23:23" x14ac:dyDescent="0.2">
      <c r="W6102" s="50"/>
    </row>
    <row r="6103" spans="23:23" x14ac:dyDescent="0.2">
      <c r="W6103" s="50"/>
    </row>
    <row r="6104" spans="23:23" x14ac:dyDescent="0.2">
      <c r="W6104" s="50"/>
    </row>
    <row r="6105" spans="23:23" x14ac:dyDescent="0.2">
      <c r="W6105" s="50"/>
    </row>
    <row r="6106" spans="23:23" x14ac:dyDescent="0.2">
      <c r="W6106" s="50"/>
    </row>
    <row r="6107" spans="23:23" x14ac:dyDescent="0.2">
      <c r="W6107" s="50"/>
    </row>
    <row r="6108" spans="23:23" x14ac:dyDescent="0.2">
      <c r="W6108" s="50"/>
    </row>
    <row r="6109" spans="23:23" x14ac:dyDescent="0.2">
      <c r="W6109" s="50"/>
    </row>
    <row r="6110" spans="23:23" x14ac:dyDescent="0.2">
      <c r="W6110" s="50"/>
    </row>
    <row r="6111" spans="23:23" x14ac:dyDescent="0.2">
      <c r="W6111" s="50"/>
    </row>
    <row r="6112" spans="23:23" x14ac:dyDescent="0.2">
      <c r="W6112" s="50"/>
    </row>
    <row r="6113" spans="23:23" x14ac:dyDescent="0.2">
      <c r="W6113" s="50"/>
    </row>
    <row r="6114" spans="23:23" x14ac:dyDescent="0.2">
      <c r="W6114" s="50"/>
    </row>
    <row r="6115" spans="23:23" x14ac:dyDescent="0.2">
      <c r="W6115" s="50"/>
    </row>
    <row r="6116" spans="23:23" x14ac:dyDescent="0.2">
      <c r="W6116" s="50"/>
    </row>
    <row r="6117" spans="23:23" x14ac:dyDescent="0.2">
      <c r="W6117" s="50"/>
    </row>
    <row r="6118" spans="23:23" x14ac:dyDescent="0.2">
      <c r="W6118" s="50"/>
    </row>
    <row r="6119" spans="23:23" x14ac:dyDescent="0.2">
      <c r="W6119" s="50"/>
    </row>
    <row r="6120" spans="23:23" x14ac:dyDescent="0.2">
      <c r="W6120" s="50"/>
    </row>
    <row r="6121" spans="23:23" x14ac:dyDescent="0.2">
      <c r="W6121" s="50"/>
    </row>
    <row r="6122" spans="23:23" x14ac:dyDescent="0.2">
      <c r="W6122" s="50"/>
    </row>
    <row r="6123" spans="23:23" x14ac:dyDescent="0.2">
      <c r="W6123" s="50"/>
    </row>
    <row r="6124" spans="23:23" x14ac:dyDescent="0.2">
      <c r="W6124" s="50"/>
    </row>
    <row r="6125" spans="23:23" x14ac:dyDescent="0.2">
      <c r="W6125" s="50"/>
    </row>
    <row r="6126" spans="23:23" x14ac:dyDescent="0.2">
      <c r="W6126" s="50"/>
    </row>
    <row r="6127" spans="23:23" x14ac:dyDescent="0.2">
      <c r="W6127" s="50"/>
    </row>
    <row r="6128" spans="23:23" x14ac:dyDescent="0.2">
      <c r="W6128" s="50"/>
    </row>
    <row r="6129" spans="23:23" x14ac:dyDescent="0.2">
      <c r="W6129" s="50"/>
    </row>
    <row r="6130" spans="23:23" x14ac:dyDescent="0.2">
      <c r="W6130" s="50"/>
    </row>
    <row r="6131" spans="23:23" x14ac:dyDescent="0.2">
      <c r="W6131" s="50"/>
    </row>
    <row r="6132" spans="23:23" x14ac:dyDescent="0.2">
      <c r="W6132" s="50"/>
    </row>
    <row r="6133" spans="23:23" x14ac:dyDescent="0.2">
      <c r="W6133" s="50"/>
    </row>
    <row r="6134" spans="23:23" x14ac:dyDescent="0.2">
      <c r="W6134" s="50"/>
    </row>
    <row r="6135" spans="23:23" x14ac:dyDescent="0.2">
      <c r="W6135" s="50"/>
    </row>
    <row r="6136" spans="23:23" x14ac:dyDescent="0.2">
      <c r="W6136" s="50"/>
    </row>
    <row r="6137" spans="23:23" x14ac:dyDescent="0.2">
      <c r="W6137" s="50"/>
    </row>
    <row r="6138" spans="23:23" x14ac:dyDescent="0.2">
      <c r="W6138" s="50"/>
    </row>
    <row r="6139" spans="23:23" x14ac:dyDescent="0.2">
      <c r="W6139" s="50"/>
    </row>
    <row r="6140" spans="23:23" x14ac:dyDescent="0.2">
      <c r="W6140" s="50"/>
    </row>
    <row r="6141" spans="23:23" x14ac:dyDescent="0.2">
      <c r="W6141" s="50"/>
    </row>
    <row r="6142" spans="23:23" x14ac:dyDescent="0.2">
      <c r="W6142" s="50"/>
    </row>
    <row r="6143" spans="23:23" x14ac:dyDescent="0.2">
      <c r="W6143" s="50"/>
    </row>
    <row r="6144" spans="23:23" x14ac:dyDescent="0.2">
      <c r="W6144" s="50"/>
    </row>
    <row r="6145" spans="23:23" x14ac:dyDescent="0.2">
      <c r="W6145" s="50"/>
    </row>
    <row r="6146" spans="23:23" x14ac:dyDescent="0.2">
      <c r="W6146" s="50"/>
    </row>
    <row r="6147" spans="23:23" x14ac:dyDescent="0.2">
      <c r="W6147" s="50"/>
    </row>
    <row r="6148" spans="23:23" x14ac:dyDescent="0.2">
      <c r="W6148" s="50"/>
    </row>
    <row r="6149" spans="23:23" x14ac:dyDescent="0.2">
      <c r="W6149" s="50"/>
    </row>
    <row r="6150" spans="23:23" x14ac:dyDescent="0.2">
      <c r="W6150" s="50"/>
    </row>
    <row r="6151" spans="23:23" x14ac:dyDescent="0.2">
      <c r="W6151" s="50"/>
    </row>
    <row r="6152" spans="23:23" x14ac:dyDescent="0.2">
      <c r="W6152" s="50"/>
    </row>
    <row r="6153" spans="23:23" x14ac:dyDescent="0.2">
      <c r="W6153" s="50"/>
    </row>
    <row r="6154" spans="23:23" x14ac:dyDescent="0.2">
      <c r="W6154" s="50"/>
    </row>
    <row r="6155" spans="23:23" x14ac:dyDescent="0.2">
      <c r="W6155" s="50"/>
    </row>
    <row r="6156" spans="23:23" x14ac:dyDescent="0.2">
      <c r="W6156" s="50"/>
    </row>
    <row r="6157" spans="23:23" x14ac:dyDescent="0.2">
      <c r="W6157" s="50"/>
    </row>
    <row r="6158" spans="23:23" x14ac:dyDescent="0.2">
      <c r="W6158" s="50"/>
    </row>
    <row r="6159" spans="23:23" x14ac:dyDescent="0.2">
      <c r="W6159" s="50"/>
    </row>
    <row r="6160" spans="23:23" x14ac:dyDescent="0.2">
      <c r="W6160" s="50"/>
    </row>
    <row r="6161" spans="23:23" x14ac:dyDescent="0.2">
      <c r="W6161" s="50"/>
    </row>
    <row r="6162" spans="23:23" x14ac:dyDescent="0.2">
      <c r="W6162" s="50"/>
    </row>
    <row r="6163" spans="23:23" x14ac:dyDescent="0.2">
      <c r="W6163" s="50"/>
    </row>
    <row r="6164" spans="23:23" x14ac:dyDescent="0.2">
      <c r="W6164" s="50"/>
    </row>
    <row r="6165" spans="23:23" x14ac:dyDescent="0.2">
      <c r="W6165" s="50"/>
    </row>
    <row r="6166" spans="23:23" x14ac:dyDescent="0.2">
      <c r="W6166" s="50"/>
    </row>
    <row r="6167" spans="23:23" x14ac:dyDescent="0.2">
      <c r="W6167" s="50"/>
    </row>
    <row r="6168" spans="23:23" x14ac:dyDescent="0.2">
      <c r="W6168" s="50"/>
    </row>
    <row r="6169" spans="23:23" x14ac:dyDescent="0.2">
      <c r="W6169" s="50"/>
    </row>
    <row r="6170" spans="23:23" x14ac:dyDescent="0.2">
      <c r="W6170" s="50"/>
    </row>
    <row r="6171" spans="23:23" x14ac:dyDescent="0.2">
      <c r="W6171" s="50"/>
    </row>
    <row r="6172" spans="23:23" x14ac:dyDescent="0.2">
      <c r="W6172" s="50"/>
    </row>
    <row r="6173" spans="23:23" x14ac:dyDescent="0.2">
      <c r="W6173" s="50"/>
    </row>
    <row r="6174" spans="23:23" x14ac:dyDescent="0.2">
      <c r="W6174" s="50"/>
    </row>
    <row r="6175" spans="23:23" x14ac:dyDescent="0.2">
      <c r="W6175" s="50"/>
    </row>
    <row r="6176" spans="23:23" x14ac:dyDescent="0.2">
      <c r="W6176" s="50"/>
    </row>
    <row r="6177" spans="23:23" x14ac:dyDescent="0.2">
      <c r="W6177" s="50"/>
    </row>
    <row r="6178" spans="23:23" x14ac:dyDescent="0.2">
      <c r="W6178" s="50"/>
    </row>
    <row r="6179" spans="23:23" x14ac:dyDescent="0.2">
      <c r="W6179" s="50"/>
    </row>
    <row r="6180" spans="23:23" x14ac:dyDescent="0.2">
      <c r="W6180" s="50"/>
    </row>
    <row r="6181" spans="23:23" x14ac:dyDescent="0.2">
      <c r="W6181" s="50"/>
    </row>
    <row r="6182" spans="23:23" x14ac:dyDescent="0.2">
      <c r="W6182" s="50"/>
    </row>
    <row r="6183" spans="23:23" x14ac:dyDescent="0.2">
      <c r="W6183" s="50"/>
    </row>
    <row r="6184" spans="23:23" x14ac:dyDescent="0.2">
      <c r="W6184" s="50"/>
    </row>
    <row r="6185" spans="23:23" x14ac:dyDescent="0.2">
      <c r="W6185" s="50"/>
    </row>
    <row r="6186" spans="23:23" x14ac:dyDescent="0.2">
      <c r="W6186" s="50"/>
    </row>
    <row r="6187" spans="23:23" x14ac:dyDescent="0.2">
      <c r="W6187" s="50"/>
    </row>
    <row r="6188" spans="23:23" x14ac:dyDescent="0.2">
      <c r="W6188" s="50"/>
    </row>
    <row r="6189" spans="23:23" x14ac:dyDescent="0.2">
      <c r="W6189" s="50"/>
    </row>
    <row r="6190" spans="23:23" x14ac:dyDescent="0.2">
      <c r="W6190" s="50"/>
    </row>
    <row r="6191" spans="23:23" x14ac:dyDescent="0.2">
      <c r="W6191" s="50"/>
    </row>
    <row r="6192" spans="23:23" x14ac:dyDescent="0.2">
      <c r="W6192" s="50"/>
    </row>
    <row r="6193" spans="23:23" x14ac:dyDescent="0.2">
      <c r="W6193" s="50"/>
    </row>
    <row r="6194" spans="23:23" x14ac:dyDescent="0.2">
      <c r="W6194" s="50"/>
    </row>
    <row r="6195" spans="23:23" x14ac:dyDescent="0.2">
      <c r="W6195" s="50"/>
    </row>
    <row r="6196" spans="23:23" x14ac:dyDescent="0.2">
      <c r="W6196" s="50"/>
    </row>
    <row r="6197" spans="23:23" x14ac:dyDescent="0.2">
      <c r="W6197" s="50"/>
    </row>
    <row r="6198" spans="23:23" x14ac:dyDescent="0.2">
      <c r="W6198" s="50"/>
    </row>
    <row r="6199" spans="23:23" x14ac:dyDescent="0.2">
      <c r="W6199" s="50"/>
    </row>
    <row r="6200" spans="23:23" x14ac:dyDescent="0.2">
      <c r="W6200" s="50"/>
    </row>
    <row r="6201" spans="23:23" x14ac:dyDescent="0.2">
      <c r="W6201" s="50"/>
    </row>
    <row r="6202" spans="23:23" x14ac:dyDescent="0.2">
      <c r="W6202" s="50"/>
    </row>
    <row r="6203" spans="23:23" x14ac:dyDescent="0.2">
      <c r="W6203" s="50"/>
    </row>
    <row r="6204" spans="23:23" x14ac:dyDescent="0.2">
      <c r="W6204" s="50"/>
    </row>
    <row r="6205" spans="23:23" x14ac:dyDescent="0.2">
      <c r="W6205" s="50"/>
    </row>
    <row r="6206" spans="23:23" x14ac:dyDescent="0.2">
      <c r="W6206" s="50"/>
    </row>
    <row r="6207" spans="23:23" x14ac:dyDescent="0.2">
      <c r="W6207" s="50"/>
    </row>
    <row r="6208" spans="23:23" x14ac:dyDescent="0.2">
      <c r="W6208" s="50"/>
    </row>
    <row r="6209" spans="23:23" x14ac:dyDescent="0.2">
      <c r="W6209" s="50"/>
    </row>
    <row r="6210" spans="23:23" x14ac:dyDescent="0.2">
      <c r="W6210" s="50"/>
    </row>
    <row r="6211" spans="23:23" x14ac:dyDescent="0.2">
      <c r="W6211" s="50"/>
    </row>
    <row r="6212" spans="23:23" x14ac:dyDescent="0.2">
      <c r="W6212" s="50"/>
    </row>
    <row r="6213" spans="23:23" x14ac:dyDescent="0.2">
      <c r="W6213" s="50"/>
    </row>
    <row r="6214" spans="23:23" x14ac:dyDescent="0.2">
      <c r="W6214" s="50"/>
    </row>
    <row r="6215" spans="23:23" x14ac:dyDescent="0.2">
      <c r="W6215" s="50"/>
    </row>
    <row r="6216" spans="23:23" x14ac:dyDescent="0.2">
      <c r="W6216" s="50"/>
    </row>
    <row r="6217" spans="23:23" x14ac:dyDescent="0.2">
      <c r="W6217" s="50"/>
    </row>
    <row r="6218" spans="23:23" x14ac:dyDescent="0.2">
      <c r="W6218" s="50"/>
    </row>
    <row r="6219" spans="23:23" x14ac:dyDescent="0.2">
      <c r="W6219" s="50"/>
    </row>
    <row r="6220" spans="23:23" x14ac:dyDescent="0.2">
      <c r="W6220" s="50"/>
    </row>
    <row r="6221" spans="23:23" x14ac:dyDescent="0.2">
      <c r="W6221" s="50"/>
    </row>
    <row r="6222" spans="23:23" x14ac:dyDescent="0.2">
      <c r="W6222" s="50"/>
    </row>
    <row r="6223" spans="23:23" x14ac:dyDescent="0.2">
      <c r="W6223" s="50"/>
    </row>
    <row r="6224" spans="23:23" x14ac:dyDescent="0.2">
      <c r="W6224" s="50"/>
    </row>
    <row r="6225" spans="23:23" x14ac:dyDescent="0.2">
      <c r="W6225" s="50"/>
    </row>
    <row r="6226" spans="23:23" x14ac:dyDescent="0.2">
      <c r="W6226" s="50"/>
    </row>
    <row r="6227" spans="23:23" x14ac:dyDescent="0.2">
      <c r="W6227" s="50"/>
    </row>
    <row r="6228" spans="23:23" x14ac:dyDescent="0.2">
      <c r="W6228" s="50"/>
    </row>
    <row r="6229" spans="23:23" x14ac:dyDescent="0.2">
      <c r="W6229" s="50"/>
    </row>
    <row r="6230" spans="23:23" x14ac:dyDescent="0.2">
      <c r="W6230" s="50"/>
    </row>
    <row r="6231" spans="23:23" x14ac:dyDescent="0.2">
      <c r="W6231" s="50"/>
    </row>
    <row r="6232" spans="23:23" x14ac:dyDescent="0.2">
      <c r="W6232" s="50"/>
    </row>
    <row r="6233" spans="23:23" x14ac:dyDescent="0.2">
      <c r="W6233" s="50"/>
    </row>
    <row r="6234" spans="23:23" x14ac:dyDescent="0.2">
      <c r="W6234" s="50"/>
    </row>
    <row r="6235" spans="23:23" x14ac:dyDescent="0.2">
      <c r="W6235" s="50"/>
    </row>
    <row r="6236" spans="23:23" x14ac:dyDescent="0.2">
      <c r="W6236" s="50"/>
    </row>
    <row r="6237" spans="23:23" x14ac:dyDescent="0.2">
      <c r="W6237" s="50"/>
    </row>
    <row r="6238" spans="23:23" x14ac:dyDescent="0.2">
      <c r="W6238" s="50"/>
    </row>
    <row r="6239" spans="23:23" x14ac:dyDescent="0.2">
      <c r="W6239" s="50"/>
    </row>
    <row r="6240" spans="23:23" x14ac:dyDescent="0.2">
      <c r="W6240" s="50"/>
    </row>
    <row r="6241" spans="23:23" x14ac:dyDescent="0.2">
      <c r="W6241" s="50"/>
    </row>
    <row r="6242" spans="23:23" x14ac:dyDescent="0.2">
      <c r="W6242" s="50"/>
    </row>
    <row r="6243" spans="23:23" x14ac:dyDescent="0.2">
      <c r="W6243" s="50"/>
    </row>
    <row r="6244" spans="23:23" x14ac:dyDescent="0.2">
      <c r="W6244" s="50"/>
    </row>
    <row r="6245" spans="23:23" x14ac:dyDescent="0.2">
      <c r="W6245" s="50"/>
    </row>
    <row r="6246" spans="23:23" x14ac:dyDescent="0.2">
      <c r="W6246" s="50"/>
    </row>
    <row r="6247" spans="23:23" x14ac:dyDescent="0.2">
      <c r="W6247" s="50"/>
    </row>
    <row r="6248" spans="23:23" x14ac:dyDescent="0.2">
      <c r="W6248" s="50"/>
    </row>
    <row r="6249" spans="23:23" x14ac:dyDescent="0.2">
      <c r="W6249" s="50"/>
    </row>
    <row r="6250" spans="23:23" x14ac:dyDescent="0.2">
      <c r="W6250" s="50"/>
    </row>
    <row r="6251" spans="23:23" x14ac:dyDescent="0.2">
      <c r="W6251" s="50"/>
    </row>
    <row r="6252" spans="23:23" x14ac:dyDescent="0.2">
      <c r="W6252" s="50"/>
    </row>
    <row r="6253" spans="23:23" x14ac:dyDescent="0.2">
      <c r="W6253" s="50"/>
    </row>
    <row r="6254" spans="23:23" x14ac:dyDescent="0.2">
      <c r="W6254" s="50"/>
    </row>
    <row r="6255" spans="23:23" x14ac:dyDescent="0.2">
      <c r="W6255" s="50"/>
    </row>
    <row r="6256" spans="23:23" x14ac:dyDescent="0.2">
      <c r="W6256" s="50"/>
    </row>
    <row r="6257" spans="23:23" x14ac:dyDescent="0.2">
      <c r="W6257" s="50"/>
    </row>
    <row r="6258" spans="23:23" x14ac:dyDescent="0.2">
      <c r="W6258" s="50"/>
    </row>
    <row r="6259" spans="23:23" x14ac:dyDescent="0.2">
      <c r="W6259" s="50"/>
    </row>
    <row r="6260" spans="23:23" x14ac:dyDescent="0.2">
      <c r="W6260" s="50"/>
    </row>
    <row r="6261" spans="23:23" x14ac:dyDescent="0.2">
      <c r="W6261" s="50"/>
    </row>
    <row r="6262" spans="23:23" x14ac:dyDescent="0.2">
      <c r="W6262" s="50"/>
    </row>
    <row r="6263" spans="23:23" x14ac:dyDescent="0.2">
      <c r="W6263" s="50"/>
    </row>
    <row r="6264" spans="23:23" x14ac:dyDescent="0.2">
      <c r="W6264" s="50"/>
    </row>
    <row r="6265" spans="23:23" x14ac:dyDescent="0.2">
      <c r="W6265" s="50"/>
    </row>
    <row r="6266" spans="23:23" x14ac:dyDescent="0.2">
      <c r="W6266" s="50"/>
    </row>
    <row r="6267" spans="23:23" x14ac:dyDescent="0.2">
      <c r="W6267" s="50"/>
    </row>
    <row r="6268" spans="23:23" x14ac:dyDescent="0.2">
      <c r="W6268" s="50"/>
    </row>
    <row r="6269" spans="23:23" x14ac:dyDescent="0.2">
      <c r="W6269" s="50"/>
    </row>
    <row r="6270" spans="23:23" x14ac:dyDescent="0.2">
      <c r="W6270" s="50"/>
    </row>
    <row r="6271" spans="23:23" x14ac:dyDescent="0.2">
      <c r="W6271" s="50"/>
    </row>
    <row r="6272" spans="23:23" x14ac:dyDescent="0.2">
      <c r="W6272" s="50"/>
    </row>
    <row r="6273" spans="23:23" x14ac:dyDescent="0.2">
      <c r="W6273" s="50"/>
    </row>
    <row r="6274" spans="23:23" x14ac:dyDescent="0.2">
      <c r="W6274" s="50"/>
    </row>
    <row r="6275" spans="23:23" x14ac:dyDescent="0.2">
      <c r="W6275" s="50"/>
    </row>
    <row r="6276" spans="23:23" x14ac:dyDescent="0.2">
      <c r="W6276" s="50"/>
    </row>
    <row r="6277" spans="23:23" x14ac:dyDescent="0.2">
      <c r="W6277" s="50"/>
    </row>
    <row r="6278" spans="23:23" x14ac:dyDescent="0.2">
      <c r="W6278" s="50"/>
    </row>
    <row r="6279" spans="23:23" x14ac:dyDescent="0.2">
      <c r="W6279" s="50"/>
    </row>
    <row r="6280" spans="23:23" x14ac:dyDescent="0.2">
      <c r="W6280" s="50"/>
    </row>
    <row r="6281" spans="23:23" x14ac:dyDescent="0.2">
      <c r="W6281" s="50"/>
    </row>
    <row r="6282" spans="23:23" x14ac:dyDescent="0.2">
      <c r="W6282" s="50"/>
    </row>
    <row r="6283" spans="23:23" x14ac:dyDescent="0.2">
      <c r="W6283" s="50"/>
    </row>
    <row r="6284" spans="23:23" x14ac:dyDescent="0.2">
      <c r="W6284" s="50"/>
    </row>
    <row r="6285" spans="23:23" x14ac:dyDescent="0.2">
      <c r="W6285" s="50"/>
    </row>
    <row r="6286" spans="23:23" x14ac:dyDescent="0.2">
      <c r="W6286" s="50"/>
    </row>
    <row r="6287" spans="23:23" x14ac:dyDescent="0.2">
      <c r="W6287" s="50"/>
    </row>
    <row r="6288" spans="23:23" x14ac:dyDescent="0.2">
      <c r="W6288" s="50"/>
    </row>
    <row r="6289" spans="23:23" x14ac:dyDescent="0.2">
      <c r="W6289" s="50"/>
    </row>
    <row r="6290" spans="23:23" x14ac:dyDescent="0.2">
      <c r="W6290" s="50"/>
    </row>
    <row r="6291" spans="23:23" x14ac:dyDescent="0.2">
      <c r="W6291" s="50"/>
    </row>
    <row r="6292" spans="23:23" x14ac:dyDescent="0.2">
      <c r="W6292" s="50"/>
    </row>
    <row r="6293" spans="23:23" x14ac:dyDescent="0.2">
      <c r="W6293" s="50"/>
    </row>
    <row r="6294" spans="23:23" x14ac:dyDescent="0.2">
      <c r="W6294" s="50"/>
    </row>
    <row r="6295" spans="23:23" x14ac:dyDescent="0.2">
      <c r="W6295" s="50"/>
    </row>
    <row r="6296" spans="23:23" x14ac:dyDescent="0.2">
      <c r="W6296" s="50"/>
    </row>
    <row r="6297" spans="23:23" x14ac:dyDescent="0.2">
      <c r="W6297" s="50"/>
    </row>
    <row r="6298" spans="23:23" x14ac:dyDescent="0.2">
      <c r="W6298" s="50"/>
    </row>
    <row r="6299" spans="23:23" x14ac:dyDescent="0.2">
      <c r="W6299" s="50"/>
    </row>
    <row r="6300" spans="23:23" x14ac:dyDescent="0.2">
      <c r="W6300" s="50"/>
    </row>
    <row r="6301" spans="23:23" x14ac:dyDescent="0.2">
      <c r="W6301" s="50"/>
    </row>
    <row r="6302" spans="23:23" x14ac:dyDescent="0.2">
      <c r="W6302" s="50"/>
    </row>
    <row r="6303" spans="23:23" x14ac:dyDescent="0.2">
      <c r="W6303" s="50"/>
    </row>
    <row r="6304" spans="23:23" x14ac:dyDescent="0.2">
      <c r="W6304" s="50"/>
    </row>
    <row r="6305" spans="23:23" x14ac:dyDescent="0.2">
      <c r="W6305" s="50"/>
    </row>
    <row r="6306" spans="23:23" x14ac:dyDescent="0.2">
      <c r="W6306" s="50"/>
    </row>
    <row r="6307" spans="23:23" x14ac:dyDescent="0.2">
      <c r="W6307" s="50"/>
    </row>
    <row r="6308" spans="23:23" x14ac:dyDescent="0.2">
      <c r="W6308" s="50"/>
    </row>
    <row r="6309" spans="23:23" x14ac:dyDescent="0.2">
      <c r="W6309" s="50"/>
    </row>
    <row r="6310" spans="23:23" x14ac:dyDescent="0.2">
      <c r="W6310" s="50"/>
    </row>
    <row r="6311" spans="23:23" x14ac:dyDescent="0.2">
      <c r="W6311" s="50"/>
    </row>
    <row r="6312" spans="23:23" x14ac:dyDescent="0.2">
      <c r="W6312" s="50"/>
    </row>
    <row r="6313" spans="23:23" x14ac:dyDescent="0.2">
      <c r="W6313" s="50"/>
    </row>
    <row r="6314" spans="23:23" x14ac:dyDescent="0.2">
      <c r="W6314" s="50"/>
    </row>
    <row r="6315" spans="23:23" x14ac:dyDescent="0.2">
      <c r="W6315" s="50"/>
    </row>
    <row r="6316" spans="23:23" x14ac:dyDescent="0.2">
      <c r="W6316" s="50"/>
    </row>
    <row r="6317" spans="23:23" x14ac:dyDescent="0.2">
      <c r="W6317" s="50"/>
    </row>
    <row r="6318" spans="23:23" x14ac:dyDescent="0.2">
      <c r="W6318" s="50"/>
    </row>
    <row r="6319" spans="23:23" x14ac:dyDescent="0.2">
      <c r="W6319" s="50"/>
    </row>
    <row r="6320" spans="23:23" x14ac:dyDescent="0.2">
      <c r="W6320" s="50"/>
    </row>
    <row r="6321" spans="23:23" x14ac:dyDescent="0.2">
      <c r="W6321" s="50"/>
    </row>
    <row r="6322" spans="23:23" x14ac:dyDescent="0.2">
      <c r="W6322" s="50"/>
    </row>
    <row r="6323" spans="23:23" x14ac:dyDescent="0.2">
      <c r="W6323" s="50"/>
    </row>
    <row r="6324" spans="23:23" x14ac:dyDescent="0.2">
      <c r="W6324" s="50"/>
    </row>
    <row r="6325" spans="23:23" x14ac:dyDescent="0.2">
      <c r="W6325" s="50"/>
    </row>
    <row r="6326" spans="23:23" x14ac:dyDescent="0.2">
      <c r="W6326" s="50"/>
    </row>
    <row r="6327" spans="23:23" x14ac:dyDescent="0.2">
      <c r="W6327" s="50"/>
    </row>
    <row r="6328" spans="23:23" x14ac:dyDescent="0.2">
      <c r="W6328" s="50"/>
    </row>
    <row r="6329" spans="23:23" x14ac:dyDescent="0.2">
      <c r="W6329" s="50"/>
    </row>
    <row r="6330" spans="23:23" x14ac:dyDescent="0.2">
      <c r="W6330" s="50"/>
    </row>
    <row r="6331" spans="23:23" x14ac:dyDescent="0.2">
      <c r="W6331" s="50"/>
    </row>
    <row r="6332" spans="23:23" x14ac:dyDescent="0.2">
      <c r="W6332" s="50"/>
    </row>
    <row r="6333" spans="23:23" x14ac:dyDescent="0.2">
      <c r="W6333" s="50"/>
    </row>
    <row r="6334" spans="23:23" x14ac:dyDescent="0.2">
      <c r="W6334" s="50"/>
    </row>
    <row r="6335" spans="23:23" x14ac:dyDescent="0.2">
      <c r="W6335" s="50"/>
    </row>
    <row r="6336" spans="23:23" x14ac:dyDescent="0.2">
      <c r="W6336" s="50"/>
    </row>
    <row r="6337" spans="23:23" x14ac:dyDescent="0.2">
      <c r="W6337" s="50"/>
    </row>
    <row r="6338" spans="23:23" x14ac:dyDescent="0.2">
      <c r="W6338" s="50"/>
    </row>
    <row r="6339" spans="23:23" x14ac:dyDescent="0.2">
      <c r="W6339" s="50"/>
    </row>
    <row r="6340" spans="23:23" x14ac:dyDescent="0.2">
      <c r="W6340" s="50"/>
    </row>
    <row r="6341" spans="23:23" x14ac:dyDescent="0.2">
      <c r="W6341" s="50"/>
    </row>
    <row r="6342" spans="23:23" x14ac:dyDescent="0.2">
      <c r="W6342" s="50"/>
    </row>
    <row r="6343" spans="23:23" x14ac:dyDescent="0.2">
      <c r="W6343" s="50"/>
    </row>
    <row r="6344" spans="23:23" x14ac:dyDescent="0.2">
      <c r="W6344" s="50"/>
    </row>
    <row r="6345" spans="23:23" x14ac:dyDescent="0.2">
      <c r="W6345" s="50"/>
    </row>
    <row r="6346" spans="23:23" x14ac:dyDescent="0.2">
      <c r="W6346" s="50"/>
    </row>
    <row r="6347" spans="23:23" x14ac:dyDescent="0.2">
      <c r="W6347" s="50"/>
    </row>
    <row r="6348" spans="23:23" x14ac:dyDescent="0.2">
      <c r="W6348" s="50"/>
    </row>
    <row r="6349" spans="23:23" x14ac:dyDescent="0.2">
      <c r="W6349" s="50"/>
    </row>
    <row r="6350" spans="23:23" x14ac:dyDescent="0.2">
      <c r="W6350" s="50"/>
    </row>
    <row r="6351" spans="23:23" x14ac:dyDescent="0.2">
      <c r="W6351" s="50"/>
    </row>
    <row r="6352" spans="23:23" x14ac:dyDescent="0.2">
      <c r="W6352" s="50"/>
    </row>
    <row r="6353" spans="23:23" x14ac:dyDescent="0.2">
      <c r="W6353" s="50"/>
    </row>
    <row r="6354" spans="23:23" x14ac:dyDescent="0.2">
      <c r="W6354" s="50"/>
    </row>
    <row r="6355" spans="23:23" x14ac:dyDescent="0.2">
      <c r="W6355" s="50"/>
    </row>
    <row r="6356" spans="23:23" x14ac:dyDescent="0.2">
      <c r="W6356" s="50"/>
    </row>
    <row r="6357" spans="23:23" x14ac:dyDescent="0.2">
      <c r="W6357" s="50"/>
    </row>
    <row r="6358" spans="23:23" x14ac:dyDescent="0.2">
      <c r="W6358" s="50"/>
    </row>
    <row r="6359" spans="23:23" x14ac:dyDescent="0.2">
      <c r="W6359" s="50"/>
    </row>
    <row r="6360" spans="23:23" x14ac:dyDescent="0.2">
      <c r="W6360" s="50"/>
    </row>
    <row r="6361" spans="23:23" x14ac:dyDescent="0.2">
      <c r="W6361" s="50"/>
    </row>
    <row r="6362" spans="23:23" x14ac:dyDescent="0.2">
      <c r="W6362" s="50"/>
    </row>
    <row r="6363" spans="23:23" x14ac:dyDescent="0.2">
      <c r="W6363" s="50"/>
    </row>
    <row r="6364" spans="23:23" x14ac:dyDescent="0.2">
      <c r="W6364" s="50"/>
    </row>
    <row r="6365" spans="23:23" x14ac:dyDescent="0.2">
      <c r="W6365" s="50"/>
    </row>
    <row r="6366" spans="23:23" x14ac:dyDescent="0.2">
      <c r="W6366" s="50"/>
    </row>
    <row r="6367" spans="23:23" x14ac:dyDescent="0.2">
      <c r="W6367" s="50"/>
    </row>
    <row r="6368" spans="23:23" x14ac:dyDescent="0.2">
      <c r="W6368" s="50"/>
    </row>
    <row r="6369" spans="23:23" x14ac:dyDescent="0.2">
      <c r="W6369" s="50"/>
    </row>
    <row r="6370" spans="23:23" x14ac:dyDescent="0.2">
      <c r="W6370" s="50"/>
    </row>
    <row r="6371" spans="23:23" x14ac:dyDescent="0.2">
      <c r="W6371" s="50"/>
    </row>
    <row r="6372" spans="23:23" x14ac:dyDescent="0.2">
      <c r="W6372" s="50"/>
    </row>
    <row r="6373" spans="23:23" x14ac:dyDescent="0.2">
      <c r="W6373" s="50"/>
    </row>
    <row r="6374" spans="23:23" x14ac:dyDescent="0.2">
      <c r="W6374" s="50"/>
    </row>
    <row r="6375" spans="23:23" x14ac:dyDescent="0.2">
      <c r="W6375" s="50"/>
    </row>
    <row r="6376" spans="23:23" x14ac:dyDescent="0.2">
      <c r="W6376" s="50"/>
    </row>
    <row r="6377" spans="23:23" x14ac:dyDescent="0.2">
      <c r="W6377" s="50"/>
    </row>
    <row r="6378" spans="23:23" x14ac:dyDescent="0.2">
      <c r="W6378" s="50"/>
    </row>
    <row r="6379" spans="23:23" x14ac:dyDescent="0.2">
      <c r="W6379" s="50"/>
    </row>
    <row r="6380" spans="23:23" x14ac:dyDescent="0.2">
      <c r="W6380" s="50"/>
    </row>
    <row r="6381" spans="23:23" x14ac:dyDescent="0.2">
      <c r="W6381" s="50"/>
    </row>
    <row r="6382" spans="23:23" x14ac:dyDescent="0.2">
      <c r="W6382" s="50"/>
    </row>
    <row r="6383" spans="23:23" x14ac:dyDescent="0.2">
      <c r="W6383" s="50"/>
    </row>
    <row r="6384" spans="23:23" x14ac:dyDescent="0.2">
      <c r="W6384" s="50"/>
    </row>
    <row r="6385" spans="23:23" x14ac:dyDescent="0.2">
      <c r="W6385" s="50"/>
    </row>
    <row r="6386" spans="23:23" x14ac:dyDescent="0.2">
      <c r="W6386" s="50"/>
    </row>
    <row r="6387" spans="23:23" x14ac:dyDescent="0.2">
      <c r="W6387" s="50"/>
    </row>
    <row r="6388" spans="23:23" x14ac:dyDescent="0.2">
      <c r="W6388" s="50"/>
    </row>
    <row r="6389" spans="23:23" x14ac:dyDescent="0.2">
      <c r="W6389" s="50"/>
    </row>
    <row r="6390" spans="23:23" x14ac:dyDescent="0.2">
      <c r="W6390" s="50"/>
    </row>
    <row r="6391" spans="23:23" x14ac:dyDescent="0.2">
      <c r="W6391" s="50"/>
    </row>
    <row r="6392" spans="23:23" x14ac:dyDescent="0.2">
      <c r="W6392" s="50"/>
    </row>
    <row r="6393" spans="23:23" x14ac:dyDescent="0.2">
      <c r="W6393" s="50"/>
    </row>
    <row r="6394" spans="23:23" x14ac:dyDescent="0.2">
      <c r="W6394" s="50"/>
    </row>
    <row r="6395" spans="23:23" x14ac:dyDescent="0.2">
      <c r="W6395" s="50"/>
    </row>
    <row r="6396" spans="23:23" x14ac:dyDescent="0.2">
      <c r="W6396" s="50"/>
    </row>
    <row r="6397" spans="23:23" x14ac:dyDescent="0.2">
      <c r="W6397" s="50"/>
    </row>
    <row r="6398" spans="23:23" x14ac:dyDescent="0.2">
      <c r="W6398" s="50"/>
    </row>
    <row r="6399" spans="23:23" x14ac:dyDescent="0.2">
      <c r="W6399" s="50"/>
    </row>
    <row r="6400" spans="23:23" x14ac:dyDescent="0.2">
      <c r="W6400" s="50"/>
    </row>
    <row r="6401" spans="23:23" x14ac:dyDescent="0.2">
      <c r="W6401" s="50"/>
    </row>
    <row r="6402" spans="23:23" x14ac:dyDescent="0.2">
      <c r="W6402" s="50"/>
    </row>
    <row r="6403" spans="23:23" x14ac:dyDescent="0.2">
      <c r="W6403" s="50"/>
    </row>
    <row r="6404" spans="23:23" x14ac:dyDescent="0.2">
      <c r="W6404" s="50"/>
    </row>
    <row r="6405" spans="23:23" x14ac:dyDescent="0.2">
      <c r="W6405" s="50"/>
    </row>
    <row r="6406" spans="23:23" x14ac:dyDescent="0.2">
      <c r="W6406" s="50"/>
    </row>
    <row r="6407" spans="23:23" x14ac:dyDescent="0.2">
      <c r="W6407" s="50"/>
    </row>
    <row r="6408" spans="23:23" x14ac:dyDescent="0.2">
      <c r="W6408" s="50"/>
    </row>
    <row r="6409" spans="23:23" x14ac:dyDescent="0.2">
      <c r="W6409" s="50"/>
    </row>
    <row r="6410" spans="23:23" x14ac:dyDescent="0.2">
      <c r="W6410" s="50"/>
    </row>
    <row r="6411" spans="23:23" x14ac:dyDescent="0.2">
      <c r="W6411" s="50"/>
    </row>
    <row r="6412" spans="23:23" x14ac:dyDescent="0.2">
      <c r="W6412" s="50"/>
    </row>
    <row r="6413" spans="23:23" x14ac:dyDescent="0.2">
      <c r="W6413" s="50"/>
    </row>
    <row r="6414" spans="23:23" x14ac:dyDescent="0.2">
      <c r="W6414" s="50"/>
    </row>
    <row r="6415" spans="23:23" x14ac:dyDescent="0.2">
      <c r="W6415" s="50"/>
    </row>
    <row r="6416" spans="23:23" x14ac:dyDescent="0.2">
      <c r="W6416" s="50"/>
    </row>
    <row r="6417" spans="23:23" x14ac:dyDescent="0.2">
      <c r="W6417" s="50"/>
    </row>
    <row r="6418" spans="23:23" x14ac:dyDescent="0.2">
      <c r="W6418" s="50"/>
    </row>
    <row r="6419" spans="23:23" x14ac:dyDescent="0.2">
      <c r="W6419" s="50"/>
    </row>
    <row r="6420" spans="23:23" x14ac:dyDescent="0.2">
      <c r="W6420" s="50"/>
    </row>
    <row r="6421" spans="23:23" x14ac:dyDescent="0.2">
      <c r="W6421" s="50"/>
    </row>
    <row r="6422" spans="23:23" x14ac:dyDescent="0.2">
      <c r="W6422" s="50"/>
    </row>
    <row r="6423" spans="23:23" x14ac:dyDescent="0.2">
      <c r="W6423" s="50"/>
    </row>
    <row r="6424" spans="23:23" x14ac:dyDescent="0.2">
      <c r="W6424" s="50"/>
    </row>
    <row r="6425" spans="23:23" x14ac:dyDescent="0.2">
      <c r="W6425" s="50"/>
    </row>
    <row r="6426" spans="23:23" x14ac:dyDescent="0.2">
      <c r="W6426" s="50"/>
    </row>
    <row r="6427" spans="23:23" x14ac:dyDescent="0.2">
      <c r="W6427" s="50"/>
    </row>
    <row r="6428" spans="23:23" x14ac:dyDescent="0.2">
      <c r="W6428" s="50"/>
    </row>
    <row r="6429" spans="23:23" x14ac:dyDescent="0.2">
      <c r="W6429" s="50"/>
    </row>
    <row r="6430" spans="23:23" x14ac:dyDescent="0.2">
      <c r="W6430" s="50"/>
    </row>
    <row r="6431" spans="23:23" x14ac:dyDescent="0.2">
      <c r="W6431" s="50"/>
    </row>
    <row r="6432" spans="23:23" x14ac:dyDescent="0.2">
      <c r="W6432" s="50"/>
    </row>
    <row r="6433" spans="23:23" x14ac:dyDescent="0.2">
      <c r="W6433" s="50"/>
    </row>
    <row r="6434" spans="23:23" x14ac:dyDescent="0.2">
      <c r="W6434" s="50"/>
    </row>
    <row r="6435" spans="23:23" x14ac:dyDescent="0.2">
      <c r="W6435" s="50"/>
    </row>
    <row r="6436" spans="23:23" x14ac:dyDescent="0.2">
      <c r="W6436" s="50"/>
    </row>
    <row r="6437" spans="23:23" x14ac:dyDescent="0.2">
      <c r="W6437" s="50"/>
    </row>
    <row r="6438" spans="23:23" x14ac:dyDescent="0.2">
      <c r="W6438" s="50"/>
    </row>
    <row r="6439" spans="23:23" x14ac:dyDescent="0.2">
      <c r="W6439" s="50"/>
    </row>
    <row r="6440" spans="23:23" x14ac:dyDescent="0.2">
      <c r="W6440" s="50"/>
    </row>
    <row r="6441" spans="23:23" x14ac:dyDescent="0.2">
      <c r="W6441" s="50"/>
    </row>
    <row r="6442" spans="23:23" x14ac:dyDescent="0.2">
      <c r="W6442" s="50"/>
    </row>
    <row r="6443" spans="23:23" x14ac:dyDescent="0.2">
      <c r="W6443" s="50"/>
    </row>
    <row r="6444" spans="23:23" x14ac:dyDescent="0.2">
      <c r="W6444" s="50"/>
    </row>
    <row r="6445" spans="23:23" x14ac:dyDescent="0.2">
      <c r="W6445" s="50"/>
    </row>
    <row r="6446" spans="23:23" x14ac:dyDescent="0.2">
      <c r="W6446" s="50"/>
    </row>
    <row r="6447" spans="23:23" x14ac:dyDescent="0.2">
      <c r="W6447" s="50"/>
    </row>
    <row r="6448" spans="23:23" x14ac:dyDescent="0.2">
      <c r="W6448" s="50"/>
    </row>
    <row r="6449" spans="23:23" x14ac:dyDescent="0.2">
      <c r="W6449" s="50"/>
    </row>
    <row r="6450" spans="23:23" x14ac:dyDescent="0.2">
      <c r="W6450" s="50"/>
    </row>
    <row r="6451" spans="23:23" x14ac:dyDescent="0.2">
      <c r="W6451" s="50"/>
    </row>
    <row r="6452" spans="23:23" x14ac:dyDescent="0.2">
      <c r="W6452" s="50"/>
    </row>
    <row r="6453" spans="23:23" x14ac:dyDescent="0.2">
      <c r="W6453" s="50"/>
    </row>
    <row r="6454" spans="23:23" x14ac:dyDescent="0.2">
      <c r="W6454" s="50"/>
    </row>
    <row r="6455" spans="23:23" x14ac:dyDescent="0.2">
      <c r="W6455" s="50"/>
    </row>
    <row r="6456" spans="23:23" x14ac:dyDescent="0.2">
      <c r="W6456" s="50"/>
    </row>
    <row r="6457" spans="23:23" x14ac:dyDescent="0.2">
      <c r="W6457" s="50"/>
    </row>
    <row r="6458" spans="23:23" x14ac:dyDescent="0.2">
      <c r="W6458" s="50"/>
    </row>
    <row r="6459" spans="23:23" x14ac:dyDescent="0.2">
      <c r="W6459" s="50"/>
    </row>
    <row r="6460" spans="23:23" x14ac:dyDescent="0.2">
      <c r="W6460" s="50"/>
    </row>
    <row r="6461" spans="23:23" x14ac:dyDescent="0.2">
      <c r="W6461" s="50"/>
    </row>
    <row r="6462" spans="23:23" x14ac:dyDescent="0.2">
      <c r="W6462" s="50"/>
    </row>
    <row r="6463" spans="23:23" x14ac:dyDescent="0.2">
      <c r="W6463" s="50"/>
    </row>
    <row r="6464" spans="23:23" x14ac:dyDescent="0.2">
      <c r="W6464" s="50"/>
    </row>
    <row r="6465" spans="23:23" x14ac:dyDescent="0.2">
      <c r="W6465" s="50"/>
    </row>
    <row r="6466" spans="23:23" x14ac:dyDescent="0.2">
      <c r="W6466" s="50"/>
    </row>
    <row r="6467" spans="23:23" x14ac:dyDescent="0.2">
      <c r="W6467" s="50"/>
    </row>
    <row r="6468" spans="23:23" x14ac:dyDescent="0.2">
      <c r="W6468" s="50"/>
    </row>
    <row r="6469" spans="23:23" x14ac:dyDescent="0.2">
      <c r="W6469" s="50"/>
    </row>
    <row r="6470" spans="23:23" x14ac:dyDescent="0.2">
      <c r="W6470" s="50"/>
    </row>
    <row r="6471" spans="23:23" x14ac:dyDescent="0.2">
      <c r="W6471" s="50"/>
    </row>
    <row r="6472" spans="23:23" x14ac:dyDescent="0.2">
      <c r="W6472" s="50"/>
    </row>
    <row r="6473" spans="23:23" x14ac:dyDescent="0.2">
      <c r="W6473" s="50"/>
    </row>
    <row r="6474" spans="23:23" x14ac:dyDescent="0.2">
      <c r="W6474" s="50"/>
    </row>
    <row r="6475" spans="23:23" x14ac:dyDescent="0.2">
      <c r="W6475" s="50"/>
    </row>
    <row r="6476" spans="23:23" x14ac:dyDescent="0.2">
      <c r="W6476" s="50"/>
    </row>
    <row r="6477" spans="23:23" x14ac:dyDescent="0.2">
      <c r="W6477" s="50"/>
    </row>
    <row r="6478" spans="23:23" x14ac:dyDescent="0.2">
      <c r="W6478" s="50"/>
    </row>
    <row r="6479" spans="23:23" x14ac:dyDescent="0.2">
      <c r="W6479" s="50"/>
    </row>
    <row r="6480" spans="23:23" x14ac:dyDescent="0.2">
      <c r="W6480" s="50"/>
    </row>
    <row r="6481" spans="23:23" x14ac:dyDescent="0.2">
      <c r="W6481" s="50"/>
    </row>
    <row r="6482" spans="23:23" x14ac:dyDescent="0.2">
      <c r="W6482" s="50"/>
    </row>
    <row r="6483" spans="23:23" x14ac:dyDescent="0.2">
      <c r="W6483" s="50"/>
    </row>
    <row r="6484" spans="23:23" x14ac:dyDescent="0.2">
      <c r="W6484" s="50"/>
    </row>
    <row r="6485" spans="23:23" x14ac:dyDescent="0.2">
      <c r="W6485" s="50"/>
    </row>
    <row r="6486" spans="23:23" x14ac:dyDescent="0.2">
      <c r="W6486" s="50"/>
    </row>
    <row r="6487" spans="23:23" x14ac:dyDescent="0.2">
      <c r="W6487" s="50"/>
    </row>
    <row r="6488" spans="23:23" x14ac:dyDescent="0.2">
      <c r="W6488" s="50"/>
    </row>
    <row r="6489" spans="23:23" x14ac:dyDescent="0.2">
      <c r="W6489" s="50"/>
    </row>
    <row r="6490" spans="23:23" x14ac:dyDescent="0.2">
      <c r="W6490" s="50"/>
    </row>
    <row r="6491" spans="23:23" x14ac:dyDescent="0.2">
      <c r="W6491" s="50"/>
    </row>
    <row r="6492" spans="23:23" x14ac:dyDescent="0.2">
      <c r="W6492" s="50"/>
    </row>
    <row r="6493" spans="23:23" x14ac:dyDescent="0.2">
      <c r="W6493" s="50"/>
    </row>
    <row r="6494" spans="23:23" x14ac:dyDescent="0.2">
      <c r="W6494" s="50"/>
    </row>
    <row r="6495" spans="23:23" x14ac:dyDescent="0.2">
      <c r="W6495" s="50"/>
    </row>
    <row r="6496" spans="23:23" x14ac:dyDescent="0.2">
      <c r="W6496" s="50"/>
    </row>
    <row r="6497" spans="23:23" x14ac:dyDescent="0.2">
      <c r="W6497" s="50"/>
    </row>
    <row r="6498" spans="23:23" x14ac:dyDescent="0.2">
      <c r="W6498" s="50"/>
    </row>
    <row r="6499" spans="23:23" x14ac:dyDescent="0.2">
      <c r="W6499" s="50"/>
    </row>
    <row r="6500" spans="23:23" x14ac:dyDescent="0.2">
      <c r="W6500" s="50"/>
    </row>
    <row r="6501" spans="23:23" x14ac:dyDescent="0.2">
      <c r="W6501" s="50"/>
    </row>
    <row r="6502" spans="23:23" x14ac:dyDescent="0.2">
      <c r="W6502" s="50"/>
    </row>
    <row r="6503" spans="23:23" x14ac:dyDescent="0.2">
      <c r="W6503" s="50"/>
    </row>
    <row r="6504" spans="23:23" x14ac:dyDescent="0.2">
      <c r="W6504" s="50"/>
    </row>
    <row r="6505" spans="23:23" x14ac:dyDescent="0.2">
      <c r="W6505" s="50"/>
    </row>
    <row r="6506" spans="23:23" x14ac:dyDescent="0.2">
      <c r="W6506" s="50"/>
    </row>
    <row r="6507" spans="23:23" x14ac:dyDescent="0.2">
      <c r="W6507" s="50"/>
    </row>
    <row r="6508" spans="23:23" x14ac:dyDescent="0.2">
      <c r="W6508" s="50"/>
    </row>
    <row r="6509" spans="23:23" x14ac:dyDescent="0.2">
      <c r="W6509" s="50"/>
    </row>
    <row r="6510" spans="23:23" x14ac:dyDescent="0.2">
      <c r="W6510" s="50"/>
    </row>
    <row r="6511" spans="23:23" x14ac:dyDescent="0.2">
      <c r="W6511" s="50"/>
    </row>
    <row r="6512" spans="23:23" x14ac:dyDescent="0.2">
      <c r="W6512" s="50"/>
    </row>
    <row r="6513" spans="23:23" x14ac:dyDescent="0.2">
      <c r="W6513" s="50"/>
    </row>
    <row r="6514" spans="23:23" x14ac:dyDescent="0.2">
      <c r="W6514" s="50"/>
    </row>
    <row r="6515" spans="23:23" x14ac:dyDescent="0.2">
      <c r="W6515" s="50"/>
    </row>
    <row r="6516" spans="23:23" x14ac:dyDescent="0.2">
      <c r="W6516" s="50"/>
    </row>
    <row r="6517" spans="23:23" x14ac:dyDescent="0.2">
      <c r="W6517" s="50"/>
    </row>
    <row r="6518" spans="23:23" x14ac:dyDescent="0.2">
      <c r="W6518" s="50"/>
    </row>
    <row r="6519" spans="23:23" x14ac:dyDescent="0.2">
      <c r="W6519" s="50"/>
    </row>
    <row r="6520" spans="23:23" x14ac:dyDescent="0.2">
      <c r="W6520" s="50"/>
    </row>
    <row r="6521" spans="23:23" x14ac:dyDescent="0.2">
      <c r="W6521" s="50"/>
    </row>
    <row r="6522" spans="23:23" x14ac:dyDescent="0.2">
      <c r="W6522" s="50"/>
    </row>
    <row r="6523" spans="23:23" x14ac:dyDescent="0.2">
      <c r="W6523" s="50"/>
    </row>
    <row r="6524" spans="23:23" x14ac:dyDescent="0.2">
      <c r="W6524" s="50"/>
    </row>
    <row r="6525" spans="23:23" x14ac:dyDescent="0.2">
      <c r="W6525" s="50"/>
    </row>
    <row r="6526" spans="23:23" x14ac:dyDescent="0.2">
      <c r="W6526" s="50"/>
    </row>
    <row r="6527" spans="23:23" x14ac:dyDescent="0.2">
      <c r="W6527" s="50"/>
    </row>
    <row r="6528" spans="23:23" x14ac:dyDescent="0.2">
      <c r="W6528" s="50"/>
    </row>
    <row r="6529" spans="23:23" x14ac:dyDescent="0.2">
      <c r="W6529" s="50"/>
    </row>
    <row r="6530" spans="23:23" x14ac:dyDescent="0.2">
      <c r="W6530" s="50"/>
    </row>
    <row r="6531" spans="23:23" x14ac:dyDescent="0.2">
      <c r="W6531" s="50"/>
    </row>
    <row r="6532" spans="23:23" x14ac:dyDescent="0.2">
      <c r="W6532" s="50"/>
    </row>
    <row r="6533" spans="23:23" x14ac:dyDescent="0.2">
      <c r="W6533" s="50"/>
    </row>
    <row r="6534" spans="23:23" x14ac:dyDescent="0.2">
      <c r="W6534" s="50"/>
    </row>
    <row r="6535" spans="23:23" x14ac:dyDescent="0.2">
      <c r="W6535" s="50"/>
    </row>
    <row r="6536" spans="23:23" x14ac:dyDescent="0.2">
      <c r="W6536" s="50"/>
    </row>
    <row r="6537" spans="23:23" x14ac:dyDescent="0.2">
      <c r="W6537" s="50"/>
    </row>
    <row r="6538" spans="23:23" x14ac:dyDescent="0.2">
      <c r="W6538" s="50"/>
    </row>
    <row r="6539" spans="23:23" x14ac:dyDescent="0.2">
      <c r="W6539" s="50"/>
    </row>
    <row r="6540" spans="23:23" x14ac:dyDescent="0.2">
      <c r="W6540" s="50"/>
    </row>
    <row r="6541" spans="23:23" x14ac:dyDescent="0.2">
      <c r="W6541" s="50"/>
    </row>
    <row r="6542" spans="23:23" x14ac:dyDescent="0.2">
      <c r="W6542" s="50"/>
    </row>
    <row r="6543" spans="23:23" x14ac:dyDescent="0.2">
      <c r="W6543" s="50"/>
    </row>
    <row r="6544" spans="23:23" x14ac:dyDescent="0.2">
      <c r="W6544" s="50"/>
    </row>
    <row r="6545" spans="23:23" x14ac:dyDescent="0.2">
      <c r="W6545" s="50"/>
    </row>
    <row r="6546" spans="23:23" x14ac:dyDescent="0.2">
      <c r="W6546" s="50"/>
    </row>
    <row r="6547" spans="23:23" x14ac:dyDescent="0.2">
      <c r="W6547" s="50"/>
    </row>
    <row r="6548" spans="23:23" x14ac:dyDescent="0.2">
      <c r="W6548" s="50"/>
    </row>
    <row r="6549" spans="23:23" x14ac:dyDescent="0.2">
      <c r="W6549" s="50"/>
    </row>
    <row r="6550" spans="23:23" x14ac:dyDescent="0.2">
      <c r="W6550" s="50"/>
    </row>
    <row r="6551" spans="23:23" x14ac:dyDescent="0.2">
      <c r="W6551" s="50"/>
    </row>
    <row r="6552" spans="23:23" x14ac:dyDescent="0.2">
      <c r="W6552" s="50"/>
    </row>
    <row r="6553" spans="23:23" x14ac:dyDescent="0.2">
      <c r="W6553" s="50"/>
    </row>
    <row r="6554" spans="23:23" x14ac:dyDescent="0.2">
      <c r="W6554" s="50"/>
    </row>
    <row r="6555" spans="23:23" x14ac:dyDescent="0.2">
      <c r="W6555" s="50"/>
    </row>
    <row r="6556" spans="23:23" x14ac:dyDescent="0.2">
      <c r="W6556" s="50"/>
    </row>
    <row r="6557" spans="23:23" x14ac:dyDescent="0.2">
      <c r="W6557" s="50"/>
    </row>
    <row r="6558" spans="23:23" x14ac:dyDescent="0.2">
      <c r="W6558" s="50"/>
    </row>
    <row r="6559" spans="23:23" x14ac:dyDescent="0.2">
      <c r="W6559" s="50"/>
    </row>
    <row r="6560" spans="23:23" x14ac:dyDescent="0.2">
      <c r="W6560" s="50"/>
    </row>
    <row r="6561" spans="23:23" x14ac:dyDescent="0.2">
      <c r="W6561" s="50"/>
    </row>
    <row r="6562" spans="23:23" x14ac:dyDescent="0.2">
      <c r="W6562" s="50"/>
    </row>
    <row r="6563" spans="23:23" x14ac:dyDescent="0.2">
      <c r="W6563" s="50"/>
    </row>
    <row r="6564" spans="23:23" x14ac:dyDescent="0.2">
      <c r="W6564" s="50"/>
    </row>
    <row r="6565" spans="23:23" x14ac:dyDescent="0.2">
      <c r="W6565" s="50"/>
    </row>
    <row r="6566" spans="23:23" x14ac:dyDescent="0.2">
      <c r="W6566" s="50"/>
    </row>
    <row r="6567" spans="23:23" x14ac:dyDescent="0.2">
      <c r="W6567" s="50"/>
    </row>
    <row r="6568" spans="23:23" x14ac:dyDescent="0.2">
      <c r="W6568" s="50"/>
    </row>
    <row r="6569" spans="23:23" x14ac:dyDescent="0.2">
      <c r="W6569" s="50"/>
    </row>
    <row r="6570" spans="23:23" x14ac:dyDescent="0.2">
      <c r="W6570" s="50"/>
    </row>
    <row r="6571" spans="23:23" x14ac:dyDescent="0.2">
      <c r="W6571" s="50"/>
    </row>
    <row r="6572" spans="23:23" x14ac:dyDescent="0.2">
      <c r="W6572" s="50"/>
    </row>
    <row r="6573" spans="23:23" x14ac:dyDescent="0.2">
      <c r="W6573" s="50"/>
    </row>
    <row r="6574" spans="23:23" x14ac:dyDescent="0.2">
      <c r="W6574" s="50"/>
    </row>
    <row r="6575" spans="23:23" x14ac:dyDescent="0.2">
      <c r="W6575" s="50"/>
    </row>
    <row r="6576" spans="23:23" x14ac:dyDescent="0.2">
      <c r="W6576" s="50"/>
    </row>
    <row r="6577" spans="23:23" x14ac:dyDescent="0.2">
      <c r="W6577" s="50"/>
    </row>
    <row r="6578" spans="23:23" x14ac:dyDescent="0.2">
      <c r="W6578" s="50"/>
    </row>
    <row r="6579" spans="23:23" x14ac:dyDescent="0.2">
      <c r="W6579" s="50"/>
    </row>
    <row r="6580" spans="23:23" x14ac:dyDescent="0.2">
      <c r="W6580" s="50"/>
    </row>
    <row r="6581" spans="23:23" x14ac:dyDescent="0.2">
      <c r="W6581" s="50"/>
    </row>
    <row r="6582" spans="23:23" x14ac:dyDescent="0.2">
      <c r="W6582" s="50"/>
    </row>
    <row r="6583" spans="23:23" x14ac:dyDescent="0.2">
      <c r="W6583" s="50"/>
    </row>
    <row r="6584" spans="23:23" x14ac:dyDescent="0.2">
      <c r="W6584" s="50"/>
    </row>
    <row r="6585" spans="23:23" x14ac:dyDescent="0.2">
      <c r="W6585" s="50"/>
    </row>
    <row r="6586" spans="23:23" x14ac:dyDescent="0.2">
      <c r="W6586" s="50"/>
    </row>
    <row r="6587" spans="23:23" x14ac:dyDescent="0.2">
      <c r="W6587" s="50"/>
    </row>
    <row r="6588" spans="23:23" x14ac:dyDescent="0.2">
      <c r="W6588" s="50"/>
    </row>
    <row r="6589" spans="23:23" x14ac:dyDescent="0.2">
      <c r="W6589" s="50"/>
    </row>
    <row r="6590" spans="23:23" x14ac:dyDescent="0.2">
      <c r="W6590" s="50"/>
    </row>
    <row r="6591" spans="23:23" x14ac:dyDescent="0.2">
      <c r="W6591" s="50"/>
    </row>
    <row r="6592" spans="23:23" x14ac:dyDescent="0.2">
      <c r="W6592" s="50"/>
    </row>
    <row r="6593" spans="23:23" x14ac:dyDescent="0.2">
      <c r="W6593" s="50"/>
    </row>
    <row r="6594" spans="23:23" x14ac:dyDescent="0.2">
      <c r="W6594" s="50"/>
    </row>
    <row r="6595" spans="23:23" x14ac:dyDescent="0.2">
      <c r="W6595" s="50"/>
    </row>
    <row r="6596" spans="23:23" x14ac:dyDescent="0.2">
      <c r="W6596" s="50"/>
    </row>
    <row r="6597" spans="23:23" x14ac:dyDescent="0.2">
      <c r="W6597" s="50"/>
    </row>
    <row r="6598" spans="23:23" x14ac:dyDescent="0.2">
      <c r="W6598" s="50"/>
    </row>
    <row r="6599" spans="23:23" x14ac:dyDescent="0.2">
      <c r="W6599" s="50"/>
    </row>
    <row r="6600" spans="23:23" x14ac:dyDescent="0.2">
      <c r="W6600" s="50"/>
    </row>
    <row r="6601" spans="23:23" x14ac:dyDescent="0.2">
      <c r="W6601" s="50"/>
    </row>
    <row r="6602" spans="23:23" x14ac:dyDescent="0.2">
      <c r="W6602" s="50"/>
    </row>
    <row r="6603" spans="23:23" x14ac:dyDescent="0.2">
      <c r="W6603" s="50"/>
    </row>
    <row r="6604" spans="23:23" x14ac:dyDescent="0.2">
      <c r="W6604" s="50"/>
    </row>
    <row r="6605" spans="23:23" x14ac:dyDescent="0.2">
      <c r="W6605" s="50"/>
    </row>
    <row r="6606" spans="23:23" x14ac:dyDescent="0.2">
      <c r="W6606" s="50"/>
    </row>
    <row r="6607" spans="23:23" x14ac:dyDescent="0.2">
      <c r="W6607" s="50"/>
    </row>
    <row r="6608" spans="23:23" x14ac:dyDescent="0.2">
      <c r="W6608" s="50"/>
    </row>
    <row r="6609" spans="23:23" x14ac:dyDescent="0.2">
      <c r="W6609" s="50"/>
    </row>
    <row r="6610" spans="23:23" x14ac:dyDescent="0.2">
      <c r="W6610" s="50"/>
    </row>
    <row r="6611" spans="23:23" x14ac:dyDescent="0.2">
      <c r="W6611" s="50"/>
    </row>
    <row r="6612" spans="23:23" x14ac:dyDescent="0.2">
      <c r="W6612" s="50"/>
    </row>
    <row r="6613" spans="23:23" x14ac:dyDescent="0.2">
      <c r="W6613" s="50"/>
    </row>
    <row r="6614" spans="23:23" x14ac:dyDescent="0.2">
      <c r="W6614" s="50"/>
    </row>
    <row r="6615" spans="23:23" x14ac:dyDescent="0.2">
      <c r="W6615" s="50"/>
    </row>
    <row r="6616" spans="23:23" x14ac:dyDescent="0.2">
      <c r="W6616" s="50"/>
    </row>
    <row r="6617" spans="23:23" x14ac:dyDescent="0.2">
      <c r="W6617" s="50"/>
    </row>
    <row r="6618" spans="23:23" x14ac:dyDescent="0.2">
      <c r="W6618" s="50"/>
    </row>
    <row r="6619" spans="23:23" x14ac:dyDescent="0.2">
      <c r="W6619" s="50"/>
    </row>
    <row r="6620" spans="23:23" x14ac:dyDescent="0.2">
      <c r="W6620" s="50"/>
    </row>
    <row r="6621" spans="23:23" x14ac:dyDescent="0.2">
      <c r="W6621" s="50"/>
    </row>
    <row r="6622" spans="23:23" x14ac:dyDescent="0.2">
      <c r="W6622" s="50"/>
    </row>
    <row r="6623" spans="23:23" x14ac:dyDescent="0.2">
      <c r="W6623" s="50"/>
    </row>
    <row r="6624" spans="23:23" x14ac:dyDescent="0.2">
      <c r="W6624" s="50"/>
    </row>
    <row r="6625" spans="23:23" x14ac:dyDescent="0.2">
      <c r="W6625" s="50"/>
    </row>
    <row r="6626" spans="23:23" x14ac:dyDescent="0.2">
      <c r="W6626" s="50"/>
    </row>
    <row r="6627" spans="23:23" x14ac:dyDescent="0.2">
      <c r="W6627" s="50"/>
    </row>
    <row r="6628" spans="23:23" x14ac:dyDescent="0.2">
      <c r="W6628" s="50"/>
    </row>
    <row r="6629" spans="23:23" x14ac:dyDescent="0.2">
      <c r="W6629" s="50"/>
    </row>
    <row r="6630" spans="23:23" x14ac:dyDescent="0.2">
      <c r="W6630" s="50"/>
    </row>
    <row r="6631" spans="23:23" x14ac:dyDescent="0.2">
      <c r="W6631" s="50"/>
    </row>
    <row r="6632" spans="23:23" x14ac:dyDescent="0.2">
      <c r="W6632" s="50"/>
    </row>
    <row r="6633" spans="23:23" x14ac:dyDescent="0.2">
      <c r="W6633" s="50"/>
    </row>
    <row r="6634" spans="23:23" x14ac:dyDescent="0.2">
      <c r="W6634" s="50"/>
    </row>
    <row r="6635" spans="23:23" x14ac:dyDescent="0.2">
      <c r="W6635" s="50"/>
    </row>
    <row r="6636" spans="23:23" x14ac:dyDescent="0.2">
      <c r="W6636" s="50"/>
    </row>
    <row r="6637" spans="23:23" x14ac:dyDescent="0.2">
      <c r="W6637" s="50"/>
    </row>
    <row r="6638" spans="23:23" x14ac:dyDescent="0.2">
      <c r="W6638" s="50"/>
    </row>
    <row r="6639" spans="23:23" x14ac:dyDescent="0.2">
      <c r="W6639" s="50"/>
    </row>
    <row r="6640" spans="23:23" x14ac:dyDescent="0.2">
      <c r="W6640" s="50"/>
    </row>
    <row r="6641" spans="23:23" x14ac:dyDescent="0.2">
      <c r="W6641" s="50"/>
    </row>
    <row r="6642" spans="23:23" x14ac:dyDescent="0.2">
      <c r="W6642" s="50"/>
    </row>
    <row r="6643" spans="23:23" x14ac:dyDescent="0.2">
      <c r="W6643" s="50"/>
    </row>
    <row r="6644" spans="23:23" x14ac:dyDescent="0.2">
      <c r="W6644" s="50"/>
    </row>
    <row r="6645" spans="23:23" x14ac:dyDescent="0.2">
      <c r="W6645" s="50"/>
    </row>
    <row r="6646" spans="23:23" x14ac:dyDescent="0.2">
      <c r="W6646" s="50"/>
    </row>
    <row r="6647" spans="23:23" x14ac:dyDescent="0.2">
      <c r="W6647" s="50"/>
    </row>
    <row r="6648" spans="23:23" x14ac:dyDescent="0.2">
      <c r="W6648" s="50"/>
    </row>
    <row r="6649" spans="23:23" x14ac:dyDescent="0.2">
      <c r="W6649" s="50"/>
    </row>
    <row r="6650" spans="23:23" x14ac:dyDescent="0.2">
      <c r="W6650" s="50"/>
    </row>
    <row r="6651" spans="23:23" x14ac:dyDescent="0.2">
      <c r="W6651" s="50"/>
    </row>
    <row r="6652" spans="23:23" x14ac:dyDescent="0.2">
      <c r="W6652" s="50"/>
    </row>
    <row r="6653" spans="23:23" x14ac:dyDescent="0.2">
      <c r="W6653" s="50"/>
    </row>
    <row r="6654" spans="23:23" x14ac:dyDescent="0.2">
      <c r="W6654" s="50"/>
    </row>
    <row r="6655" spans="23:23" x14ac:dyDescent="0.2">
      <c r="W6655" s="50"/>
    </row>
    <row r="6656" spans="23:23" x14ac:dyDescent="0.2">
      <c r="W6656" s="50"/>
    </row>
    <row r="6657" spans="23:23" x14ac:dyDescent="0.2">
      <c r="W6657" s="50"/>
    </row>
    <row r="6658" spans="23:23" x14ac:dyDescent="0.2">
      <c r="W6658" s="50"/>
    </row>
    <row r="6659" spans="23:23" x14ac:dyDescent="0.2">
      <c r="W6659" s="50"/>
    </row>
    <row r="6660" spans="23:23" x14ac:dyDescent="0.2">
      <c r="W6660" s="50"/>
    </row>
    <row r="6661" spans="23:23" x14ac:dyDescent="0.2">
      <c r="W6661" s="50"/>
    </row>
    <row r="6662" spans="23:23" x14ac:dyDescent="0.2">
      <c r="W6662" s="50"/>
    </row>
    <row r="6663" spans="23:23" x14ac:dyDescent="0.2">
      <c r="W6663" s="50"/>
    </row>
    <row r="6664" spans="23:23" x14ac:dyDescent="0.2">
      <c r="W6664" s="50"/>
    </row>
    <row r="6665" spans="23:23" x14ac:dyDescent="0.2">
      <c r="W6665" s="50"/>
    </row>
    <row r="6666" spans="23:23" x14ac:dyDescent="0.2">
      <c r="W6666" s="50"/>
    </row>
    <row r="6667" spans="23:23" x14ac:dyDescent="0.2">
      <c r="W6667" s="50"/>
    </row>
    <row r="6668" spans="23:23" x14ac:dyDescent="0.2">
      <c r="W6668" s="50"/>
    </row>
    <row r="6669" spans="23:23" x14ac:dyDescent="0.2">
      <c r="W6669" s="50"/>
    </row>
    <row r="6670" spans="23:23" x14ac:dyDescent="0.2">
      <c r="W6670" s="50"/>
    </row>
    <row r="6671" spans="23:23" x14ac:dyDescent="0.2">
      <c r="W6671" s="50"/>
    </row>
    <row r="6672" spans="23:23" x14ac:dyDescent="0.2">
      <c r="W6672" s="50"/>
    </row>
    <row r="6673" spans="23:23" x14ac:dyDescent="0.2">
      <c r="W6673" s="50"/>
    </row>
    <row r="6674" spans="23:23" x14ac:dyDescent="0.2">
      <c r="W6674" s="50"/>
    </row>
    <row r="6675" spans="23:23" x14ac:dyDescent="0.2">
      <c r="W6675" s="50"/>
    </row>
    <row r="6676" spans="23:23" x14ac:dyDescent="0.2">
      <c r="W6676" s="50"/>
    </row>
    <row r="6677" spans="23:23" x14ac:dyDescent="0.2">
      <c r="W6677" s="50"/>
    </row>
    <row r="6678" spans="23:23" x14ac:dyDescent="0.2">
      <c r="W6678" s="50"/>
    </row>
    <row r="6679" spans="23:23" x14ac:dyDescent="0.2">
      <c r="W6679" s="50"/>
    </row>
    <row r="6680" spans="23:23" x14ac:dyDescent="0.2">
      <c r="W6680" s="50"/>
    </row>
    <row r="6681" spans="23:23" x14ac:dyDescent="0.2">
      <c r="W6681" s="50"/>
    </row>
    <row r="6682" spans="23:23" x14ac:dyDescent="0.2">
      <c r="W6682" s="50"/>
    </row>
    <row r="6683" spans="23:23" x14ac:dyDescent="0.2">
      <c r="W6683" s="50"/>
    </row>
    <row r="6684" spans="23:23" x14ac:dyDescent="0.2">
      <c r="W6684" s="50"/>
    </row>
    <row r="6685" spans="23:23" x14ac:dyDescent="0.2">
      <c r="W6685" s="50"/>
    </row>
    <row r="6686" spans="23:23" x14ac:dyDescent="0.2">
      <c r="W6686" s="50"/>
    </row>
    <row r="6687" spans="23:23" x14ac:dyDescent="0.2">
      <c r="W6687" s="50"/>
    </row>
    <row r="6688" spans="23:23" x14ac:dyDescent="0.2">
      <c r="W6688" s="50"/>
    </row>
    <row r="6689" spans="23:23" x14ac:dyDescent="0.2">
      <c r="W6689" s="50"/>
    </row>
    <row r="6690" spans="23:23" x14ac:dyDescent="0.2">
      <c r="W6690" s="50"/>
    </row>
    <row r="6691" spans="23:23" x14ac:dyDescent="0.2">
      <c r="W6691" s="50"/>
    </row>
    <row r="6692" spans="23:23" x14ac:dyDescent="0.2">
      <c r="W6692" s="50"/>
    </row>
    <row r="6693" spans="23:23" x14ac:dyDescent="0.2">
      <c r="W6693" s="50"/>
    </row>
    <row r="6694" spans="23:23" x14ac:dyDescent="0.2">
      <c r="W6694" s="50"/>
    </row>
    <row r="6695" spans="23:23" x14ac:dyDescent="0.2">
      <c r="W6695" s="50"/>
    </row>
    <row r="6696" spans="23:23" x14ac:dyDescent="0.2">
      <c r="W6696" s="50"/>
    </row>
    <row r="6697" spans="23:23" x14ac:dyDescent="0.2">
      <c r="W6697" s="50"/>
    </row>
    <row r="6698" spans="23:23" x14ac:dyDescent="0.2">
      <c r="W6698" s="50"/>
    </row>
    <row r="6699" spans="23:23" x14ac:dyDescent="0.2">
      <c r="W6699" s="50"/>
    </row>
    <row r="6700" spans="23:23" x14ac:dyDescent="0.2">
      <c r="W6700" s="50"/>
    </row>
    <row r="6701" spans="23:23" x14ac:dyDescent="0.2">
      <c r="W6701" s="50"/>
    </row>
    <row r="6702" spans="23:23" x14ac:dyDescent="0.2">
      <c r="W6702" s="50"/>
    </row>
    <row r="6703" spans="23:23" x14ac:dyDescent="0.2">
      <c r="W6703" s="50"/>
    </row>
    <row r="6704" spans="23:23" x14ac:dyDescent="0.2">
      <c r="W6704" s="50"/>
    </row>
    <row r="6705" spans="23:23" x14ac:dyDescent="0.2">
      <c r="W6705" s="50"/>
    </row>
    <row r="6706" spans="23:23" x14ac:dyDescent="0.2">
      <c r="W6706" s="50"/>
    </row>
    <row r="6707" spans="23:23" x14ac:dyDescent="0.2">
      <c r="W6707" s="50"/>
    </row>
    <row r="6708" spans="23:23" x14ac:dyDescent="0.2">
      <c r="W6708" s="50"/>
    </row>
    <row r="6709" spans="23:23" x14ac:dyDescent="0.2">
      <c r="W6709" s="50"/>
    </row>
    <row r="6710" spans="23:23" x14ac:dyDescent="0.2">
      <c r="W6710" s="50"/>
    </row>
    <row r="6711" spans="23:23" x14ac:dyDescent="0.2">
      <c r="W6711" s="50"/>
    </row>
    <row r="6712" spans="23:23" x14ac:dyDescent="0.2">
      <c r="W6712" s="50"/>
    </row>
    <row r="6713" spans="23:23" x14ac:dyDescent="0.2">
      <c r="W6713" s="50"/>
    </row>
    <row r="6714" spans="23:23" x14ac:dyDescent="0.2">
      <c r="W6714" s="50"/>
    </row>
    <row r="6715" spans="23:23" x14ac:dyDescent="0.2">
      <c r="W6715" s="50"/>
    </row>
    <row r="6716" spans="23:23" x14ac:dyDescent="0.2">
      <c r="W6716" s="50"/>
    </row>
    <row r="6717" spans="23:23" x14ac:dyDescent="0.2">
      <c r="W6717" s="50"/>
    </row>
    <row r="6718" spans="23:23" x14ac:dyDescent="0.2">
      <c r="W6718" s="50"/>
    </row>
    <row r="6719" spans="23:23" x14ac:dyDescent="0.2">
      <c r="W6719" s="50"/>
    </row>
    <row r="6720" spans="23:23" x14ac:dyDescent="0.2">
      <c r="W6720" s="50"/>
    </row>
    <row r="6721" spans="23:23" x14ac:dyDescent="0.2">
      <c r="W6721" s="50"/>
    </row>
    <row r="6722" spans="23:23" x14ac:dyDescent="0.2">
      <c r="W6722" s="50"/>
    </row>
    <row r="6723" spans="23:23" x14ac:dyDescent="0.2">
      <c r="W6723" s="50"/>
    </row>
    <row r="6724" spans="23:23" x14ac:dyDescent="0.2">
      <c r="W6724" s="50"/>
    </row>
    <row r="6725" spans="23:23" x14ac:dyDescent="0.2">
      <c r="W6725" s="50"/>
    </row>
    <row r="6726" spans="23:23" x14ac:dyDescent="0.2">
      <c r="W6726" s="50"/>
    </row>
    <row r="6727" spans="23:23" x14ac:dyDescent="0.2">
      <c r="W6727" s="50"/>
    </row>
    <row r="6728" spans="23:23" x14ac:dyDescent="0.2">
      <c r="W6728" s="50"/>
    </row>
    <row r="6729" spans="23:23" x14ac:dyDescent="0.2">
      <c r="W6729" s="50"/>
    </row>
    <row r="6730" spans="23:23" x14ac:dyDescent="0.2">
      <c r="W6730" s="50"/>
    </row>
    <row r="6731" spans="23:23" x14ac:dyDescent="0.2">
      <c r="W6731" s="50"/>
    </row>
    <row r="6732" spans="23:23" x14ac:dyDescent="0.2">
      <c r="W6732" s="50"/>
    </row>
    <row r="6733" spans="23:23" x14ac:dyDescent="0.2">
      <c r="W6733" s="50"/>
    </row>
    <row r="6734" spans="23:23" x14ac:dyDescent="0.2">
      <c r="W6734" s="50"/>
    </row>
    <row r="6735" spans="23:23" x14ac:dyDescent="0.2">
      <c r="W6735" s="50"/>
    </row>
    <row r="6736" spans="23:23" x14ac:dyDescent="0.2">
      <c r="W6736" s="50"/>
    </row>
    <row r="6737" spans="23:23" x14ac:dyDescent="0.2">
      <c r="W6737" s="50"/>
    </row>
    <row r="6738" spans="23:23" x14ac:dyDescent="0.2">
      <c r="W6738" s="50"/>
    </row>
    <row r="6739" spans="23:23" x14ac:dyDescent="0.2">
      <c r="W6739" s="50"/>
    </row>
    <row r="6740" spans="23:23" x14ac:dyDescent="0.2">
      <c r="W6740" s="50"/>
    </row>
    <row r="6741" spans="23:23" x14ac:dyDescent="0.2">
      <c r="W6741" s="50"/>
    </row>
    <row r="6742" spans="23:23" x14ac:dyDescent="0.2">
      <c r="W6742" s="50"/>
    </row>
    <row r="6743" spans="23:23" x14ac:dyDescent="0.2">
      <c r="W6743" s="50"/>
    </row>
    <row r="6744" spans="23:23" x14ac:dyDescent="0.2">
      <c r="W6744" s="50"/>
    </row>
    <row r="6745" spans="23:23" x14ac:dyDescent="0.2">
      <c r="W6745" s="50"/>
    </row>
    <row r="6746" spans="23:23" x14ac:dyDescent="0.2">
      <c r="W6746" s="50"/>
    </row>
    <row r="6747" spans="23:23" x14ac:dyDescent="0.2">
      <c r="W6747" s="50"/>
    </row>
    <row r="6748" spans="23:23" x14ac:dyDescent="0.2">
      <c r="W6748" s="50"/>
    </row>
    <row r="6749" spans="23:23" x14ac:dyDescent="0.2">
      <c r="W6749" s="50"/>
    </row>
    <row r="6750" spans="23:23" x14ac:dyDescent="0.2">
      <c r="W6750" s="50"/>
    </row>
    <row r="6751" spans="23:23" x14ac:dyDescent="0.2">
      <c r="W6751" s="50"/>
    </row>
    <row r="6752" spans="23:23" x14ac:dyDescent="0.2">
      <c r="W6752" s="50"/>
    </row>
    <row r="6753" spans="23:23" x14ac:dyDescent="0.2">
      <c r="W6753" s="50"/>
    </row>
    <row r="6754" spans="23:23" x14ac:dyDescent="0.2">
      <c r="W6754" s="50"/>
    </row>
    <row r="6755" spans="23:23" x14ac:dyDescent="0.2">
      <c r="W6755" s="50"/>
    </row>
    <row r="6756" spans="23:23" x14ac:dyDescent="0.2">
      <c r="W6756" s="50"/>
    </row>
    <row r="6757" spans="23:23" x14ac:dyDescent="0.2">
      <c r="W6757" s="50"/>
    </row>
    <row r="6758" spans="23:23" x14ac:dyDescent="0.2">
      <c r="W6758" s="50"/>
    </row>
    <row r="6759" spans="23:23" x14ac:dyDescent="0.2">
      <c r="W6759" s="50"/>
    </row>
    <row r="6760" spans="23:23" x14ac:dyDescent="0.2">
      <c r="W6760" s="50"/>
    </row>
    <row r="6761" spans="23:23" x14ac:dyDescent="0.2">
      <c r="W6761" s="50"/>
    </row>
    <row r="6762" spans="23:23" x14ac:dyDescent="0.2">
      <c r="W6762" s="50"/>
    </row>
    <row r="6763" spans="23:23" x14ac:dyDescent="0.2">
      <c r="W6763" s="50"/>
    </row>
    <row r="6764" spans="23:23" x14ac:dyDescent="0.2">
      <c r="W6764" s="50"/>
    </row>
    <row r="6765" spans="23:23" x14ac:dyDescent="0.2">
      <c r="W6765" s="50"/>
    </row>
    <row r="6766" spans="23:23" x14ac:dyDescent="0.2">
      <c r="W6766" s="50"/>
    </row>
    <row r="6767" spans="23:23" x14ac:dyDescent="0.2">
      <c r="W6767" s="50"/>
    </row>
    <row r="6768" spans="23:23" x14ac:dyDescent="0.2">
      <c r="W6768" s="50"/>
    </row>
    <row r="6769" spans="23:23" x14ac:dyDescent="0.2">
      <c r="W6769" s="50"/>
    </row>
    <row r="6770" spans="23:23" x14ac:dyDescent="0.2">
      <c r="W6770" s="50"/>
    </row>
    <row r="6771" spans="23:23" x14ac:dyDescent="0.2">
      <c r="W6771" s="50"/>
    </row>
    <row r="6772" spans="23:23" x14ac:dyDescent="0.2">
      <c r="W6772" s="50"/>
    </row>
    <row r="6773" spans="23:23" x14ac:dyDescent="0.2">
      <c r="W6773" s="50"/>
    </row>
    <row r="6774" spans="23:23" x14ac:dyDescent="0.2">
      <c r="W6774" s="50"/>
    </row>
    <row r="6775" spans="23:23" x14ac:dyDescent="0.2">
      <c r="W6775" s="50"/>
    </row>
    <row r="6776" spans="23:23" x14ac:dyDescent="0.2">
      <c r="W6776" s="50"/>
    </row>
    <row r="6777" spans="23:23" x14ac:dyDescent="0.2">
      <c r="W6777" s="50"/>
    </row>
    <row r="6778" spans="23:23" x14ac:dyDescent="0.2">
      <c r="W6778" s="50"/>
    </row>
    <row r="6779" spans="23:23" x14ac:dyDescent="0.2">
      <c r="W6779" s="50"/>
    </row>
    <row r="6780" spans="23:23" x14ac:dyDescent="0.2">
      <c r="W6780" s="50"/>
    </row>
    <row r="6781" spans="23:23" x14ac:dyDescent="0.2">
      <c r="W6781" s="50"/>
    </row>
    <row r="6782" spans="23:23" x14ac:dyDescent="0.2">
      <c r="W6782" s="50"/>
    </row>
    <row r="6783" spans="23:23" x14ac:dyDescent="0.2">
      <c r="W6783" s="50"/>
    </row>
    <row r="6784" spans="23:23" x14ac:dyDescent="0.2">
      <c r="W6784" s="50"/>
    </row>
    <row r="6785" spans="23:23" x14ac:dyDescent="0.2">
      <c r="W6785" s="50"/>
    </row>
    <row r="6786" spans="23:23" x14ac:dyDescent="0.2">
      <c r="W6786" s="50"/>
    </row>
    <row r="6787" spans="23:23" x14ac:dyDescent="0.2">
      <c r="W6787" s="50"/>
    </row>
    <row r="6788" spans="23:23" x14ac:dyDescent="0.2">
      <c r="W6788" s="50"/>
    </row>
    <row r="6789" spans="23:23" x14ac:dyDescent="0.2">
      <c r="W6789" s="50"/>
    </row>
    <row r="6790" spans="23:23" x14ac:dyDescent="0.2">
      <c r="W6790" s="50"/>
    </row>
    <row r="6791" spans="23:23" x14ac:dyDescent="0.2">
      <c r="W6791" s="50"/>
    </row>
    <row r="6792" spans="23:23" x14ac:dyDescent="0.2">
      <c r="W6792" s="50"/>
    </row>
    <row r="6793" spans="23:23" x14ac:dyDescent="0.2">
      <c r="W6793" s="50"/>
    </row>
    <row r="6794" spans="23:23" x14ac:dyDescent="0.2">
      <c r="W6794" s="50"/>
    </row>
    <row r="6795" spans="23:23" x14ac:dyDescent="0.2">
      <c r="W6795" s="50"/>
    </row>
    <row r="6796" spans="23:23" x14ac:dyDescent="0.2">
      <c r="W6796" s="50"/>
    </row>
    <row r="6797" spans="23:23" x14ac:dyDescent="0.2">
      <c r="W6797" s="50"/>
    </row>
    <row r="6798" spans="23:23" x14ac:dyDescent="0.2">
      <c r="W6798" s="50"/>
    </row>
    <row r="6799" spans="23:23" x14ac:dyDescent="0.2">
      <c r="W6799" s="50"/>
    </row>
    <row r="6800" spans="23:23" x14ac:dyDescent="0.2">
      <c r="W6800" s="50"/>
    </row>
    <row r="6801" spans="23:23" x14ac:dyDescent="0.2">
      <c r="W6801" s="50"/>
    </row>
    <row r="6802" spans="23:23" x14ac:dyDescent="0.2">
      <c r="W6802" s="50"/>
    </row>
    <row r="6803" spans="23:23" x14ac:dyDescent="0.2">
      <c r="W6803" s="50"/>
    </row>
    <row r="6804" spans="23:23" x14ac:dyDescent="0.2">
      <c r="W6804" s="50"/>
    </row>
    <row r="6805" spans="23:23" x14ac:dyDescent="0.2">
      <c r="W6805" s="50"/>
    </row>
    <row r="6806" spans="23:23" x14ac:dyDescent="0.2">
      <c r="W6806" s="50"/>
    </row>
    <row r="6807" spans="23:23" x14ac:dyDescent="0.2">
      <c r="W6807" s="50"/>
    </row>
    <row r="6808" spans="23:23" x14ac:dyDescent="0.2">
      <c r="W6808" s="50"/>
    </row>
    <row r="6809" spans="23:23" x14ac:dyDescent="0.2">
      <c r="W6809" s="50"/>
    </row>
    <row r="6810" spans="23:23" x14ac:dyDescent="0.2">
      <c r="W6810" s="50"/>
    </row>
    <row r="6811" spans="23:23" x14ac:dyDescent="0.2">
      <c r="W6811" s="50"/>
    </row>
    <row r="6812" spans="23:23" x14ac:dyDescent="0.2">
      <c r="W6812" s="50"/>
    </row>
    <row r="6813" spans="23:23" x14ac:dyDescent="0.2">
      <c r="W6813" s="50"/>
    </row>
    <row r="6814" spans="23:23" x14ac:dyDescent="0.2">
      <c r="W6814" s="50"/>
    </row>
    <row r="6815" spans="23:23" x14ac:dyDescent="0.2">
      <c r="W6815" s="50"/>
    </row>
    <row r="6816" spans="23:23" x14ac:dyDescent="0.2">
      <c r="W6816" s="50"/>
    </row>
    <row r="6817" spans="23:23" x14ac:dyDescent="0.2">
      <c r="W6817" s="50"/>
    </row>
    <row r="6818" spans="23:23" x14ac:dyDescent="0.2">
      <c r="W6818" s="50"/>
    </row>
    <row r="6819" spans="23:23" x14ac:dyDescent="0.2">
      <c r="W6819" s="50"/>
    </row>
    <row r="6820" spans="23:23" x14ac:dyDescent="0.2">
      <c r="W6820" s="50"/>
    </row>
    <row r="6821" spans="23:23" x14ac:dyDescent="0.2">
      <c r="W6821" s="50"/>
    </row>
    <row r="6822" spans="23:23" x14ac:dyDescent="0.2">
      <c r="W6822" s="50"/>
    </row>
    <row r="6823" spans="23:23" x14ac:dyDescent="0.2">
      <c r="W6823" s="50"/>
    </row>
    <row r="6824" spans="23:23" x14ac:dyDescent="0.2">
      <c r="W6824" s="50"/>
    </row>
    <row r="6825" spans="23:23" x14ac:dyDescent="0.2">
      <c r="W6825" s="50"/>
    </row>
    <row r="6826" spans="23:23" x14ac:dyDescent="0.2">
      <c r="W6826" s="50"/>
    </row>
    <row r="6827" spans="23:23" x14ac:dyDescent="0.2">
      <c r="W6827" s="50"/>
    </row>
    <row r="6828" spans="23:23" x14ac:dyDescent="0.2">
      <c r="W6828" s="50"/>
    </row>
    <row r="6829" spans="23:23" x14ac:dyDescent="0.2">
      <c r="W6829" s="50"/>
    </row>
    <row r="6830" spans="23:23" x14ac:dyDescent="0.2">
      <c r="W6830" s="50"/>
    </row>
    <row r="6831" spans="23:23" x14ac:dyDescent="0.2">
      <c r="W6831" s="50"/>
    </row>
    <row r="6832" spans="23:23" x14ac:dyDescent="0.2">
      <c r="W6832" s="50"/>
    </row>
    <row r="6833" spans="23:23" x14ac:dyDescent="0.2">
      <c r="W6833" s="50"/>
    </row>
    <row r="6834" spans="23:23" x14ac:dyDescent="0.2">
      <c r="W6834" s="50"/>
    </row>
    <row r="6835" spans="23:23" x14ac:dyDescent="0.2">
      <c r="W6835" s="50"/>
    </row>
    <row r="6836" spans="23:23" x14ac:dyDescent="0.2">
      <c r="W6836" s="50"/>
    </row>
    <row r="6837" spans="23:23" x14ac:dyDescent="0.2">
      <c r="W6837" s="50"/>
    </row>
    <row r="6838" spans="23:23" x14ac:dyDescent="0.2">
      <c r="W6838" s="50"/>
    </row>
    <row r="6839" spans="23:23" x14ac:dyDescent="0.2">
      <c r="W6839" s="50"/>
    </row>
    <row r="6840" spans="23:23" x14ac:dyDescent="0.2">
      <c r="W6840" s="50"/>
    </row>
    <row r="6841" spans="23:23" x14ac:dyDescent="0.2">
      <c r="W6841" s="50"/>
    </row>
    <row r="6842" spans="23:23" x14ac:dyDescent="0.2">
      <c r="W6842" s="50"/>
    </row>
    <row r="6843" spans="23:23" x14ac:dyDescent="0.2">
      <c r="W6843" s="50"/>
    </row>
    <row r="6844" spans="23:23" x14ac:dyDescent="0.2">
      <c r="W6844" s="50"/>
    </row>
    <row r="6845" spans="23:23" x14ac:dyDescent="0.2">
      <c r="W6845" s="50"/>
    </row>
    <row r="6846" spans="23:23" x14ac:dyDescent="0.2">
      <c r="W6846" s="50"/>
    </row>
    <row r="6847" spans="23:23" x14ac:dyDescent="0.2">
      <c r="W6847" s="50"/>
    </row>
    <row r="6848" spans="23:23" x14ac:dyDescent="0.2">
      <c r="W6848" s="50"/>
    </row>
    <row r="6849" spans="23:23" x14ac:dyDescent="0.2">
      <c r="W6849" s="50"/>
    </row>
    <row r="6850" spans="23:23" x14ac:dyDescent="0.2">
      <c r="W6850" s="50"/>
    </row>
    <row r="6851" spans="23:23" x14ac:dyDescent="0.2">
      <c r="W6851" s="50"/>
    </row>
    <row r="6852" spans="23:23" x14ac:dyDescent="0.2">
      <c r="W6852" s="50"/>
    </row>
    <row r="6853" spans="23:23" x14ac:dyDescent="0.2">
      <c r="W6853" s="50"/>
    </row>
    <row r="6854" spans="23:23" x14ac:dyDescent="0.2">
      <c r="W6854" s="50"/>
    </row>
    <row r="6855" spans="23:23" x14ac:dyDescent="0.2">
      <c r="W6855" s="50"/>
    </row>
    <row r="6856" spans="23:23" x14ac:dyDescent="0.2">
      <c r="W6856" s="50"/>
    </row>
    <row r="6857" spans="23:23" x14ac:dyDescent="0.2">
      <c r="W6857" s="50"/>
    </row>
    <row r="6858" spans="23:23" x14ac:dyDescent="0.2">
      <c r="W6858" s="50"/>
    </row>
    <row r="6859" spans="23:23" x14ac:dyDescent="0.2">
      <c r="W6859" s="50"/>
    </row>
    <row r="6860" spans="23:23" x14ac:dyDescent="0.2">
      <c r="W6860" s="50"/>
    </row>
    <row r="6861" spans="23:23" x14ac:dyDescent="0.2">
      <c r="W6861" s="50"/>
    </row>
    <row r="6862" spans="23:23" x14ac:dyDescent="0.2">
      <c r="W6862" s="50"/>
    </row>
    <row r="6863" spans="23:23" x14ac:dyDescent="0.2">
      <c r="W6863" s="50"/>
    </row>
    <row r="6864" spans="23:23" x14ac:dyDescent="0.2">
      <c r="W6864" s="50"/>
    </row>
    <row r="6865" spans="23:23" x14ac:dyDescent="0.2">
      <c r="W6865" s="50"/>
    </row>
    <row r="6866" spans="23:23" x14ac:dyDescent="0.2">
      <c r="W6866" s="50"/>
    </row>
    <row r="6867" spans="23:23" x14ac:dyDescent="0.2">
      <c r="W6867" s="50"/>
    </row>
    <row r="6868" spans="23:23" x14ac:dyDescent="0.2">
      <c r="W6868" s="50"/>
    </row>
    <row r="6869" spans="23:23" x14ac:dyDescent="0.2">
      <c r="W6869" s="50"/>
    </row>
    <row r="6870" spans="23:23" x14ac:dyDescent="0.2">
      <c r="W6870" s="50"/>
    </row>
    <row r="6871" spans="23:23" x14ac:dyDescent="0.2">
      <c r="W6871" s="50"/>
    </row>
    <row r="6872" spans="23:23" x14ac:dyDescent="0.2">
      <c r="W6872" s="50"/>
    </row>
    <row r="6873" spans="23:23" x14ac:dyDescent="0.2">
      <c r="W6873" s="50"/>
    </row>
    <row r="6874" spans="23:23" x14ac:dyDescent="0.2">
      <c r="W6874" s="50"/>
    </row>
    <row r="6875" spans="23:23" x14ac:dyDescent="0.2">
      <c r="W6875" s="50"/>
    </row>
    <row r="6876" spans="23:23" x14ac:dyDescent="0.2">
      <c r="W6876" s="50"/>
    </row>
    <row r="6877" spans="23:23" x14ac:dyDescent="0.2">
      <c r="W6877" s="50"/>
    </row>
    <row r="6878" spans="23:23" x14ac:dyDescent="0.2">
      <c r="W6878" s="50"/>
    </row>
    <row r="6879" spans="23:23" x14ac:dyDescent="0.2">
      <c r="W6879" s="50"/>
    </row>
    <row r="6880" spans="23:23" x14ac:dyDescent="0.2">
      <c r="W6880" s="50"/>
    </row>
    <row r="6881" spans="23:23" x14ac:dyDescent="0.2">
      <c r="W6881" s="50"/>
    </row>
    <row r="6882" spans="23:23" x14ac:dyDescent="0.2">
      <c r="W6882" s="50"/>
    </row>
    <row r="6883" spans="23:23" x14ac:dyDescent="0.2">
      <c r="W6883" s="50"/>
    </row>
    <row r="6884" spans="23:23" x14ac:dyDescent="0.2">
      <c r="W6884" s="50"/>
    </row>
    <row r="6885" spans="23:23" x14ac:dyDescent="0.2">
      <c r="W6885" s="50"/>
    </row>
    <row r="6886" spans="23:23" x14ac:dyDescent="0.2">
      <c r="W6886" s="50"/>
    </row>
    <row r="6887" spans="23:23" x14ac:dyDescent="0.2">
      <c r="W6887" s="50"/>
    </row>
    <row r="6888" spans="23:23" x14ac:dyDescent="0.2">
      <c r="W6888" s="50"/>
    </row>
    <row r="6889" spans="23:23" x14ac:dyDescent="0.2">
      <c r="W6889" s="50"/>
    </row>
    <row r="6890" spans="23:23" x14ac:dyDescent="0.2">
      <c r="W6890" s="50"/>
    </row>
    <row r="6891" spans="23:23" x14ac:dyDescent="0.2">
      <c r="W6891" s="50"/>
    </row>
    <row r="6892" spans="23:23" x14ac:dyDescent="0.2">
      <c r="W6892" s="50"/>
    </row>
    <row r="6893" spans="23:23" x14ac:dyDescent="0.2">
      <c r="W6893" s="50"/>
    </row>
    <row r="6894" spans="23:23" x14ac:dyDescent="0.2">
      <c r="W6894" s="50"/>
    </row>
    <row r="6895" spans="23:23" x14ac:dyDescent="0.2">
      <c r="W6895" s="50"/>
    </row>
    <row r="6896" spans="23:23" x14ac:dyDescent="0.2">
      <c r="W6896" s="50"/>
    </row>
    <row r="6897" spans="23:23" x14ac:dyDescent="0.2">
      <c r="W6897" s="50"/>
    </row>
    <row r="6898" spans="23:23" x14ac:dyDescent="0.2">
      <c r="W6898" s="50"/>
    </row>
    <row r="6899" spans="23:23" x14ac:dyDescent="0.2">
      <c r="W6899" s="50"/>
    </row>
    <row r="6900" spans="23:23" x14ac:dyDescent="0.2">
      <c r="W6900" s="50"/>
    </row>
    <row r="6901" spans="23:23" x14ac:dyDescent="0.2">
      <c r="W6901" s="50"/>
    </row>
    <row r="6902" spans="23:23" x14ac:dyDescent="0.2">
      <c r="W6902" s="50"/>
    </row>
    <row r="6903" spans="23:23" x14ac:dyDescent="0.2">
      <c r="W6903" s="50"/>
    </row>
    <row r="6904" spans="23:23" x14ac:dyDescent="0.2">
      <c r="W6904" s="50"/>
    </row>
    <row r="6905" spans="23:23" x14ac:dyDescent="0.2">
      <c r="W6905" s="50"/>
    </row>
    <row r="6906" spans="23:23" x14ac:dyDescent="0.2">
      <c r="W6906" s="50"/>
    </row>
    <row r="6907" spans="23:23" x14ac:dyDescent="0.2">
      <c r="W6907" s="50"/>
    </row>
    <row r="6908" spans="23:23" x14ac:dyDescent="0.2">
      <c r="W6908" s="50"/>
    </row>
    <row r="6909" spans="23:23" x14ac:dyDescent="0.2">
      <c r="W6909" s="50"/>
    </row>
    <row r="6910" spans="23:23" x14ac:dyDescent="0.2">
      <c r="W6910" s="50"/>
    </row>
    <row r="6911" spans="23:23" x14ac:dyDescent="0.2">
      <c r="W6911" s="50"/>
    </row>
    <row r="6912" spans="23:23" x14ac:dyDescent="0.2">
      <c r="W6912" s="50"/>
    </row>
    <row r="6913" spans="23:23" x14ac:dyDescent="0.2">
      <c r="W6913" s="50"/>
    </row>
    <row r="6914" spans="23:23" x14ac:dyDescent="0.2">
      <c r="W6914" s="50"/>
    </row>
    <row r="6915" spans="23:23" x14ac:dyDescent="0.2">
      <c r="W6915" s="50"/>
    </row>
    <row r="6916" spans="23:23" x14ac:dyDescent="0.2">
      <c r="W6916" s="50"/>
    </row>
    <row r="6917" spans="23:23" x14ac:dyDescent="0.2">
      <c r="W6917" s="50"/>
    </row>
    <row r="6918" spans="23:23" x14ac:dyDescent="0.2">
      <c r="W6918" s="50"/>
    </row>
    <row r="6919" spans="23:23" x14ac:dyDescent="0.2">
      <c r="W6919" s="50"/>
    </row>
    <row r="6920" spans="23:23" x14ac:dyDescent="0.2">
      <c r="W6920" s="50"/>
    </row>
    <row r="6921" spans="23:23" x14ac:dyDescent="0.2">
      <c r="W6921" s="50"/>
    </row>
    <row r="6922" spans="23:23" x14ac:dyDescent="0.2">
      <c r="W6922" s="50"/>
    </row>
    <row r="6923" spans="23:23" x14ac:dyDescent="0.2">
      <c r="W6923" s="50"/>
    </row>
    <row r="6924" spans="23:23" x14ac:dyDescent="0.2">
      <c r="W6924" s="50"/>
    </row>
    <row r="6925" spans="23:23" x14ac:dyDescent="0.2">
      <c r="W6925" s="50"/>
    </row>
    <row r="6926" spans="23:23" x14ac:dyDescent="0.2">
      <c r="W6926" s="50"/>
    </row>
    <row r="6927" spans="23:23" x14ac:dyDescent="0.2">
      <c r="W6927" s="50"/>
    </row>
    <row r="6928" spans="23:23" x14ac:dyDescent="0.2">
      <c r="W6928" s="50"/>
    </row>
    <row r="6929" spans="23:23" x14ac:dyDescent="0.2">
      <c r="W6929" s="50"/>
    </row>
    <row r="6930" spans="23:23" x14ac:dyDescent="0.2">
      <c r="W6930" s="50"/>
    </row>
    <row r="6931" spans="23:23" x14ac:dyDescent="0.2">
      <c r="W6931" s="50"/>
    </row>
    <row r="6932" spans="23:23" x14ac:dyDescent="0.2">
      <c r="W6932" s="50"/>
    </row>
    <row r="6933" spans="23:23" x14ac:dyDescent="0.2">
      <c r="W6933" s="50"/>
    </row>
    <row r="6934" spans="23:23" x14ac:dyDescent="0.2">
      <c r="W6934" s="50"/>
    </row>
    <row r="6935" spans="23:23" x14ac:dyDescent="0.2">
      <c r="W6935" s="50"/>
    </row>
    <row r="6936" spans="23:23" x14ac:dyDescent="0.2">
      <c r="W6936" s="50"/>
    </row>
    <row r="6937" spans="23:23" x14ac:dyDescent="0.2">
      <c r="W6937" s="50"/>
    </row>
    <row r="6938" spans="23:23" x14ac:dyDescent="0.2">
      <c r="W6938" s="50"/>
    </row>
    <row r="6939" spans="23:23" x14ac:dyDescent="0.2">
      <c r="W6939" s="50"/>
    </row>
    <row r="6940" spans="23:23" x14ac:dyDescent="0.2">
      <c r="W6940" s="50"/>
    </row>
    <row r="6941" spans="23:23" x14ac:dyDescent="0.2">
      <c r="W6941" s="50"/>
    </row>
    <row r="6942" spans="23:23" x14ac:dyDescent="0.2">
      <c r="W6942" s="50"/>
    </row>
    <row r="6943" spans="23:23" x14ac:dyDescent="0.2">
      <c r="W6943" s="50"/>
    </row>
    <row r="6944" spans="23:23" x14ac:dyDescent="0.2">
      <c r="W6944" s="50"/>
    </row>
    <row r="6945" spans="23:23" x14ac:dyDescent="0.2">
      <c r="W6945" s="50"/>
    </row>
    <row r="6946" spans="23:23" x14ac:dyDescent="0.2">
      <c r="W6946" s="50"/>
    </row>
    <row r="6947" spans="23:23" x14ac:dyDescent="0.2">
      <c r="W6947" s="50"/>
    </row>
    <row r="6948" spans="23:23" x14ac:dyDescent="0.2">
      <c r="W6948" s="50"/>
    </row>
    <row r="6949" spans="23:23" x14ac:dyDescent="0.2">
      <c r="W6949" s="50"/>
    </row>
    <row r="6950" spans="23:23" x14ac:dyDescent="0.2">
      <c r="W6950" s="50"/>
    </row>
    <row r="6951" spans="23:23" x14ac:dyDescent="0.2">
      <c r="W6951" s="50"/>
    </row>
    <row r="6952" spans="23:23" x14ac:dyDescent="0.2">
      <c r="W6952" s="50"/>
    </row>
    <row r="6953" spans="23:23" x14ac:dyDescent="0.2">
      <c r="W6953" s="50"/>
    </row>
    <row r="6954" spans="23:23" x14ac:dyDescent="0.2">
      <c r="W6954" s="50"/>
    </row>
    <row r="6955" spans="23:23" x14ac:dyDescent="0.2">
      <c r="W6955" s="50"/>
    </row>
    <row r="6956" spans="23:23" x14ac:dyDescent="0.2">
      <c r="W6956" s="50"/>
    </row>
    <row r="6957" spans="23:23" x14ac:dyDescent="0.2">
      <c r="W6957" s="50"/>
    </row>
    <row r="6958" spans="23:23" x14ac:dyDescent="0.2">
      <c r="W6958" s="50"/>
    </row>
    <row r="6959" spans="23:23" x14ac:dyDescent="0.2">
      <c r="W6959" s="50"/>
    </row>
    <row r="6960" spans="23:23" x14ac:dyDescent="0.2">
      <c r="W6960" s="50"/>
    </row>
    <row r="6961" spans="23:23" x14ac:dyDescent="0.2">
      <c r="W6961" s="50"/>
    </row>
    <row r="6962" spans="23:23" x14ac:dyDescent="0.2">
      <c r="W6962" s="50"/>
    </row>
    <row r="6963" spans="23:23" x14ac:dyDescent="0.2">
      <c r="W6963" s="50"/>
    </row>
    <row r="6964" spans="23:23" x14ac:dyDescent="0.2">
      <c r="W6964" s="50"/>
    </row>
    <row r="6965" spans="23:23" x14ac:dyDescent="0.2">
      <c r="W6965" s="50"/>
    </row>
    <row r="6966" spans="23:23" x14ac:dyDescent="0.2">
      <c r="W6966" s="50"/>
    </row>
    <row r="6967" spans="23:23" x14ac:dyDescent="0.2">
      <c r="W6967" s="50"/>
    </row>
    <row r="6968" spans="23:23" x14ac:dyDescent="0.2">
      <c r="W6968" s="50"/>
    </row>
    <row r="6969" spans="23:23" x14ac:dyDescent="0.2">
      <c r="W6969" s="50"/>
    </row>
    <row r="6970" spans="23:23" x14ac:dyDescent="0.2">
      <c r="W6970" s="50"/>
    </row>
    <row r="6971" spans="23:23" x14ac:dyDescent="0.2">
      <c r="W6971" s="50"/>
    </row>
    <row r="6972" spans="23:23" x14ac:dyDescent="0.2">
      <c r="W6972" s="50"/>
    </row>
    <row r="6973" spans="23:23" x14ac:dyDescent="0.2">
      <c r="W6973" s="50"/>
    </row>
    <row r="6974" spans="23:23" x14ac:dyDescent="0.2">
      <c r="W6974" s="50"/>
    </row>
    <row r="6975" spans="23:23" x14ac:dyDescent="0.2">
      <c r="W6975" s="50"/>
    </row>
    <row r="6976" spans="23:23" x14ac:dyDescent="0.2">
      <c r="W6976" s="50"/>
    </row>
    <row r="6977" spans="23:23" x14ac:dyDescent="0.2">
      <c r="W6977" s="50"/>
    </row>
    <row r="6978" spans="23:23" x14ac:dyDescent="0.2">
      <c r="W6978" s="50"/>
    </row>
    <row r="6979" spans="23:23" x14ac:dyDescent="0.2">
      <c r="W6979" s="50"/>
    </row>
    <row r="6980" spans="23:23" x14ac:dyDescent="0.2">
      <c r="W6980" s="50"/>
    </row>
    <row r="6981" spans="23:23" x14ac:dyDescent="0.2">
      <c r="W6981" s="50"/>
    </row>
    <row r="6982" spans="23:23" x14ac:dyDescent="0.2">
      <c r="W6982" s="50"/>
    </row>
    <row r="6983" spans="23:23" x14ac:dyDescent="0.2">
      <c r="W6983" s="50"/>
    </row>
    <row r="6984" spans="23:23" x14ac:dyDescent="0.2">
      <c r="W6984" s="50"/>
    </row>
    <row r="6985" spans="23:23" x14ac:dyDescent="0.2">
      <c r="W6985" s="50"/>
    </row>
    <row r="6986" spans="23:23" x14ac:dyDescent="0.2">
      <c r="W6986" s="50"/>
    </row>
    <row r="6987" spans="23:23" x14ac:dyDescent="0.2">
      <c r="W6987" s="50"/>
    </row>
    <row r="6988" spans="23:23" x14ac:dyDescent="0.2">
      <c r="W6988" s="50"/>
    </row>
    <row r="6989" spans="23:23" x14ac:dyDescent="0.2">
      <c r="W6989" s="50"/>
    </row>
    <row r="6990" spans="23:23" x14ac:dyDescent="0.2">
      <c r="W6990" s="50"/>
    </row>
    <row r="6991" spans="23:23" x14ac:dyDescent="0.2">
      <c r="W6991" s="50"/>
    </row>
    <row r="6992" spans="23:23" x14ac:dyDescent="0.2">
      <c r="W6992" s="50"/>
    </row>
    <row r="6993" spans="23:23" x14ac:dyDescent="0.2">
      <c r="W6993" s="50"/>
    </row>
    <row r="6994" spans="23:23" x14ac:dyDescent="0.2">
      <c r="W6994" s="50"/>
    </row>
    <row r="6995" spans="23:23" x14ac:dyDescent="0.2">
      <c r="W6995" s="50"/>
    </row>
    <row r="6996" spans="23:23" x14ac:dyDescent="0.2">
      <c r="W6996" s="50"/>
    </row>
    <row r="6997" spans="23:23" x14ac:dyDescent="0.2">
      <c r="W6997" s="50"/>
    </row>
    <row r="6998" spans="23:23" x14ac:dyDescent="0.2">
      <c r="W6998" s="50"/>
    </row>
    <row r="6999" spans="23:23" x14ac:dyDescent="0.2">
      <c r="W6999" s="50"/>
    </row>
    <row r="7000" spans="23:23" x14ac:dyDescent="0.2">
      <c r="W7000" s="50"/>
    </row>
    <row r="7001" spans="23:23" x14ac:dyDescent="0.2">
      <c r="W7001" s="50"/>
    </row>
    <row r="7002" spans="23:23" x14ac:dyDescent="0.2">
      <c r="W7002" s="50"/>
    </row>
    <row r="7003" spans="23:23" x14ac:dyDescent="0.2">
      <c r="W7003" s="50"/>
    </row>
    <row r="7004" spans="23:23" x14ac:dyDescent="0.2">
      <c r="W7004" s="50"/>
    </row>
    <row r="7005" spans="23:23" x14ac:dyDescent="0.2">
      <c r="W7005" s="50"/>
    </row>
    <row r="7006" spans="23:23" x14ac:dyDescent="0.2">
      <c r="W7006" s="50"/>
    </row>
    <row r="7007" spans="23:23" x14ac:dyDescent="0.2">
      <c r="W7007" s="50"/>
    </row>
    <row r="7008" spans="23:23" x14ac:dyDescent="0.2">
      <c r="W7008" s="50"/>
    </row>
    <row r="7009" spans="23:23" x14ac:dyDescent="0.2">
      <c r="W7009" s="50"/>
    </row>
    <row r="7010" spans="23:23" x14ac:dyDescent="0.2">
      <c r="W7010" s="50"/>
    </row>
    <row r="7011" spans="23:23" x14ac:dyDescent="0.2">
      <c r="W7011" s="50"/>
    </row>
    <row r="7012" spans="23:23" x14ac:dyDescent="0.2">
      <c r="W7012" s="50"/>
    </row>
    <row r="7013" spans="23:23" x14ac:dyDescent="0.2">
      <c r="W7013" s="50"/>
    </row>
    <row r="7014" spans="23:23" x14ac:dyDescent="0.2">
      <c r="W7014" s="50"/>
    </row>
    <row r="7015" spans="23:23" x14ac:dyDescent="0.2">
      <c r="W7015" s="50"/>
    </row>
    <row r="7016" spans="23:23" x14ac:dyDescent="0.2">
      <c r="W7016" s="50"/>
    </row>
    <row r="7017" spans="23:23" x14ac:dyDescent="0.2">
      <c r="W7017" s="50"/>
    </row>
    <row r="7018" spans="23:23" x14ac:dyDescent="0.2">
      <c r="W7018" s="50"/>
    </row>
    <row r="7019" spans="23:23" x14ac:dyDescent="0.2">
      <c r="W7019" s="50"/>
    </row>
    <row r="7020" spans="23:23" x14ac:dyDescent="0.2">
      <c r="W7020" s="50"/>
    </row>
    <row r="7021" spans="23:23" x14ac:dyDescent="0.2">
      <c r="W7021" s="50"/>
    </row>
    <row r="7022" spans="23:23" x14ac:dyDescent="0.2">
      <c r="W7022" s="50"/>
    </row>
    <row r="7023" spans="23:23" x14ac:dyDescent="0.2">
      <c r="W7023" s="50"/>
    </row>
    <row r="7024" spans="23:23" x14ac:dyDescent="0.2">
      <c r="W7024" s="50"/>
    </row>
    <row r="7025" spans="23:23" x14ac:dyDescent="0.2">
      <c r="W7025" s="50"/>
    </row>
    <row r="7026" spans="23:23" x14ac:dyDescent="0.2">
      <c r="W7026" s="50"/>
    </row>
    <row r="7027" spans="23:23" x14ac:dyDescent="0.2">
      <c r="W7027" s="50"/>
    </row>
    <row r="7028" spans="23:23" x14ac:dyDescent="0.2">
      <c r="W7028" s="50"/>
    </row>
    <row r="7029" spans="23:23" x14ac:dyDescent="0.2">
      <c r="W7029" s="50"/>
    </row>
    <row r="7030" spans="23:23" x14ac:dyDescent="0.2">
      <c r="W7030" s="50"/>
    </row>
    <row r="7031" spans="23:23" x14ac:dyDescent="0.2">
      <c r="W7031" s="50"/>
    </row>
    <row r="7032" spans="23:23" x14ac:dyDescent="0.2">
      <c r="W7032" s="50"/>
    </row>
    <row r="7033" spans="23:23" x14ac:dyDescent="0.2">
      <c r="W7033" s="50"/>
    </row>
    <row r="7034" spans="23:23" x14ac:dyDescent="0.2">
      <c r="W7034" s="50"/>
    </row>
    <row r="7035" spans="23:23" x14ac:dyDescent="0.2">
      <c r="W7035" s="50"/>
    </row>
    <row r="7036" spans="23:23" x14ac:dyDescent="0.2">
      <c r="W7036" s="50"/>
    </row>
    <row r="7037" spans="23:23" x14ac:dyDescent="0.2">
      <c r="W7037" s="50"/>
    </row>
    <row r="7038" spans="23:23" x14ac:dyDescent="0.2">
      <c r="W7038" s="50"/>
    </row>
    <row r="7039" spans="23:23" x14ac:dyDescent="0.2">
      <c r="W7039" s="50"/>
    </row>
    <row r="7040" spans="23:23" x14ac:dyDescent="0.2">
      <c r="W7040" s="50"/>
    </row>
    <row r="7041" spans="23:23" x14ac:dyDescent="0.2">
      <c r="W7041" s="50"/>
    </row>
    <row r="7042" spans="23:23" x14ac:dyDescent="0.2">
      <c r="W7042" s="50"/>
    </row>
    <row r="7043" spans="23:23" x14ac:dyDescent="0.2">
      <c r="W7043" s="50"/>
    </row>
    <row r="7044" spans="23:23" x14ac:dyDescent="0.2">
      <c r="W7044" s="50"/>
    </row>
    <row r="7045" spans="23:23" x14ac:dyDescent="0.2">
      <c r="W7045" s="50"/>
    </row>
    <row r="7046" spans="23:23" x14ac:dyDescent="0.2">
      <c r="W7046" s="50"/>
    </row>
    <row r="7047" spans="23:23" x14ac:dyDescent="0.2">
      <c r="W7047" s="50"/>
    </row>
    <row r="7048" spans="23:23" x14ac:dyDescent="0.2">
      <c r="W7048" s="50"/>
    </row>
    <row r="7049" spans="23:23" x14ac:dyDescent="0.2">
      <c r="W7049" s="50"/>
    </row>
    <row r="7050" spans="23:23" x14ac:dyDescent="0.2">
      <c r="W7050" s="50"/>
    </row>
    <row r="7051" spans="23:23" x14ac:dyDescent="0.2">
      <c r="W7051" s="50"/>
    </row>
    <row r="7052" spans="23:23" x14ac:dyDescent="0.2">
      <c r="W7052" s="50"/>
    </row>
    <row r="7053" spans="23:23" x14ac:dyDescent="0.2">
      <c r="W7053" s="50"/>
    </row>
    <row r="7054" spans="23:23" x14ac:dyDescent="0.2">
      <c r="W7054" s="50"/>
    </row>
    <row r="7055" spans="23:23" x14ac:dyDescent="0.2">
      <c r="W7055" s="50"/>
    </row>
    <row r="7056" spans="23:23" x14ac:dyDescent="0.2">
      <c r="W7056" s="50"/>
    </row>
    <row r="7057" spans="23:23" x14ac:dyDescent="0.2">
      <c r="W7057" s="50"/>
    </row>
    <row r="7058" spans="23:23" x14ac:dyDescent="0.2">
      <c r="W7058" s="50"/>
    </row>
    <row r="7059" spans="23:23" x14ac:dyDescent="0.2">
      <c r="W7059" s="50"/>
    </row>
    <row r="7060" spans="23:23" x14ac:dyDescent="0.2">
      <c r="W7060" s="50"/>
    </row>
    <row r="7061" spans="23:23" x14ac:dyDescent="0.2">
      <c r="W7061" s="50"/>
    </row>
    <row r="7062" spans="23:23" x14ac:dyDescent="0.2">
      <c r="W7062" s="50"/>
    </row>
    <row r="7063" spans="23:23" x14ac:dyDescent="0.2">
      <c r="W7063" s="50"/>
    </row>
    <row r="7064" spans="23:23" x14ac:dyDescent="0.2">
      <c r="W7064" s="50"/>
    </row>
    <row r="7065" spans="23:23" x14ac:dyDescent="0.2">
      <c r="W7065" s="50"/>
    </row>
    <row r="7066" spans="23:23" x14ac:dyDescent="0.2">
      <c r="W7066" s="50"/>
    </row>
    <row r="7067" spans="23:23" x14ac:dyDescent="0.2">
      <c r="W7067" s="50"/>
    </row>
    <row r="7068" spans="23:23" x14ac:dyDescent="0.2">
      <c r="W7068" s="50"/>
    </row>
    <row r="7069" spans="23:23" x14ac:dyDescent="0.2">
      <c r="W7069" s="50"/>
    </row>
    <row r="7070" spans="23:23" x14ac:dyDescent="0.2">
      <c r="W7070" s="50"/>
    </row>
    <row r="7071" spans="23:23" x14ac:dyDescent="0.2">
      <c r="W7071" s="50"/>
    </row>
    <row r="7072" spans="23:23" x14ac:dyDescent="0.2">
      <c r="W7072" s="50"/>
    </row>
    <row r="7073" spans="23:23" x14ac:dyDescent="0.2">
      <c r="W7073" s="50"/>
    </row>
    <row r="7074" spans="23:23" x14ac:dyDescent="0.2">
      <c r="W7074" s="50"/>
    </row>
    <row r="7075" spans="23:23" x14ac:dyDescent="0.2">
      <c r="W7075" s="50"/>
    </row>
    <row r="7076" spans="23:23" x14ac:dyDescent="0.2">
      <c r="W7076" s="50"/>
    </row>
    <row r="7077" spans="23:23" x14ac:dyDescent="0.2">
      <c r="W7077" s="50"/>
    </row>
    <row r="7078" spans="23:23" x14ac:dyDescent="0.2">
      <c r="W7078" s="50"/>
    </row>
    <row r="7079" spans="23:23" x14ac:dyDescent="0.2">
      <c r="W7079" s="50"/>
    </row>
    <row r="7080" spans="23:23" x14ac:dyDescent="0.2">
      <c r="W7080" s="50"/>
    </row>
    <row r="7081" spans="23:23" x14ac:dyDescent="0.2">
      <c r="W7081" s="50"/>
    </row>
    <row r="7082" spans="23:23" x14ac:dyDescent="0.2">
      <c r="W7082" s="50"/>
    </row>
    <row r="7083" spans="23:23" x14ac:dyDescent="0.2">
      <c r="W7083" s="50"/>
    </row>
    <row r="7084" spans="23:23" x14ac:dyDescent="0.2">
      <c r="W7084" s="50"/>
    </row>
    <row r="7085" spans="23:23" x14ac:dyDescent="0.2">
      <c r="W7085" s="50"/>
    </row>
    <row r="7086" spans="23:23" x14ac:dyDescent="0.2">
      <c r="W7086" s="50"/>
    </row>
    <row r="7087" spans="23:23" x14ac:dyDescent="0.2">
      <c r="W7087" s="50"/>
    </row>
    <row r="7088" spans="23:23" x14ac:dyDescent="0.2">
      <c r="W7088" s="50"/>
    </row>
    <row r="7089" spans="23:23" x14ac:dyDescent="0.2">
      <c r="W7089" s="50"/>
    </row>
    <row r="7090" spans="23:23" x14ac:dyDescent="0.2">
      <c r="W7090" s="50"/>
    </row>
    <row r="7091" spans="23:23" x14ac:dyDescent="0.2">
      <c r="W7091" s="50"/>
    </row>
    <row r="7092" spans="23:23" x14ac:dyDescent="0.2">
      <c r="W7092" s="50"/>
    </row>
    <row r="7093" spans="23:23" x14ac:dyDescent="0.2">
      <c r="W7093" s="50"/>
    </row>
    <row r="7094" spans="23:23" x14ac:dyDescent="0.2">
      <c r="W7094" s="50"/>
    </row>
    <row r="7095" spans="23:23" x14ac:dyDescent="0.2">
      <c r="W7095" s="50"/>
    </row>
    <row r="7096" spans="23:23" x14ac:dyDescent="0.2">
      <c r="W7096" s="50"/>
    </row>
    <row r="7097" spans="23:23" x14ac:dyDescent="0.2">
      <c r="W7097" s="50"/>
    </row>
    <row r="7098" spans="23:23" x14ac:dyDescent="0.2">
      <c r="W7098" s="50"/>
    </row>
    <row r="7099" spans="23:23" x14ac:dyDescent="0.2">
      <c r="W7099" s="50"/>
    </row>
    <row r="7100" spans="23:23" x14ac:dyDescent="0.2">
      <c r="W7100" s="50"/>
    </row>
    <row r="7101" spans="23:23" x14ac:dyDescent="0.2">
      <c r="W7101" s="50"/>
    </row>
    <row r="7102" spans="23:23" x14ac:dyDescent="0.2">
      <c r="W7102" s="50"/>
    </row>
    <row r="7103" spans="23:23" x14ac:dyDescent="0.2">
      <c r="W7103" s="50"/>
    </row>
    <row r="7104" spans="23:23" x14ac:dyDescent="0.2">
      <c r="W7104" s="50"/>
    </row>
    <row r="7105" spans="23:23" x14ac:dyDescent="0.2">
      <c r="W7105" s="50"/>
    </row>
    <row r="7106" spans="23:23" x14ac:dyDescent="0.2">
      <c r="W7106" s="50"/>
    </row>
    <row r="7107" spans="23:23" x14ac:dyDescent="0.2">
      <c r="W7107" s="50"/>
    </row>
    <row r="7108" spans="23:23" x14ac:dyDescent="0.2">
      <c r="W7108" s="50"/>
    </row>
    <row r="7109" spans="23:23" x14ac:dyDescent="0.2">
      <c r="W7109" s="50"/>
    </row>
    <row r="7110" spans="23:23" x14ac:dyDescent="0.2">
      <c r="W7110" s="50"/>
    </row>
    <row r="7111" spans="23:23" x14ac:dyDescent="0.2">
      <c r="W7111" s="50"/>
    </row>
    <row r="7112" spans="23:23" x14ac:dyDescent="0.2">
      <c r="W7112" s="50"/>
    </row>
    <row r="7113" spans="23:23" x14ac:dyDescent="0.2">
      <c r="W7113" s="50"/>
    </row>
    <row r="7114" spans="23:23" x14ac:dyDescent="0.2">
      <c r="W7114" s="50"/>
    </row>
    <row r="7115" spans="23:23" x14ac:dyDescent="0.2">
      <c r="W7115" s="50"/>
    </row>
    <row r="7116" spans="23:23" x14ac:dyDescent="0.2">
      <c r="W7116" s="50"/>
    </row>
    <row r="7117" spans="23:23" x14ac:dyDescent="0.2">
      <c r="W7117" s="50"/>
    </row>
    <row r="7118" spans="23:23" x14ac:dyDescent="0.2">
      <c r="W7118" s="50"/>
    </row>
    <row r="7119" spans="23:23" x14ac:dyDescent="0.2">
      <c r="W7119" s="50"/>
    </row>
    <row r="7120" spans="23:23" x14ac:dyDescent="0.2">
      <c r="W7120" s="50"/>
    </row>
    <row r="7121" spans="23:23" x14ac:dyDescent="0.2">
      <c r="W7121" s="50"/>
    </row>
    <row r="7122" spans="23:23" x14ac:dyDescent="0.2">
      <c r="W7122" s="50"/>
    </row>
    <row r="7123" spans="23:23" x14ac:dyDescent="0.2">
      <c r="W7123" s="50"/>
    </row>
    <row r="7124" spans="23:23" x14ac:dyDescent="0.2">
      <c r="W7124" s="50"/>
    </row>
    <row r="7125" spans="23:23" x14ac:dyDescent="0.2">
      <c r="W7125" s="50"/>
    </row>
    <row r="7126" spans="23:23" x14ac:dyDescent="0.2">
      <c r="W7126" s="50"/>
    </row>
    <row r="7127" spans="23:23" x14ac:dyDescent="0.2">
      <c r="W7127" s="50"/>
    </row>
    <row r="7128" spans="23:23" x14ac:dyDescent="0.2">
      <c r="W7128" s="50"/>
    </row>
    <row r="7129" spans="23:23" x14ac:dyDescent="0.2">
      <c r="W7129" s="50"/>
    </row>
    <row r="7130" spans="23:23" x14ac:dyDescent="0.2">
      <c r="W7130" s="50"/>
    </row>
    <row r="7131" spans="23:23" x14ac:dyDescent="0.2">
      <c r="W7131" s="50"/>
    </row>
    <row r="7132" spans="23:23" x14ac:dyDescent="0.2">
      <c r="W7132" s="50"/>
    </row>
    <row r="7133" spans="23:23" x14ac:dyDescent="0.2">
      <c r="W7133" s="50"/>
    </row>
    <row r="7134" spans="23:23" x14ac:dyDescent="0.2">
      <c r="W7134" s="50"/>
    </row>
    <row r="7135" spans="23:23" x14ac:dyDescent="0.2">
      <c r="W7135" s="50"/>
    </row>
    <row r="7136" spans="23:23" x14ac:dyDescent="0.2">
      <c r="W7136" s="50"/>
    </row>
    <row r="7137" spans="23:23" x14ac:dyDescent="0.2">
      <c r="W7137" s="50"/>
    </row>
    <row r="7138" spans="23:23" x14ac:dyDescent="0.2">
      <c r="W7138" s="50"/>
    </row>
    <row r="7139" spans="23:23" x14ac:dyDescent="0.2">
      <c r="W7139" s="50"/>
    </row>
    <row r="7140" spans="23:23" x14ac:dyDescent="0.2">
      <c r="W7140" s="50"/>
    </row>
    <row r="7141" spans="23:23" x14ac:dyDescent="0.2">
      <c r="W7141" s="50"/>
    </row>
    <row r="7142" spans="23:23" x14ac:dyDescent="0.2">
      <c r="W7142" s="50"/>
    </row>
    <row r="7143" spans="23:23" x14ac:dyDescent="0.2">
      <c r="W7143" s="50"/>
    </row>
    <row r="7144" spans="23:23" x14ac:dyDescent="0.2">
      <c r="W7144" s="50"/>
    </row>
    <row r="7145" spans="23:23" x14ac:dyDescent="0.2">
      <c r="W7145" s="50"/>
    </row>
    <row r="7146" spans="23:23" x14ac:dyDescent="0.2">
      <c r="W7146" s="50"/>
    </row>
    <row r="7147" spans="23:23" x14ac:dyDescent="0.2">
      <c r="W7147" s="50"/>
    </row>
    <row r="7148" spans="23:23" x14ac:dyDescent="0.2">
      <c r="W7148" s="50"/>
    </row>
    <row r="7149" spans="23:23" x14ac:dyDescent="0.2">
      <c r="W7149" s="50"/>
    </row>
    <row r="7150" spans="23:23" x14ac:dyDescent="0.2">
      <c r="W7150" s="50"/>
    </row>
    <row r="7151" spans="23:23" x14ac:dyDescent="0.2">
      <c r="W7151" s="50"/>
    </row>
    <row r="7152" spans="23:23" x14ac:dyDescent="0.2">
      <c r="W7152" s="50"/>
    </row>
    <row r="7153" spans="23:23" x14ac:dyDescent="0.2">
      <c r="W7153" s="50"/>
    </row>
    <row r="7154" spans="23:23" x14ac:dyDescent="0.2">
      <c r="W7154" s="50"/>
    </row>
    <row r="7155" spans="23:23" x14ac:dyDescent="0.2">
      <c r="W7155" s="50"/>
    </row>
    <row r="7156" spans="23:23" x14ac:dyDescent="0.2">
      <c r="W7156" s="50"/>
    </row>
    <row r="7157" spans="23:23" x14ac:dyDescent="0.2">
      <c r="W7157" s="50"/>
    </row>
    <row r="7158" spans="23:23" x14ac:dyDescent="0.2">
      <c r="W7158" s="50"/>
    </row>
    <row r="7159" spans="23:23" x14ac:dyDescent="0.2">
      <c r="W7159" s="50"/>
    </row>
    <row r="7160" spans="23:23" x14ac:dyDescent="0.2">
      <c r="W7160" s="50"/>
    </row>
    <row r="7161" spans="23:23" x14ac:dyDescent="0.2">
      <c r="W7161" s="50"/>
    </row>
    <row r="7162" spans="23:23" x14ac:dyDescent="0.2">
      <c r="W7162" s="50"/>
    </row>
    <row r="7163" spans="23:23" x14ac:dyDescent="0.2">
      <c r="W7163" s="50"/>
    </row>
    <row r="7164" spans="23:23" x14ac:dyDescent="0.2">
      <c r="W7164" s="50"/>
    </row>
    <row r="7165" spans="23:23" x14ac:dyDescent="0.2">
      <c r="W7165" s="50"/>
    </row>
    <row r="7166" spans="23:23" x14ac:dyDescent="0.2">
      <c r="W7166" s="50"/>
    </row>
    <row r="7167" spans="23:23" x14ac:dyDescent="0.2">
      <c r="W7167" s="50"/>
    </row>
    <row r="7168" spans="23:23" x14ac:dyDescent="0.2">
      <c r="W7168" s="50"/>
    </row>
    <row r="7169" spans="23:23" x14ac:dyDescent="0.2">
      <c r="W7169" s="50"/>
    </row>
    <row r="7170" spans="23:23" x14ac:dyDescent="0.2">
      <c r="W7170" s="50"/>
    </row>
    <row r="7171" spans="23:23" x14ac:dyDescent="0.2">
      <c r="W7171" s="50"/>
    </row>
    <row r="7172" spans="23:23" x14ac:dyDescent="0.2">
      <c r="W7172" s="50"/>
    </row>
    <row r="7173" spans="23:23" x14ac:dyDescent="0.2">
      <c r="W7173" s="50"/>
    </row>
    <row r="7174" spans="23:23" x14ac:dyDescent="0.2">
      <c r="W7174" s="50"/>
    </row>
    <row r="7175" spans="23:23" x14ac:dyDescent="0.2">
      <c r="W7175" s="50"/>
    </row>
    <row r="7176" spans="23:23" x14ac:dyDescent="0.2">
      <c r="W7176" s="50"/>
    </row>
    <row r="7177" spans="23:23" x14ac:dyDescent="0.2">
      <c r="W7177" s="50"/>
    </row>
    <row r="7178" spans="23:23" x14ac:dyDescent="0.2">
      <c r="W7178" s="50"/>
    </row>
    <row r="7179" spans="23:23" x14ac:dyDescent="0.2">
      <c r="W7179" s="50"/>
    </row>
    <row r="7180" spans="23:23" x14ac:dyDescent="0.2">
      <c r="W7180" s="50"/>
    </row>
    <row r="7181" spans="23:23" x14ac:dyDescent="0.2">
      <c r="W7181" s="50"/>
    </row>
    <row r="7182" spans="23:23" x14ac:dyDescent="0.2">
      <c r="W7182" s="50"/>
    </row>
    <row r="7183" spans="23:23" x14ac:dyDescent="0.2">
      <c r="W7183" s="50"/>
    </row>
    <row r="7184" spans="23:23" x14ac:dyDescent="0.2">
      <c r="W7184" s="50"/>
    </row>
    <row r="7185" spans="23:23" x14ac:dyDescent="0.2">
      <c r="W7185" s="50"/>
    </row>
    <row r="7186" spans="23:23" x14ac:dyDescent="0.2">
      <c r="W7186" s="50"/>
    </row>
    <row r="7187" spans="23:23" x14ac:dyDescent="0.2">
      <c r="W7187" s="50"/>
    </row>
    <row r="7188" spans="23:23" x14ac:dyDescent="0.2">
      <c r="W7188" s="50"/>
    </row>
    <row r="7189" spans="23:23" x14ac:dyDescent="0.2">
      <c r="W7189" s="50"/>
    </row>
    <row r="7190" spans="23:23" x14ac:dyDescent="0.2">
      <c r="W7190" s="50"/>
    </row>
    <row r="7191" spans="23:23" x14ac:dyDescent="0.2">
      <c r="W7191" s="50"/>
    </row>
    <row r="7192" spans="23:23" x14ac:dyDescent="0.2">
      <c r="W7192" s="50"/>
    </row>
    <row r="7193" spans="23:23" x14ac:dyDescent="0.2">
      <c r="W7193" s="50"/>
    </row>
    <row r="7194" spans="23:23" x14ac:dyDescent="0.2">
      <c r="W7194" s="50"/>
    </row>
    <row r="7195" spans="23:23" x14ac:dyDescent="0.2">
      <c r="W7195" s="50"/>
    </row>
    <row r="7196" spans="23:23" x14ac:dyDescent="0.2">
      <c r="W7196" s="50"/>
    </row>
    <row r="7197" spans="23:23" x14ac:dyDescent="0.2">
      <c r="W7197" s="50"/>
    </row>
    <row r="7198" spans="23:23" x14ac:dyDescent="0.2">
      <c r="W7198" s="50"/>
    </row>
    <row r="7199" spans="23:23" x14ac:dyDescent="0.2">
      <c r="W7199" s="50"/>
    </row>
    <row r="7200" spans="23:23" x14ac:dyDescent="0.2">
      <c r="W7200" s="50"/>
    </row>
    <row r="7201" spans="23:23" x14ac:dyDescent="0.2">
      <c r="W7201" s="50"/>
    </row>
    <row r="7202" spans="23:23" x14ac:dyDescent="0.2">
      <c r="W7202" s="50"/>
    </row>
    <row r="7203" spans="23:23" x14ac:dyDescent="0.2">
      <c r="W7203" s="50"/>
    </row>
    <row r="7204" spans="23:23" x14ac:dyDescent="0.2">
      <c r="W7204" s="50"/>
    </row>
    <row r="7205" spans="23:23" x14ac:dyDescent="0.2">
      <c r="W7205" s="50"/>
    </row>
    <row r="7206" spans="23:23" x14ac:dyDescent="0.2">
      <c r="W7206" s="50"/>
    </row>
    <row r="7207" spans="23:23" x14ac:dyDescent="0.2">
      <c r="W7207" s="50"/>
    </row>
    <row r="7208" spans="23:23" x14ac:dyDescent="0.2">
      <c r="W7208" s="50"/>
    </row>
    <row r="7209" spans="23:23" x14ac:dyDescent="0.2">
      <c r="W7209" s="50"/>
    </row>
    <row r="7210" spans="23:23" x14ac:dyDescent="0.2">
      <c r="W7210" s="50"/>
    </row>
    <row r="7211" spans="23:23" x14ac:dyDescent="0.2">
      <c r="W7211" s="50"/>
    </row>
    <row r="7212" spans="23:23" x14ac:dyDescent="0.2">
      <c r="W7212" s="50"/>
    </row>
    <row r="7213" spans="23:23" x14ac:dyDescent="0.2">
      <c r="W7213" s="50"/>
    </row>
    <row r="7214" spans="23:23" x14ac:dyDescent="0.2">
      <c r="W7214" s="50"/>
    </row>
    <row r="7215" spans="23:23" x14ac:dyDescent="0.2">
      <c r="W7215" s="50"/>
    </row>
    <row r="7216" spans="23:23" x14ac:dyDescent="0.2">
      <c r="W7216" s="50"/>
    </row>
    <row r="7217" spans="23:23" x14ac:dyDescent="0.2">
      <c r="W7217" s="50"/>
    </row>
    <row r="7218" spans="23:23" x14ac:dyDescent="0.2">
      <c r="W7218" s="50"/>
    </row>
    <row r="7219" spans="23:23" x14ac:dyDescent="0.2">
      <c r="W7219" s="50"/>
    </row>
    <row r="7220" spans="23:23" x14ac:dyDescent="0.2">
      <c r="W7220" s="50"/>
    </row>
    <row r="7221" spans="23:23" x14ac:dyDescent="0.2">
      <c r="W7221" s="50"/>
    </row>
    <row r="7222" spans="23:23" x14ac:dyDescent="0.2">
      <c r="W7222" s="50"/>
    </row>
    <row r="7223" spans="23:23" x14ac:dyDescent="0.2">
      <c r="W7223" s="50"/>
    </row>
    <row r="7224" spans="23:23" x14ac:dyDescent="0.2">
      <c r="W7224" s="50"/>
    </row>
    <row r="7225" spans="23:23" x14ac:dyDescent="0.2">
      <c r="W7225" s="50"/>
    </row>
    <row r="7226" spans="23:23" x14ac:dyDescent="0.2">
      <c r="W7226" s="50"/>
    </row>
    <row r="7227" spans="23:23" x14ac:dyDescent="0.2">
      <c r="W7227" s="50"/>
    </row>
    <row r="7228" spans="23:23" x14ac:dyDescent="0.2">
      <c r="W7228" s="50"/>
    </row>
    <row r="7229" spans="23:23" x14ac:dyDescent="0.2">
      <c r="W7229" s="50"/>
    </row>
    <row r="7230" spans="23:23" x14ac:dyDescent="0.2">
      <c r="W7230" s="50"/>
    </row>
    <row r="7231" spans="23:23" x14ac:dyDescent="0.2">
      <c r="W7231" s="50"/>
    </row>
    <row r="7232" spans="23:23" x14ac:dyDescent="0.2">
      <c r="W7232" s="50"/>
    </row>
    <row r="7233" spans="23:23" x14ac:dyDescent="0.2">
      <c r="W7233" s="50"/>
    </row>
    <row r="7234" spans="23:23" x14ac:dyDescent="0.2">
      <c r="W7234" s="50"/>
    </row>
    <row r="7235" spans="23:23" x14ac:dyDescent="0.2">
      <c r="W7235" s="50"/>
    </row>
    <row r="7236" spans="23:23" x14ac:dyDescent="0.2">
      <c r="W7236" s="50"/>
    </row>
    <row r="7237" spans="23:23" x14ac:dyDescent="0.2">
      <c r="W7237" s="50"/>
    </row>
    <row r="7238" spans="23:23" x14ac:dyDescent="0.2">
      <c r="W7238" s="50"/>
    </row>
    <row r="7239" spans="23:23" x14ac:dyDescent="0.2">
      <c r="W7239" s="50"/>
    </row>
    <row r="7240" spans="23:23" x14ac:dyDescent="0.2">
      <c r="W7240" s="50"/>
    </row>
    <row r="7241" spans="23:23" x14ac:dyDescent="0.2">
      <c r="W7241" s="50"/>
    </row>
    <row r="7242" spans="23:23" x14ac:dyDescent="0.2">
      <c r="W7242" s="50"/>
    </row>
    <row r="7243" spans="23:23" x14ac:dyDescent="0.2">
      <c r="W7243" s="50"/>
    </row>
    <row r="7244" spans="23:23" x14ac:dyDescent="0.2">
      <c r="W7244" s="50"/>
    </row>
    <row r="7245" spans="23:23" x14ac:dyDescent="0.2">
      <c r="W7245" s="50"/>
    </row>
    <row r="7246" spans="23:23" x14ac:dyDescent="0.2">
      <c r="W7246" s="50"/>
    </row>
    <row r="7247" spans="23:23" x14ac:dyDescent="0.2">
      <c r="W7247" s="50"/>
    </row>
    <row r="7248" spans="23:23" x14ac:dyDescent="0.2">
      <c r="W7248" s="50"/>
    </row>
    <row r="7249" spans="23:23" x14ac:dyDescent="0.2">
      <c r="W7249" s="50"/>
    </row>
    <row r="7250" spans="23:23" x14ac:dyDescent="0.2">
      <c r="W7250" s="50"/>
    </row>
    <row r="7251" spans="23:23" x14ac:dyDescent="0.2">
      <c r="W7251" s="50"/>
    </row>
    <row r="7252" spans="23:23" x14ac:dyDescent="0.2">
      <c r="W7252" s="50"/>
    </row>
    <row r="7253" spans="23:23" x14ac:dyDescent="0.2">
      <c r="W7253" s="50"/>
    </row>
    <row r="7254" spans="23:23" x14ac:dyDescent="0.2">
      <c r="W7254" s="50"/>
    </row>
    <row r="7255" spans="23:23" x14ac:dyDescent="0.2">
      <c r="W7255" s="50"/>
    </row>
    <row r="7256" spans="23:23" x14ac:dyDescent="0.2">
      <c r="W7256" s="50"/>
    </row>
    <row r="7257" spans="23:23" x14ac:dyDescent="0.2">
      <c r="W7257" s="50"/>
    </row>
    <row r="7258" spans="23:23" x14ac:dyDescent="0.2">
      <c r="W7258" s="50"/>
    </row>
    <row r="7259" spans="23:23" x14ac:dyDescent="0.2">
      <c r="W7259" s="50"/>
    </row>
    <row r="7260" spans="23:23" x14ac:dyDescent="0.2">
      <c r="W7260" s="50"/>
    </row>
    <row r="7261" spans="23:23" x14ac:dyDescent="0.2">
      <c r="W7261" s="50"/>
    </row>
    <row r="7262" spans="23:23" x14ac:dyDescent="0.2">
      <c r="W7262" s="50"/>
    </row>
    <row r="7263" spans="23:23" x14ac:dyDescent="0.2">
      <c r="W7263" s="50"/>
    </row>
    <row r="7264" spans="23:23" x14ac:dyDescent="0.2">
      <c r="W7264" s="50"/>
    </row>
    <row r="7265" spans="23:23" x14ac:dyDescent="0.2">
      <c r="W7265" s="50"/>
    </row>
    <row r="7266" spans="23:23" x14ac:dyDescent="0.2">
      <c r="W7266" s="50"/>
    </row>
    <row r="7267" spans="23:23" x14ac:dyDescent="0.2">
      <c r="W7267" s="50"/>
    </row>
    <row r="7268" spans="23:23" x14ac:dyDescent="0.2">
      <c r="W7268" s="50"/>
    </row>
    <row r="7269" spans="23:23" x14ac:dyDescent="0.2">
      <c r="W7269" s="50"/>
    </row>
    <row r="7270" spans="23:23" x14ac:dyDescent="0.2">
      <c r="W7270" s="50"/>
    </row>
    <row r="7271" spans="23:23" x14ac:dyDescent="0.2">
      <c r="W7271" s="50"/>
    </row>
    <row r="7272" spans="23:23" x14ac:dyDescent="0.2">
      <c r="W7272" s="50"/>
    </row>
    <row r="7273" spans="23:23" x14ac:dyDescent="0.2">
      <c r="W7273" s="50"/>
    </row>
    <row r="7274" spans="23:23" x14ac:dyDescent="0.2">
      <c r="W7274" s="50"/>
    </row>
    <row r="7275" spans="23:23" x14ac:dyDescent="0.2">
      <c r="W7275" s="50"/>
    </row>
    <row r="7276" spans="23:23" x14ac:dyDescent="0.2">
      <c r="W7276" s="50"/>
    </row>
    <row r="7277" spans="23:23" x14ac:dyDescent="0.2">
      <c r="W7277" s="50"/>
    </row>
    <row r="7278" spans="23:23" x14ac:dyDescent="0.2">
      <c r="W7278" s="50"/>
    </row>
    <row r="7279" spans="23:23" x14ac:dyDescent="0.2">
      <c r="W7279" s="50"/>
    </row>
    <row r="7280" spans="23:23" x14ac:dyDescent="0.2">
      <c r="W7280" s="50"/>
    </row>
    <row r="7281" spans="23:23" x14ac:dyDescent="0.2">
      <c r="W7281" s="50"/>
    </row>
    <row r="7282" spans="23:23" x14ac:dyDescent="0.2">
      <c r="W7282" s="50"/>
    </row>
    <row r="7283" spans="23:23" x14ac:dyDescent="0.2">
      <c r="W7283" s="50"/>
    </row>
    <row r="7284" spans="23:23" x14ac:dyDescent="0.2">
      <c r="W7284" s="50"/>
    </row>
    <row r="7285" spans="23:23" x14ac:dyDescent="0.2">
      <c r="W7285" s="50"/>
    </row>
    <row r="7286" spans="23:23" x14ac:dyDescent="0.2">
      <c r="W7286" s="50"/>
    </row>
    <row r="7287" spans="23:23" x14ac:dyDescent="0.2">
      <c r="W7287" s="50"/>
    </row>
    <row r="7288" spans="23:23" x14ac:dyDescent="0.2">
      <c r="W7288" s="50"/>
    </row>
    <row r="7289" spans="23:23" x14ac:dyDescent="0.2">
      <c r="W7289" s="50"/>
    </row>
    <row r="7290" spans="23:23" x14ac:dyDescent="0.2">
      <c r="W7290" s="50"/>
    </row>
    <row r="7291" spans="23:23" x14ac:dyDescent="0.2">
      <c r="W7291" s="50"/>
    </row>
    <row r="7292" spans="23:23" x14ac:dyDescent="0.2">
      <c r="W7292" s="50"/>
    </row>
    <row r="7293" spans="23:23" x14ac:dyDescent="0.2">
      <c r="W7293" s="50"/>
    </row>
    <row r="7294" spans="23:23" x14ac:dyDescent="0.2">
      <c r="W7294" s="50"/>
    </row>
    <row r="7295" spans="23:23" x14ac:dyDescent="0.2">
      <c r="W7295" s="50"/>
    </row>
    <row r="7296" spans="23:23" x14ac:dyDescent="0.2">
      <c r="W7296" s="50"/>
    </row>
    <row r="7297" spans="23:23" x14ac:dyDescent="0.2">
      <c r="W7297" s="50"/>
    </row>
    <row r="7298" spans="23:23" x14ac:dyDescent="0.2">
      <c r="W7298" s="50"/>
    </row>
    <row r="7299" spans="23:23" x14ac:dyDescent="0.2">
      <c r="W7299" s="50"/>
    </row>
    <row r="7300" spans="23:23" x14ac:dyDescent="0.2">
      <c r="W7300" s="50"/>
    </row>
    <row r="7301" spans="23:23" x14ac:dyDescent="0.2">
      <c r="W7301" s="50"/>
    </row>
    <row r="7302" spans="23:23" x14ac:dyDescent="0.2">
      <c r="W7302" s="50"/>
    </row>
    <row r="7303" spans="23:23" x14ac:dyDescent="0.2">
      <c r="W7303" s="50"/>
    </row>
    <row r="7304" spans="23:23" x14ac:dyDescent="0.2">
      <c r="W7304" s="50"/>
    </row>
    <row r="7305" spans="23:23" x14ac:dyDescent="0.2">
      <c r="W7305" s="50"/>
    </row>
    <row r="7306" spans="23:23" x14ac:dyDescent="0.2">
      <c r="W7306" s="50"/>
    </row>
    <row r="7307" spans="23:23" x14ac:dyDescent="0.2">
      <c r="W7307" s="50"/>
    </row>
    <row r="7308" spans="23:23" x14ac:dyDescent="0.2">
      <c r="W7308" s="50"/>
    </row>
    <row r="7309" spans="23:23" x14ac:dyDescent="0.2">
      <c r="W7309" s="50"/>
    </row>
    <row r="7310" spans="23:23" x14ac:dyDescent="0.2">
      <c r="W7310" s="50"/>
    </row>
    <row r="7311" spans="23:23" x14ac:dyDescent="0.2">
      <c r="W7311" s="50"/>
    </row>
    <row r="7312" spans="23:23" x14ac:dyDescent="0.2">
      <c r="W7312" s="50"/>
    </row>
    <row r="7313" spans="23:23" x14ac:dyDescent="0.2">
      <c r="W7313" s="50"/>
    </row>
    <row r="7314" spans="23:23" x14ac:dyDescent="0.2">
      <c r="W7314" s="50"/>
    </row>
    <row r="7315" spans="23:23" x14ac:dyDescent="0.2">
      <c r="W7315" s="50"/>
    </row>
    <row r="7316" spans="23:23" x14ac:dyDescent="0.2">
      <c r="W7316" s="50"/>
    </row>
    <row r="7317" spans="23:23" x14ac:dyDescent="0.2">
      <c r="W7317" s="50"/>
    </row>
    <row r="7318" spans="23:23" x14ac:dyDescent="0.2">
      <c r="W7318" s="50"/>
    </row>
    <row r="7319" spans="23:23" x14ac:dyDescent="0.2">
      <c r="W7319" s="50"/>
    </row>
    <row r="7320" spans="23:23" x14ac:dyDescent="0.2">
      <c r="W7320" s="50"/>
    </row>
    <row r="7321" spans="23:23" x14ac:dyDescent="0.2">
      <c r="W7321" s="50"/>
    </row>
    <row r="7322" spans="23:23" x14ac:dyDescent="0.2">
      <c r="W7322" s="50"/>
    </row>
    <row r="7323" spans="23:23" x14ac:dyDescent="0.2">
      <c r="W7323" s="50"/>
    </row>
    <row r="7324" spans="23:23" x14ac:dyDescent="0.2">
      <c r="W7324" s="50"/>
    </row>
    <row r="7325" spans="23:23" x14ac:dyDescent="0.2">
      <c r="W7325" s="50"/>
    </row>
    <row r="7326" spans="23:23" x14ac:dyDescent="0.2">
      <c r="W7326" s="50"/>
    </row>
    <row r="7327" spans="23:23" x14ac:dyDescent="0.2">
      <c r="W7327" s="50"/>
    </row>
    <row r="7328" spans="23:23" x14ac:dyDescent="0.2">
      <c r="W7328" s="50"/>
    </row>
    <row r="7329" spans="23:23" x14ac:dyDescent="0.2">
      <c r="W7329" s="50"/>
    </row>
    <row r="7330" spans="23:23" x14ac:dyDescent="0.2">
      <c r="W7330" s="50"/>
    </row>
    <row r="7331" spans="23:23" x14ac:dyDescent="0.2">
      <c r="W7331" s="50"/>
    </row>
    <row r="7332" spans="23:23" x14ac:dyDescent="0.2">
      <c r="W7332" s="50"/>
    </row>
    <row r="7333" spans="23:23" x14ac:dyDescent="0.2">
      <c r="W7333" s="50"/>
    </row>
    <row r="7334" spans="23:23" x14ac:dyDescent="0.2">
      <c r="W7334" s="50"/>
    </row>
    <row r="7335" spans="23:23" x14ac:dyDescent="0.2">
      <c r="W7335" s="50"/>
    </row>
    <row r="7336" spans="23:23" x14ac:dyDescent="0.2">
      <c r="W7336" s="50"/>
    </row>
    <row r="7337" spans="23:23" x14ac:dyDescent="0.2">
      <c r="W7337" s="50"/>
    </row>
    <row r="7338" spans="23:23" x14ac:dyDescent="0.2">
      <c r="W7338" s="50"/>
    </row>
    <row r="7339" spans="23:23" x14ac:dyDescent="0.2">
      <c r="W7339" s="50"/>
    </row>
    <row r="7340" spans="23:23" x14ac:dyDescent="0.2">
      <c r="W7340" s="50"/>
    </row>
    <row r="7341" spans="23:23" x14ac:dyDescent="0.2">
      <c r="W7341" s="50"/>
    </row>
    <row r="7342" spans="23:23" x14ac:dyDescent="0.2">
      <c r="W7342" s="50"/>
    </row>
    <row r="7343" spans="23:23" x14ac:dyDescent="0.2">
      <c r="W7343" s="50"/>
    </row>
    <row r="7344" spans="23:23" x14ac:dyDescent="0.2">
      <c r="W7344" s="50"/>
    </row>
    <row r="7345" spans="23:23" x14ac:dyDescent="0.2">
      <c r="W7345" s="50"/>
    </row>
    <row r="7346" spans="23:23" x14ac:dyDescent="0.2">
      <c r="W7346" s="50"/>
    </row>
    <row r="7347" spans="23:23" x14ac:dyDescent="0.2">
      <c r="W7347" s="50"/>
    </row>
    <row r="7348" spans="23:23" x14ac:dyDescent="0.2">
      <c r="W7348" s="50"/>
    </row>
    <row r="7349" spans="23:23" x14ac:dyDescent="0.2">
      <c r="W7349" s="50"/>
    </row>
    <row r="7350" spans="23:23" x14ac:dyDescent="0.2">
      <c r="W7350" s="50"/>
    </row>
    <row r="7351" spans="23:23" x14ac:dyDescent="0.2">
      <c r="W7351" s="50"/>
    </row>
    <row r="7352" spans="23:23" x14ac:dyDescent="0.2">
      <c r="W7352" s="50"/>
    </row>
    <row r="7353" spans="23:23" x14ac:dyDescent="0.2">
      <c r="W7353" s="50"/>
    </row>
    <row r="7354" spans="23:23" x14ac:dyDescent="0.2">
      <c r="W7354" s="50"/>
    </row>
    <row r="7355" spans="23:23" x14ac:dyDescent="0.2">
      <c r="W7355" s="50"/>
    </row>
    <row r="7356" spans="23:23" x14ac:dyDescent="0.2">
      <c r="W7356" s="50"/>
    </row>
    <row r="7357" spans="23:23" x14ac:dyDescent="0.2">
      <c r="W7357" s="50"/>
    </row>
    <row r="7358" spans="23:23" x14ac:dyDescent="0.2">
      <c r="W7358" s="50"/>
    </row>
    <row r="7359" spans="23:23" x14ac:dyDescent="0.2">
      <c r="W7359" s="50"/>
    </row>
    <row r="7360" spans="23:23" x14ac:dyDescent="0.2">
      <c r="W7360" s="50"/>
    </row>
    <row r="7361" spans="23:23" x14ac:dyDescent="0.2">
      <c r="W7361" s="50"/>
    </row>
    <row r="7362" spans="23:23" x14ac:dyDescent="0.2">
      <c r="W7362" s="50"/>
    </row>
    <row r="7363" spans="23:23" x14ac:dyDescent="0.2">
      <c r="W7363" s="50"/>
    </row>
    <row r="7364" spans="23:23" x14ac:dyDescent="0.2">
      <c r="W7364" s="50"/>
    </row>
    <row r="7365" spans="23:23" x14ac:dyDescent="0.2">
      <c r="W7365" s="50"/>
    </row>
    <row r="7366" spans="23:23" x14ac:dyDescent="0.2">
      <c r="W7366" s="50"/>
    </row>
    <row r="7367" spans="23:23" x14ac:dyDescent="0.2">
      <c r="W7367" s="50"/>
    </row>
    <row r="7368" spans="23:23" x14ac:dyDescent="0.2">
      <c r="W7368" s="50"/>
    </row>
    <row r="7369" spans="23:23" x14ac:dyDescent="0.2">
      <c r="W7369" s="50"/>
    </row>
    <row r="7370" spans="23:23" x14ac:dyDescent="0.2">
      <c r="W7370" s="50"/>
    </row>
    <row r="7371" spans="23:23" x14ac:dyDescent="0.2">
      <c r="W7371" s="50"/>
    </row>
    <row r="7372" spans="23:23" x14ac:dyDescent="0.2">
      <c r="W7372" s="50"/>
    </row>
    <row r="7373" spans="23:23" x14ac:dyDescent="0.2">
      <c r="W7373" s="50"/>
    </row>
    <row r="7374" spans="23:23" x14ac:dyDescent="0.2">
      <c r="W7374" s="50"/>
    </row>
    <row r="7375" spans="23:23" x14ac:dyDescent="0.2">
      <c r="W7375" s="50"/>
    </row>
    <row r="7376" spans="23:23" x14ac:dyDescent="0.2">
      <c r="W7376" s="50"/>
    </row>
    <row r="7377" spans="23:23" x14ac:dyDescent="0.2">
      <c r="W7377" s="50"/>
    </row>
    <row r="7378" spans="23:23" x14ac:dyDescent="0.2">
      <c r="W7378" s="50"/>
    </row>
    <row r="7379" spans="23:23" x14ac:dyDescent="0.2">
      <c r="W7379" s="50"/>
    </row>
    <row r="7380" spans="23:23" x14ac:dyDescent="0.2">
      <c r="W7380" s="50"/>
    </row>
    <row r="7381" spans="23:23" x14ac:dyDescent="0.2">
      <c r="W7381" s="50"/>
    </row>
    <row r="7382" spans="23:23" x14ac:dyDescent="0.2">
      <c r="W7382" s="50"/>
    </row>
    <row r="7383" spans="23:23" x14ac:dyDescent="0.2">
      <c r="W7383" s="50"/>
    </row>
    <row r="7384" spans="23:23" x14ac:dyDescent="0.2">
      <c r="W7384" s="50"/>
    </row>
    <row r="7385" spans="23:23" x14ac:dyDescent="0.2">
      <c r="W7385" s="50"/>
    </row>
    <row r="7386" spans="23:23" x14ac:dyDescent="0.2">
      <c r="W7386" s="50"/>
    </row>
    <row r="7387" spans="23:23" x14ac:dyDescent="0.2">
      <c r="W7387" s="50"/>
    </row>
    <row r="7388" spans="23:23" x14ac:dyDescent="0.2">
      <c r="W7388" s="50"/>
    </row>
    <row r="7389" spans="23:23" x14ac:dyDescent="0.2">
      <c r="W7389" s="50"/>
    </row>
    <row r="7390" spans="23:23" x14ac:dyDescent="0.2">
      <c r="W7390" s="50"/>
    </row>
    <row r="7391" spans="23:23" x14ac:dyDescent="0.2">
      <c r="W7391" s="50"/>
    </row>
    <row r="7392" spans="23:23" x14ac:dyDescent="0.2">
      <c r="W7392" s="50"/>
    </row>
    <row r="7393" spans="23:23" x14ac:dyDescent="0.2">
      <c r="W7393" s="50"/>
    </row>
    <row r="7394" spans="23:23" x14ac:dyDescent="0.2">
      <c r="W7394" s="50"/>
    </row>
    <row r="7395" spans="23:23" x14ac:dyDescent="0.2">
      <c r="W7395" s="50"/>
    </row>
    <row r="7396" spans="23:23" x14ac:dyDescent="0.2">
      <c r="W7396" s="50"/>
    </row>
    <row r="7397" spans="23:23" x14ac:dyDescent="0.2">
      <c r="W7397" s="50"/>
    </row>
    <row r="7398" spans="23:23" x14ac:dyDescent="0.2">
      <c r="W7398" s="50"/>
    </row>
    <row r="7399" spans="23:23" x14ac:dyDescent="0.2">
      <c r="W7399" s="50"/>
    </row>
    <row r="7400" spans="23:23" x14ac:dyDescent="0.2">
      <c r="W7400" s="50"/>
    </row>
    <row r="7401" spans="23:23" x14ac:dyDescent="0.2">
      <c r="W7401" s="50"/>
    </row>
    <row r="7402" spans="23:23" x14ac:dyDescent="0.2">
      <c r="W7402" s="50"/>
    </row>
    <row r="7403" spans="23:23" x14ac:dyDescent="0.2">
      <c r="W7403" s="50"/>
    </row>
    <row r="7404" spans="23:23" x14ac:dyDescent="0.2">
      <c r="W7404" s="50"/>
    </row>
    <row r="7405" spans="23:23" x14ac:dyDescent="0.2">
      <c r="W7405" s="50"/>
    </row>
    <row r="7406" spans="23:23" x14ac:dyDescent="0.2">
      <c r="W7406" s="50"/>
    </row>
    <row r="7407" spans="23:23" x14ac:dyDescent="0.2">
      <c r="W7407" s="50"/>
    </row>
    <row r="7408" spans="23:23" x14ac:dyDescent="0.2">
      <c r="W7408" s="50"/>
    </row>
    <row r="7409" spans="23:23" x14ac:dyDescent="0.2">
      <c r="W7409" s="50"/>
    </row>
    <row r="7410" spans="23:23" x14ac:dyDescent="0.2">
      <c r="W7410" s="50"/>
    </row>
    <row r="7411" spans="23:23" x14ac:dyDescent="0.2">
      <c r="W7411" s="50"/>
    </row>
    <row r="7412" spans="23:23" x14ac:dyDescent="0.2">
      <c r="W7412" s="50"/>
    </row>
    <row r="7413" spans="23:23" x14ac:dyDescent="0.2">
      <c r="W7413" s="50"/>
    </row>
    <row r="7414" spans="23:23" x14ac:dyDescent="0.2">
      <c r="W7414" s="50"/>
    </row>
    <row r="7415" spans="23:23" x14ac:dyDescent="0.2">
      <c r="W7415" s="50"/>
    </row>
    <row r="7416" spans="23:23" x14ac:dyDescent="0.2">
      <c r="W7416" s="50"/>
    </row>
    <row r="7417" spans="23:23" x14ac:dyDescent="0.2">
      <c r="W7417" s="50"/>
    </row>
    <row r="7418" spans="23:23" x14ac:dyDescent="0.2">
      <c r="W7418" s="50"/>
    </row>
    <row r="7419" spans="23:23" x14ac:dyDescent="0.2">
      <c r="W7419" s="50"/>
    </row>
    <row r="7420" spans="23:23" x14ac:dyDescent="0.2">
      <c r="W7420" s="50"/>
    </row>
    <row r="7421" spans="23:23" x14ac:dyDescent="0.2">
      <c r="W7421" s="50"/>
    </row>
    <row r="7422" spans="23:23" x14ac:dyDescent="0.2">
      <c r="W7422" s="50"/>
    </row>
    <row r="7423" spans="23:23" x14ac:dyDescent="0.2">
      <c r="W7423" s="50"/>
    </row>
    <row r="7424" spans="23:23" x14ac:dyDescent="0.2">
      <c r="W7424" s="50"/>
    </row>
    <row r="7425" spans="23:23" x14ac:dyDescent="0.2">
      <c r="W7425" s="50"/>
    </row>
    <row r="7426" spans="23:23" x14ac:dyDescent="0.2">
      <c r="W7426" s="50"/>
    </row>
    <row r="7427" spans="23:23" x14ac:dyDescent="0.2">
      <c r="W7427" s="50"/>
    </row>
    <row r="7428" spans="23:23" x14ac:dyDescent="0.2">
      <c r="W7428" s="50"/>
    </row>
    <row r="7429" spans="23:23" x14ac:dyDescent="0.2">
      <c r="W7429" s="50"/>
    </row>
    <row r="7430" spans="23:23" x14ac:dyDescent="0.2">
      <c r="W7430" s="50"/>
    </row>
    <row r="7431" spans="23:23" x14ac:dyDescent="0.2">
      <c r="W7431" s="50"/>
    </row>
    <row r="7432" spans="23:23" x14ac:dyDescent="0.2">
      <c r="W7432" s="50"/>
    </row>
    <row r="7433" spans="23:23" x14ac:dyDescent="0.2">
      <c r="W7433" s="50"/>
    </row>
    <row r="7434" spans="23:23" x14ac:dyDescent="0.2">
      <c r="W7434" s="50"/>
    </row>
    <row r="7435" spans="23:23" x14ac:dyDescent="0.2">
      <c r="W7435" s="50"/>
    </row>
    <row r="7436" spans="23:23" x14ac:dyDescent="0.2">
      <c r="W7436" s="50"/>
    </row>
    <row r="7437" spans="23:23" x14ac:dyDescent="0.2">
      <c r="W7437" s="50"/>
    </row>
    <row r="7438" spans="23:23" x14ac:dyDescent="0.2">
      <c r="W7438" s="50"/>
    </row>
    <row r="7439" spans="23:23" x14ac:dyDescent="0.2">
      <c r="W7439" s="50"/>
    </row>
    <row r="7440" spans="23:23" x14ac:dyDescent="0.2">
      <c r="W7440" s="50"/>
    </row>
    <row r="7441" spans="23:23" x14ac:dyDescent="0.2">
      <c r="W7441" s="50"/>
    </row>
    <row r="7442" spans="23:23" x14ac:dyDescent="0.2">
      <c r="W7442" s="50"/>
    </row>
    <row r="7443" spans="23:23" x14ac:dyDescent="0.2">
      <c r="W7443" s="50"/>
    </row>
    <row r="7444" spans="23:23" x14ac:dyDescent="0.2">
      <c r="W7444" s="50"/>
    </row>
    <row r="7445" spans="23:23" x14ac:dyDescent="0.2">
      <c r="W7445" s="50"/>
    </row>
    <row r="7446" spans="23:23" x14ac:dyDescent="0.2">
      <c r="W7446" s="50"/>
    </row>
    <row r="7447" spans="23:23" x14ac:dyDescent="0.2">
      <c r="W7447" s="50"/>
    </row>
    <row r="7448" spans="23:23" x14ac:dyDescent="0.2">
      <c r="W7448" s="50"/>
    </row>
    <row r="7449" spans="23:23" x14ac:dyDescent="0.2">
      <c r="W7449" s="50"/>
    </row>
    <row r="7450" spans="23:23" x14ac:dyDescent="0.2">
      <c r="W7450" s="50"/>
    </row>
    <row r="7451" spans="23:23" x14ac:dyDescent="0.2">
      <c r="W7451" s="50"/>
    </row>
    <row r="7452" spans="23:23" x14ac:dyDescent="0.2">
      <c r="W7452" s="50"/>
    </row>
    <row r="7453" spans="23:23" x14ac:dyDescent="0.2">
      <c r="W7453" s="50"/>
    </row>
    <row r="7454" spans="23:23" x14ac:dyDescent="0.2">
      <c r="W7454" s="50"/>
    </row>
    <row r="7455" spans="23:23" x14ac:dyDescent="0.2">
      <c r="W7455" s="50"/>
    </row>
    <row r="7456" spans="23:23" x14ac:dyDescent="0.2">
      <c r="W7456" s="50"/>
    </row>
    <row r="7457" spans="23:23" x14ac:dyDescent="0.2">
      <c r="W7457" s="50"/>
    </row>
    <row r="7458" spans="23:23" x14ac:dyDescent="0.2">
      <c r="W7458" s="50"/>
    </row>
    <row r="7459" spans="23:23" x14ac:dyDescent="0.2">
      <c r="W7459" s="50"/>
    </row>
    <row r="7460" spans="23:23" x14ac:dyDescent="0.2">
      <c r="W7460" s="50"/>
    </row>
    <row r="7461" spans="23:23" x14ac:dyDescent="0.2">
      <c r="W7461" s="50"/>
    </row>
    <row r="7462" spans="23:23" x14ac:dyDescent="0.2">
      <c r="W7462" s="50"/>
    </row>
    <row r="7463" spans="23:23" x14ac:dyDescent="0.2">
      <c r="W7463" s="50"/>
    </row>
    <row r="7464" spans="23:23" x14ac:dyDescent="0.2">
      <c r="W7464" s="50"/>
    </row>
    <row r="7465" spans="23:23" x14ac:dyDescent="0.2">
      <c r="W7465" s="50"/>
    </row>
    <row r="7466" spans="23:23" x14ac:dyDescent="0.2">
      <c r="W7466" s="50"/>
    </row>
    <row r="7467" spans="23:23" x14ac:dyDescent="0.2">
      <c r="W7467" s="50"/>
    </row>
    <row r="7468" spans="23:23" x14ac:dyDescent="0.2">
      <c r="W7468" s="50"/>
    </row>
    <row r="7469" spans="23:23" x14ac:dyDescent="0.2">
      <c r="W7469" s="50"/>
    </row>
    <row r="7470" spans="23:23" x14ac:dyDescent="0.2">
      <c r="W7470" s="50"/>
    </row>
    <row r="7471" spans="23:23" x14ac:dyDescent="0.2">
      <c r="W7471" s="50"/>
    </row>
    <row r="7472" spans="23:23" x14ac:dyDescent="0.2">
      <c r="W7472" s="50"/>
    </row>
    <row r="7473" spans="23:23" x14ac:dyDescent="0.2">
      <c r="W7473" s="50"/>
    </row>
    <row r="7474" spans="23:23" x14ac:dyDescent="0.2">
      <c r="W7474" s="50"/>
    </row>
    <row r="7475" spans="23:23" x14ac:dyDescent="0.2">
      <c r="W7475" s="50"/>
    </row>
    <row r="7476" spans="23:23" x14ac:dyDescent="0.2">
      <c r="W7476" s="50"/>
    </row>
    <row r="7477" spans="23:23" x14ac:dyDescent="0.2">
      <c r="W7477" s="50"/>
    </row>
    <row r="7478" spans="23:23" x14ac:dyDescent="0.2">
      <c r="W7478" s="50"/>
    </row>
    <row r="7479" spans="23:23" x14ac:dyDescent="0.2">
      <c r="W7479" s="50"/>
    </row>
    <row r="7480" spans="23:23" x14ac:dyDescent="0.2">
      <c r="W7480" s="50"/>
    </row>
    <row r="7481" spans="23:23" x14ac:dyDescent="0.2">
      <c r="W7481" s="50"/>
    </row>
    <row r="7482" spans="23:23" x14ac:dyDescent="0.2">
      <c r="W7482" s="50"/>
    </row>
    <row r="7483" spans="23:23" x14ac:dyDescent="0.2">
      <c r="W7483" s="50"/>
    </row>
    <row r="7484" spans="23:23" x14ac:dyDescent="0.2">
      <c r="W7484" s="50"/>
    </row>
    <row r="7485" spans="23:23" x14ac:dyDescent="0.2">
      <c r="W7485" s="50"/>
    </row>
    <row r="7486" spans="23:23" x14ac:dyDescent="0.2">
      <c r="W7486" s="50"/>
    </row>
    <row r="7487" spans="23:23" x14ac:dyDescent="0.2">
      <c r="W7487" s="50"/>
    </row>
    <row r="7488" spans="23:23" x14ac:dyDescent="0.2">
      <c r="W7488" s="50"/>
    </row>
    <row r="7489" spans="23:23" x14ac:dyDescent="0.2">
      <c r="W7489" s="50"/>
    </row>
    <row r="7490" spans="23:23" x14ac:dyDescent="0.2">
      <c r="W7490" s="50"/>
    </row>
    <row r="7491" spans="23:23" x14ac:dyDescent="0.2">
      <c r="W7491" s="50"/>
    </row>
    <row r="7492" spans="23:23" x14ac:dyDescent="0.2">
      <c r="W7492" s="50"/>
    </row>
    <row r="7493" spans="23:23" x14ac:dyDescent="0.2">
      <c r="W7493" s="50"/>
    </row>
    <row r="7494" spans="23:23" x14ac:dyDescent="0.2">
      <c r="W7494" s="50"/>
    </row>
    <row r="7495" spans="23:23" x14ac:dyDescent="0.2">
      <c r="W7495" s="50"/>
    </row>
    <row r="7496" spans="23:23" x14ac:dyDescent="0.2">
      <c r="W7496" s="50"/>
    </row>
    <row r="7497" spans="23:23" x14ac:dyDescent="0.2">
      <c r="W7497" s="50"/>
    </row>
    <row r="7498" spans="23:23" x14ac:dyDescent="0.2">
      <c r="W7498" s="50"/>
    </row>
    <row r="7499" spans="23:23" x14ac:dyDescent="0.2">
      <c r="W7499" s="50"/>
    </row>
    <row r="7500" spans="23:23" x14ac:dyDescent="0.2">
      <c r="W7500" s="50"/>
    </row>
    <row r="7501" spans="23:23" x14ac:dyDescent="0.2">
      <c r="W7501" s="50"/>
    </row>
    <row r="7502" spans="23:23" x14ac:dyDescent="0.2">
      <c r="W7502" s="50"/>
    </row>
    <row r="7503" spans="23:23" x14ac:dyDescent="0.2">
      <c r="W7503" s="50"/>
    </row>
    <row r="7504" spans="23:23" x14ac:dyDescent="0.2">
      <c r="W7504" s="50"/>
    </row>
    <row r="7505" spans="23:23" x14ac:dyDescent="0.2">
      <c r="W7505" s="50"/>
    </row>
    <row r="7506" spans="23:23" x14ac:dyDescent="0.2">
      <c r="W7506" s="50"/>
    </row>
    <row r="7507" spans="23:23" x14ac:dyDescent="0.2">
      <c r="W7507" s="50"/>
    </row>
    <row r="7508" spans="23:23" x14ac:dyDescent="0.2">
      <c r="W7508" s="50"/>
    </row>
    <row r="7509" spans="23:23" x14ac:dyDescent="0.2">
      <c r="W7509" s="50"/>
    </row>
    <row r="7510" spans="23:23" x14ac:dyDescent="0.2">
      <c r="W7510" s="50"/>
    </row>
    <row r="7511" spans="23:23" x14ac:dyDescent="0.2">
      <c r="W7511" s="50"/>
    </row>
    <row r="7512" spans="23:23" x14ac:dyDescent="0.2">
      <c r="W7512" s="50"/>
    </row>
    <row r="7513" spans="23:23" x14ac:dyDescent="0.2">
      <c r="W7513" s="50"/>
    </row>
    <row r="7514" spans="23:23" x14ac:dyDescent="0.2">
      <c r="W7514" s="50"/>
    </row>
    <row r="7515" spans="23:23" x14ac:dyDescent="0.2">
      <c r="W7515" s="50"/>
    </row>
    <row r="7516" spans="23:23" x14ac:dyDescent="0.2">
      <c r="W7516" s="50"/>
    </row>
    <row r="7517" spans="23:23" x14ac:dyDescent="0.2">
      <c r="W7517" s="50"/>
    </row>
    <row r="7518" spans="23:23" x14ac:dyDescent="0.2">
      <c r="W7518" s="50"/>
    </row>
    <row r="7519" spans="23:23" x14ac:dyDescent="0.2">
      <c r="W7519" s="50"/>
    </row>
    <row r="7520" spans="23:23" x14ac:dyDescent="0.2">
      <c r="W7520" s="50"/>
    </row>
    <row r="7521" spans="23:23" x14ac:dyDescent="0.2">
      <c r="W7521" s="50"/>
    </row>
    <row r="7522" spans="23:23" x14ac:dyDescent="0.2">
      <c r="W7522" s="50"/>
    </row>
    <row r="7523" spans="23:23" x14ac:dyDescent="0.2">
      <c r="W7523" s="50"/>
    </row>
    <row r="7524" spans="23:23" x14ac:dyDescent="0.2">
      <c r="W7524" s="50"/>
    </row>
    <row r="7525" spans="23:23" x14ac:dyDescent="0.2">
      <c r="W7525" s="50"/>
    </row>
    <row r="7526" spans="23:23" x14ac:dyDescent="0.2">
      <c r="W7526" s="50"/>
    </row>
    <row r="7527" spans="23:23" x14ac:dyDescent="0.2">
      <c r="W7527" s="50"/>
    </row>
    <row r="7528" spans="23:23" x14ac:dyDescent="0.2">
      <c r="W7528" s="50"/>
    </row>
    <row r="7529" spans="23:23" x14ac:dyDescent="0.2">
      <c r="W7529" s="50"/>
    </row>
    <row r="7530" spans="23:23" x14ac:dyDescent="0.2">
      <c r="W7530" s="50"/>
    </row>
    <row r="7531" spans="23:23" x14ac:dyDescent="0.2">
      <c r="W7531" s="50"/>
    </row>
    <row r="7532" spans="23:23" x14ac:dyDescent="0.2">
      <c r="W7532" s="50"/>
    </row>
    <row r="7533" spans="23:23" x14ac:dyDescent="0.2">
      <c r="W7533" s="50"/>
    </row>
    <row r="7534" spans="23:23" x14ac:dyDescent="0.2">
      <c r="W7534" s="50"/>
    </row>
    <row r="7535" spans="23:23" x14ac:dyDescent="0.2">
      <c r="W7535" s="50"/>
    </row>
    <row r="7536" spans="23:23" x14ac:dyDescent="0.2">
      <c r="W7536" s="50"/>
    </row>
    <row r="7537" spans="23:23" x14ac:dyDescent="0.2">
      <c r="W7537" s="50"/>
    </row>
    <row r="7538" spans="23:23" x14ac:dyDescent="0.2">
      <c r="W7538" s="50"/>
    </row>
    <row r="7539" spans="23:23" x14ac:dyDescent="0.2">
      <c r="W7539" s="50"/>
    </row>
    <row r="7540" spans="23:23" x14ac:dyDescent="0.2">
      <c r="W7540" s="50"/>
    </row>
    <row r="7541" spans="23:23" x14ac:dyDescent="0.2">
      <c r="W7541" s="50"/>
    </row>
    <row r="7542" spans="23:23" x14ac:dyDescent="0.2">
      <c r="W7542" s="50"/>
    </row>
    <row r="7543" spans="23:23" x14ac:dyDescent="0.2">
      <c r="W7543" s="50"/>
    </row>
    <row r="7544" spans="23:23" x14ac:dyDescent="0.2">
      <c r="W7544" s="50"/>
    </row>
    <row r="7545" spans="23:23" x14ac:dyDescent="0.2">
      <c r="W7545" s="50"/>
    </row>
    <row r="7546" spans="23:23" x14ac:dyDescent="0.2">
      <c r="W7546" s="50"/>
    </row>
    <row r="7547" spans="23:23" x14ac:dyDescent="0.2">
      <c r="W7547" s="50"/>
    </row>
    <row r="7548" spans="23:23" x14ac:dyDescent="0.2">
      <c r="W7548" s="50"/>
    </row>
    <row r="7549" spans="23:23" x14ac:dyDescent="0.2">
      <c r="W7549" s="50"/>
    </row>
    <row r="7550" spans="23:23" x14ac:dyDescent="0.2">
      <c r="W7550" s="50"/>
    </row>
    <row r="7551" spans="23:23" x14ac:dyDescent="0.2">
      <c r="W7551" s="50"/>
    </row>
    <row r="7552" spans="23:23" x14ac:dyDescent="0.2">
      <c r="W7552" s="50"/>
    </row>
    <row r="7553" spans="23:23" x14ac:dyDescent="0.2">
      <c r="W7553" s="50"/>
    </row>
    <row r="7554" spans="23:23" x14ac:dyDescent="0.2">
      <c r="W7554" s="50"/>
    </row>
    <row r="7555" spans="23:23" x14ac:dyDescent="0.2">
      <c r="W7555" s="50"/>
    </row>
    <row r="7556" spans="23:23" x14ac:dyDescent="0.2">
      <c r="W7556" s="50"/>
    </row>
    <row r="7557" spans="23:23" x14ac:dyDescent="0.2">
      <c r="W7557" s="50"/>
    </row>
    <row r="7558" spans="23:23" x14ac:dyDescent="0.2">
      <c r="W7558" s="50"/>
    </row>
    <row r="7559" spans="23:23" x14ac:dyDescent="0.2">
      <c r="W7559" s="50"/>
    </row>
    <row r="7560" spans="23:23" x14ac:dyDescent="0.2">
      <c r="W7560" s="50"/>
    </row>
    <row r="7561" spans="23:23" x14ac:dyDescent="0.2">
      <c r="W7561" s="50"/>
    </row>
    <row r="7562" spans="23:23" x14ac:dyDescent="0.2">
      <c r="W7562" s="50"/>
    </row>
    <row r="7563" spans="23:23" x14ac:dyDescent="0.2">
      <c r="W7563" s="50"/>
    </row>
    <row r="7564" spans="23:23" x14ac:dyDescent="0.2">
      <c r="W7564" s="50"/>
    </row>
    <row r="7565" spans="23:23" x14ac:dyDescent="0.2">
      <c r="W7565" s="50"/>
    </row>
    <row r="7566" spans="23:23" x14ac:dyDescent="0.2">
      <c r="W7566" s="50"/>
    </row>
    <row r="7567" spans="23:23" x14ac:dyDescent="0.2">
      <c r="W7567" s="50"/>
    </row>
    <row r="7568" spans="23:23" x14ac:dyDescent="0.2">
      <c r="W7568" s="50"/>
    </row>
    <row r="7569" spans="23:23" x14ac:dyDescent="0.2">
      <c r="W7569" s="50"/>
    </row>
    <row r="7570" spans="23:23" x14ac:dyDescent="0.2">
      <c r="W7570" s="50"/>
    </row>
    <row r="7571" spans="23:23" x14ac:dyDescent="0.2">
      <c r="W7571" s="50"/>
    </row>
    <row r="7572" spans="23:23" x14ac:dyDescent="0.2">
      <c r="W7572" s="50"/>
    </row>
    <row r="7573" spans="23:23" x14ac:dyDescent="0.2">
      <c r="W7573" s="50"/>
    </row>
    <row r="7574" spans="23:23" x14ac:dyDescent="0.2">
      <c r="W7574" s="50"/>
    </row>
    <row r="7575" spans="23:23" x14ac:dyDescent="0.2">
      <c r="W7575" s="50"/>
    </row>
    <row r="7576" spans="23:23" x14ac:dyDescent="0.2">
      <c r="W7576" s="50"/>
    </row>
    <row r="7577" spans="23:23" x14ac:dyDescent="0.2">
      <c r="W7577" s="50"/>
    </row>
    <row r="7578" spans="23:23" x14ac:dyDescent="0.2">
      <c r="W7578" s="50"/>
    </row>
    <row r="7579" spans="23:23" x14ac:dyDescent="0.2">
      <c r="W7579" s="50"/>
    </row>
    <row r="7580" spans="23:23" x14ac:dyDescent="0.2">
      <c r="W7580" s="50"/>
    </row>
    <row r="7581" spans="23:23" x14ac:dyDescent="0.2">
      <c r="W7581" s="50"/>
    </row>
    <row r="7582" spans="23:23" x14ac:dyDescent="0.2">
      <c r="W7582" s="50"/>
    </row>
    <row r="7583" spans="23:23" x14ac:dyDescent="0.2">
      <c r="W7583" s="50"/>
    </row>
    <row r="7584" spans="23:23" x14ac:dyDescent="0.2">
      <c r="W7584" s="50"/>
    </row>
    <row r="7585" spans="23:23" x14ac:dyDescent="0.2">
      <c r="W7585" s="50"/>
    </row>
    <row r="7586" spans="23:23" x14ac:dyDescent="0.2">
      <c r="W7586" s="50"/>
    </row>
    <row r="7587" spans="23:23" x14ac:dyDescent="0.2">
      <c r="W7587" s="50"/>
    </row>
    <row r="7588" spans="23:23" x14ac:dyDescent="0.2">
      <c r="W7588" s="50"/>
    </row>
    <row r="7589" spans="23:23" x14ac:dyDescent="0.2">
      <c r="W7589" s="50"/>
    </row>
    <row r="7590" spans="23:23" x14ac:dyDescent="0.2">
      <c r="W7590" s="50"/>
    </row>
    <row r="7591" spans="23:23" x14ac:dyDescent="0.2">
      <c r="W7591" s="50"/>
    </row>
    <row r="7592" spans="23:23" x14ac:dyDescent="0.2">
      <c r="W7592" s="50"/>
    </row>
    <row r="7593" spans="23:23" x14ac:dyDescent="0.2">
      <c r="W7593" s="50"/>
    </row>
    <row r="7594" spans="23:23" x14ac:dyDescent="0.2">
      <c r="W7594" s="50"/>
    </row>
    <row r="7595" spans="23:23" x14ac:dyDescent="0.2">
      <c r="W7595" s="50"/>
    </row>
    <row r="7596" spans="23:23" x14ac:dyDescent="0.2">
      <c r="W7596" s="50"/>
    </row>
    <row r="7597" spans="23:23" x14ac:dyDescent="0.2">
      <c r="W7597" s="50"/>
    </row>
    <row r="7598" spans="23:23" x14ac:dyDescent="0.2">
      <c r="W7598" s="50"/>
    </row>
    <row r="7599" spans="23:23" x14ac:dyDescent="0.2">
      <c r="W7599" s="50"/>
    </row>
    <row r="7600" spans="23:23" x14ac:dyDescent="0.2">
      <c r="W7600" s="50"/>
    </row>
    <row r="7601" spans="23:23" x14ac:dyDescent="0.2">
      <c r="W7601" s="50"/>
    </row>
    <row r="7602" spans="23:23" x14ac:dyDescent="0.2">
      <c r="W7602" s="50"/>
    </row>
    <row r="7603" spans="23:23" x14ac:dyDescent="0.2">
      <c r="W7603" s="50"/>
    </row>
    <row r="7604" spans="23:23" x14ac:dyDescent="0.2">
      <c r="W7604" s="50"/>
    </row>
    <row r="7605" spans="23:23" x14ac:dyDescent="0.2">
      <c r="W7605" s="50"/>
    </row>
    <row r="7606" spans="23:23" x14ac:dyDescent="0.2">
      <c r="W7606" s="50"/>
    </row>
    <row r="7607" spans="23:23" x14ac:dyDescent="0.2">
      <c r="W7607" s="50"/>
    </row>
    <row r="7608" spans="23:23" x14ac:dyDescent="0.2">
      <c r="W7608" s="50"/>
    </row>
    <row r="7609" spans="23:23" x14ac:dyDescent="0.2">
      <c r="W7609" s="50"/>
    </row>
    <row r="7610" spans="23:23" x14ac:dyDescent="0.2">
      <c r="W7610" s="50"/>
    </row>
    <row r="7611" spans="23:23" x14ac:dyDescent="0.2">
      <c r="W7611" s="50"/>
    </row>
    <row r="7612" spans="23:23" x14ac:dyDescent="0.2">
      <c r="W7612" s="50"/>
    </row>
    <row r="7613" spans="23:23" x14ac:dyDescent="0.2">
      <c r="W7613" s="50"/>
    </row>
    <row r="7614" spans="23:23" x14ac:dyDescent="0.2">
      <c r="W7614" s="50"/>
    </row>
    <row r="7615" spans="23:23" x14ac:dyDescent="0.2">
      <c r="W7615" s="50"/>
    </row>
    <row r="7616" spans="23:23" x14ac:dyDescent="0.2">
      <c r="W7616" s="50"/>
    </row>
    <row r="7617" spans="23:23" x14ac:dyDescent="0.2">
      <c r="W7617" s="50"/>
    </row>
    <row r="7618" spans="23:23" x14ac:dyDescent="0.2">
      <c r="W7618" s="50"/>
    </row>
    <row r="7619" spans="23:23" x14ac:dyDescent="0.2">
      <c r="W7619" s="50"/>
    </row>
    <row r="7620" spans="23:23" x14ac:dyDescent="0.2">
      <c r="W7620" s="50"/>
    </row>
    <row r="7621" spans="23:23" x14ac:dyDescent="0.2">
      <c r="W7621" s="50"/>
    </row>
    <row r="7622" spans="23:23" x14ac:dyDescent="0.2">
      <c r="W7622" s="50"/>
    </row>
    <row r="7623" spans="23:23" x14ac:dyDescent="0.2">
      <c r="W7623" s="50"/>
    </row>
    <row r="7624" spans="23:23" x14ac:dyDescent="0.2">
      <c r="W7624" s="50"/>
    </row>
    <row r="7625" spans="23:23" x14ac:dyDescent="0.2">
      <c r="W7625" s="50"/>
    </row>
    <row r="7626" spans="23:23" x14ac:dyDescent="0.2">
      <c r="W7626" s="50"/>
    </row>
    <row r="7627" spans="23:23" x14ac:dyDescent="0.2">
      <c r="W7627" s="50"/>
    </row>
    <row r="7628" spans="23:23" x14ac:dyDescent="0.2">
      <c r="W7628" s="50"/>
    </row>
    <row r="7629" spans="23:23" x14ac:dyDescent="0.2">
      <c r="W7629" s="50"/>
    </row>
    <row r="7630" spans="23:23" x14ac:dyDescent="0.2">
      <c r="W7630" s="50"/>
    </row>
    <row r="7631" spans="23:23" x14ac:dyDescent="0.2">
      <c r="W7631" s="50"/>
    </row>
    <row r="7632" spans="23:23" x14ac:dyDescent="0.2">
      <c r="W7632" s="50"/>
    </row>
    <row r="7633" spans="23:23" x14ac:dyDescent="0.2">
      <c r="W7633" s="50"/>
    </row>
    <row r="7634" spans="23:23" x14ac:dyDescent="0.2">
      <c r="W7634" s="50"/>
    </row>
    <row r="7635" spans="23:23" x14ac:dyDescent="0.2">
      <c r="W7635" s="50"/>
    </row>
    <row r="7636" spans="23:23" x14ac:dyDescent="0.2">
      <c r="W7636" s="50"/>
    </row>
    <row r="7637" spans="23:23" x14ac:dyDescent="0.2">
      <c r="W7637" s="50"/>
    </row>
    <row r="7638" spans="23:23" x14ac:dyDescent="0.2">
      <c r="W7638" s="50"/>
    </row>
    <row r="7639" spans="23:23" x14ac:dyDescent="0.2">
      <c r="W7639" s="50"/>
    </row>
    <row r="7640" spans="23:23" x14ac:dyDescent="0.2">
      <c r="W7640" s="50"/>
    </row>
    <row r="7641" spans="23:23" x14ac:dyDescent="0.2">
      <c r="W7641" s="50"/>
    </row>
    <row r="7642" spans="23:23" x14ac:dyDescent="0.2">
      <c r="W7642" s="50"/>
    </row>
    <row r="7643" spans="23:23" x14ac:dyDescent="0.2">
      <c r="W7643" s="50"/>
    </row>
    <row r="7644" spans="23:23" x14ac:dyDescent="0.2">
      <c r="W7644" s="50"/>
    </row>
    <row r="7645" spans="23:23" x14ac:dyDescent="0.2">
      <c r="W7645" s="50"/>
    </row>
    <row r="7646" spans="23:23" x14ac:dyDescent="0.2">
      <c r="W7646" s="50"/>
    </row>
    <row r="7647" spans="23:23" x14ac:dyDescent="0.2">
      <c r="W7647" s="50"/>
    </row>
    <row r="7648" spans="23:23" x14ac:dyDescent="0.2">
      <c r="W7648" s="50"/>
    </row>
    <row r="7649" spans="23:23" x14ac:dyDescent="0.2">
      <c r="W7649" s="50"/>
    </row>
    <row r="7650" spans="23:23" x14ac:dyDescent="0.2">
      <c r="W7650" s="50"/>
    </row>
    <row r="7651" spans="23:23" x14ac:dyDescent="0.2">
      <c r="W7651" s="50"/>
    </row>
    <row r="7652" spans="23:23" x14ac:dyDescent="0.2">
      <c r="W7652" s="50"/>
    </row>
    <row r="7653" spans="23:23" x14ac:dyDescent="0.2">
      <c r="W7653" s="50"/>
    </row>
    <row r="7654" spans="23:23" x14ac:dyDescent="0.2">
      <c r="W7654" s="50"/>
    </row>
    <row r="7655" spans="23:23" x14ac:dyDescent="0.2">
      <c r="W7655" s="50"/>
    </row>
    <row r="7656" spans="23:23" x14ac:dyDescent="0.2">
      <c r="W7656" s="50"/>
    </row>
    <row r="7657" spans="23:23" x14ac:dyDescent="0.2">
      <c r="W7657" s="50"/>
    </row>
    <row r="7658" spans="23:23" x14ac:dyDescent="0.2">
      <c r="W7658" s="50"/>
    </row>
    <row r="7659" spans="23:23" x14ac:dyDescent="0.2">
      <c r="W7659" s="50"/>
    </row>
    <row r="7660" spans="23:23" x14ac:dyDescent="0.2">
      <c r="W7660" s="50"/>
    </row>
    <row r="7661" spans="23:23" x14ac:dyDescent="0.2">
      <c r="W7661" s="50"/>
    </row>
    <row r="7662" spans="23:23" x14ac:dyDescent="0.2">
      <c r="W7662" s="50"/>
    </row>
    <row r="7663" spans="23:23" x14ac:dyDescent="0.2">
      <c r="W7663" s="50"/>
    </row>
    <row r="7664" spans="23:23" x14ac:dyDescent="0.2">
      <c r="W7664" s="50"/>
    </row>
    <row r="7665" spans="23:23" x14ac:dyDescent="0.2">
      <c r="W7665" s="50"/>
    </row>
    <row r="7666" spans="23:23" x14ac:dyDescent="0.2">
      <c r="W7666" s="50"/>
    </row>
    <row r="7667" spans="23:23" x14ac:dyDescent="0.2">
      <c r="W7667" s="50"/>
    </row>
    <row r="7668" spans="23:23" x14ac:dyDescent="0.2">
      <c r="W7668" s="50"/>
    </row>
    <row r="7669" spans="23:23" x14ac:dyDescent="0.2">
      <c r="W7669" s="50"/>
    </row>
    <row r="7670" spans="23:23" x14ac:dyDescent="0.2">
      <c r="W7670" s="50"/>
    </row>
    <row r="7671" spans="23:23" x14ac:dyDescent="0.2">
      <c r="W7671" s="50"/>
    </row>
    <row r="7672" spans="23:23" x14ac:dyDescent="0.2">
      <c r="W7672" s="50"/>
    </row>
    <row r="7673" spans="23:23" x14ac:dyDescent="0.2">
      <c r="W7673" s="50"/>
    </row>
    <row r="7674" spans="23:23" x14ac:dyDescent="0.2">
      <c r="W7674" s="50"/>
    </row>
    <row r="7675" spans="23:23" x14ac:dyDescent="0.2">
      <c r="W7675" s="50"/>
    </row>
    <row r="7676" spans="23:23" x14ac:dyDescent="0.2">
      <c r="W7676" s="50"/>
    </row>
    <row r="7677" spans="23:23" x14ac:dyDescent="0.2">
      <c r="W7677" s="50"/>
    </row>
    <row r="7678" spans="23:23" x14ac:dyDescent="0.2">
      <c r="W7678" s="50"/>
    </row>
    <row r="7679" spans="23:23" x14ac:dyDescent="0.2">
      <c r="W7679" s="50"/>
    </row>
    <row r="7680" spans="23:23" x14ac:dyDescent="0.2">
      <c r="W7680" s="50"/>
    </row>
    <row r="7681" spans="23:23" x14ac:dyDescent="0.2">
      <c r="W7681" s="50"/>
    </row>
    <row r="7682" spans="23:23" x14ac:dyDescent="0.2">
      <c r="W7682" s="50"/>
    </row>
    <row r="7683" spans="23:23" x14ac:dyDescent="0.2">
      <c r="W7683" s="50"/>
    </row>
    <row r="7684" spans="23:23" x14ac:dyDescent="0.2">
      <c r="W7684" s="50"/>
    </row>
    <row r="7685" spans="23:23" x14ac:dyDescent="0.2">
      <c r="W7685" s="50"/>
    </row>
    <row r="7686" spans="23:23" x14ac:dyDescent="0.2">
      <c r="W7686" s="50"/>
    </row>
    <row r="7687" spans="23:23" x14ac:dyDescent="0.2">
      <c r="W7687" s="50"/>
    </row>
    <row r="7688" spans="23:23" x14ac:dyDescent="0.2">
      <c r="W7688" s="50"/>
    </row>
    <row r="7689" spans="23:23" x14ac:dyDescent="0.2">
      <c r="W7689" s="50"/>
    </row>
    <row r="7690" spans="23:23" x14ac:dyDescent="0.2">
      <c r="W7690" s="50"/>
    </row>
    <row r="7691" spans="23:23" x14ac:dyDescent="0.2">
      <c r="W7691" s="50"/>
    </row>
    <row r="7692" spans="23:23" x14ac:dyDescent="0.2">
      <c r="W7692" s="50"/>
    </row>
    <row r="7693" spans="23:23" x14ac:dyDescent="0.2">
      <c r="W7693" s="50"/>
    </row>
    <row r="7694" spans="23:23" x14ac:dyDescent="0.2">
      <c r="W7694" s="50"/>
    </row>
    <row r="7695" spans="23:23" x14ac:dyDescent="0.2">
      <c r="W7695" s="50"/>
    </row>
    <row r="7696" spans="23:23" x14ac:dyDescent="0.2">
      <c r="W7696" s="50"/>
    </row>
    <row r="7697" spans="23:23" x14ac:dyDescent="0.2">
      <c r="W7697" s="50"/>
    </row>
    <row r="7698" spans="23:23" x14ac:dyDescent="0.2">
      <c r="W7698" s="50"/>
    </row>
    <row r="7699" spans="23:23" x14ac:dyDescent="0.2">
      <c r="W7699" s="50"/>
    </row>
    <row r="7700" spans="23:23" x14ac:dyDescent="0.2">
      <c r="W7700" s="50"/>
    </row>
    <row r="7701" spans="23:23" x14ac:dyDescent="0.2">
      <c r="W7701" s="50"/>
    </row>
    <row r="7702" spans="23:23" x14ac:dyDescent="0.2">
      <c r="W7702" s="50"/>
    </row>
    <row r="7703" spans="23:23" x14ac:dyDescent="0.2">
      <c r="W7703" s="50"/>
    </row>
    <row r="7704" spans="23:23" x14ac:dyDescent="0.2">
      <c r="W7704" s="50"/>
    </row>
    <row r="7705" spans="23:23" x14ac:dyDescent="0.2">
      <c r="W7705" s="50"/>
    </row>
    <row r="7706" spans="23:23" x14ac:dyDescent="0.2">
      <c r="W7706" s="50"/>
    </row>
    <row r="7707" spans="23:23" x14ac:dyDescent="0.2">
      <c r="W7707" s="50"/>
    </row>
    <row r="7708" spans="23:23" x14ac:dyDescent="0.2">
      <c r="W7708" s="50"/>
    </row>
    <row r="7709" spans="23:23" x14ac:dyDescent="0.2">
      <c r="W7709" s="50"/>
    </row>
    <row r="7710" spans="23:23" x14ac:dyDescent="0.2">
      <c r="W7710" s="50"/>
    </row>
    <row r="7711" spans="23:23" x14ac:dyDescent="0.2">
      <c r="W7711" s="50"/>
    </row>
    <row r="7712" spans="23:23" x14ac:dyDescent="0.2">
      <c r="W7712" s="50"/>
    </row>
    <row r="7713" spans="23:23" x14ac:dyDescent="0.2">
      <c r="W7713" s="50"/>
    </row>
    <row r="7714" spans="23:23" x14ac:dyDescent="0.2">
      <c r="W7714" s="50"/>
    </row>
    <row r="7715" spans="23:23" x14ac:dyDescent="0.2">
      <c r="W7715" s="50"/>
    </row>
    <row r="7716" spans="23:23" x14ac:dyDescent="0.2">
      <c r="W7716" s="50"/>
    </row>
    <row r="7717" spans="23:23" x14ac:dyDescent="0.2">
      <c r="W7717" s="50"/>
    </row>
    <row r="7718" spans="23:23" x14ac:dyDescent="0.2">
      <c r="W7718" s="50"/>
    </row>
    <row r="7719" spans="23:23" x14ac:dyDescent="0.2">
      <c r="W7719" s="50"/>
    </row>
    <row r="7720" spans="23:23" x14ac:dyDescent="0.2">
      <c r="W7720" s="50"/>
    </row>
    <row r="7721" spans="23:23" x14ac:dyDescent="0.2">
      <c r="W7721" s="50"/>
    </row>
    <row r="7722" spans="23:23" x14ac:dyDescent="0.2">
      <c r="W7722" s="50"/>
    </row>
    <row r="7723" spans="23:23" x14ac:dyDescent="0.2">
      <c r="W7723" s="50"/>
    </row>
    <row r="7724" spans="23:23" x14ac:dyDescent="0.2">
      <c r="W7724" s="50"/>
    </row>
    <row r="7725" spans="23:23" x14ac:dyDescent="0.2">
      <c r="W7725" s="50"/>
    </row>
    <row r="7726" spans="23:23" x14ac:dyDescent="0.2">
      <c r="W7726" s="50"/>
    </row>
    <row r="7727" spans="23:23" x14ac:dyDescent="0.2">
      <c r="W7727" s="50"/>
    </row>
    <row r="7728" spans="23:23" x14ac:dyDescent="0.2">
      <c r="W7728" s="50"/>
    </row>
    <row r="7729" spans="23:23" x14ac:dyDescent="0.2">
      <c r="W7729" s="50"/>
    </row>
    <row r="7730" spans="23:23" x14ac:dyDescent="0.2">
      <c r="W7730" s="50"/>
    </row>
    <row r="7731" spans="23:23" x14ac:dyDescent="0.2">
      <c r="W7731" s="50"/>
    </row>
    <row r="7732" spans="23:23" x14ac:dyDescent="0.2">
      <c r="W7732" s="50"/>
    </row>
    <row r="7733" spans="23:23" x14ac:dyDescent="0.2">
      <c r="W7733" s="50"/>
    </row>
    <row r="7734" spans="23:23" x14ac:dyDescent="0.2">
      <c r="W7734" s="50"/>
    </row>
    <row r="7735" spans="23:23" x14ac:dyDescent="0.2">
      <c r="W7735" s="50"/>
    </row>
    <row r="7736" spans="23:23" x14ac:dyDescent="0.2">
      <c r="W7736" s="50"/>
    </row>
    <row r="7737" spans="23:23" x14ac:dyDescent="0.2">
      <c r="W7737" s="50"/>
    </row>
    <row r="7738" spans="23:23" x14ac:dyDescent="0.2">
      <c r="W7738" s="50"/>
    </row>
    <row r="7739" spans="23:23" x14ac:dyDescent="0.2">
      <c r="W7739" s="50"/>
    </row>
    <row r="7740" spans="23:23" x14ac:dyDescent="0.2">
      <c r="W7740" s="50"/>
    </row>
    <row r="7741" spans="23:23" x14ac:dyDescent="0.2">
      <c r="W7741" s="50"/>
    </row>
    <row r="7742" spans="23:23" x14ac:dyDescent="0.2">
      <c r="W7742" s="50"/>
    </row>
    <row r="7743" spans="23:23" x14ac:dyDescent="0.2">
      <c r="W7743" s="50"/>
    </row>
    <row r="7744" spans="23:23" x14ac:dyDescent="0.2">
      <c r="W7744" s="50"/>
    </row>
    <row r="7745" spans="23:23" x14ac:dyDescent="0.2">
      <c r="W7745" s="50"/>
    </row>
    <row r="7746" spans="23:23" x14ac:dyDescent="0.2">
      <c r="W7746" s="50"/>
    </row>
    <row r="7747" spans="23:23" x14ac:dyDescent="0.2">
      <c r="W7747" s="50"/>
    </row>
    <row r="7748" spans="23:23" x14ac:dyDescent="0.2">
      <c r="W7748" s="50"/>
    </row>
    <row r="7749" spans="23:23" x14ac:dyDescent="0.2">
      <c r="W7749" s="50"/>
    </row>
    <row r="7750" spans="23:23" x14ac:dyDescent="0.2">
      <c r="W7750" s="50"/>
    </row>
    <row r="7751" spans="23:23" x14ac:dyDescent="0.2">
      <c r="W7751" s="50"/>
    </row>
    <row r="7752" spans="23:23" x14ac:dyDescent="0.2">
      <c r="W7752" s="50"/>
    </row>
    <row r="7753" spans="23:23" x14ac:dyDescent="0.2">
      <c r="W7753" s="50"/>
    </row>
    <row r="7754" spans="23:23" x14ac:dyDescent="0.2">
      <c r="W7754" s="50"/>
    </row>
    <row r="7755" spans="23:23" x14ac:dyDescent="0.2">
      <c r="W7755" s="50"/>
    </row>
    <row r="7756" spans="23:23" x14ac:dyDescent="0.2">
      <c r="W7756" s="50"/>
    </row>
    <row r="7757" spans="23:23" x14ac:dyDescent="0.2">
      <c r="W7757" s="50"/>
    </row>
    <row r="7758" spans="23:23" x14ac:dyDescent="0.2">
      <c r="W7758" s="50"/>
    </row>
    <row r="7759" spans="23:23" x14ac:dyDescent="0.2">
      <c r="W7759" s="50"/>
    </row>
    <row r="7760" spans="23:23" x14ac:dyDescent="0.2">
      <c r="W7760" s="50"/>
    </row>
    <row r="7761" spans="23:23" x14ac:dyDescent="0.2">
      <c r="W7761" s="50"/>
    </row>
    <row r="7762" spans="23:23" x14ac:dyDescent="0.2">
      <c r="W7762" s="50"/>
    </row>
    <row r="7763" spans="23:23" x14ac:dyDescent="0.2">
      <c r="W7763" s="50"/>
    </row>
    <row r="7764" spans="23:23" x14ac:dyDescent="0.2">
      <c r="W7764" s="50"/>
    </row>
    <row r="7765" spans="23:23" x14ac:dyDescent="0.2">
      <c r="W7765" s="50"/>
    </row>
    <row r="7766" spans="23:23" x14ac:dyDescent="0.2">
      <c r="W7766" s="50"/>
    </row>
    <row r="7767" spans="23:23" x14ac:dyDescent="0.2">
      <c r="W7767" s="50"/>
    </row>
    <row r="7768" spans="23:23" x14ac:dyDescent="0.2">
      <c r="W7768" s="50"/>
    </row>
    <row r="7769" spans="23:23" x14ac:dyDescent="0.2">
      <c r="W7769" s="50"/>
    </row>
    <row r="7770" spans="23:23" x14ac:dyDescent="0.2">
      <c r="W7770" s="50"/>
    </row>
    <row r="7771" spans="23:23" x14ac:dyDescent="0.2">
      <c r="W7771" s="50"/>
    </row>
    <row r="7772" spans="23:23" x14ac:dyDescent="0.2">
      <c r="W7772" s="50"/>
    </row>
    <row r="7773" spans="23:23" x14ac:dyDescent="0.2">
      <c r="W7773" s="50"/>
    </row>
    <row r="7774" spans="23:23" x14ac:dyDescent="0.2">
      <c r="W7774" s="50"/>
    </row>
    <row r="7775" spans="23:23" x14ac:dyDescent="0.2">
      <c r="W7775" s="50"/>
    </row>
    <row r="7776" spans="23:23" x14ac:dyDescent="0.2">
      <c r="W7776" s="50"/>
    </row>
    <row r="7777" spans="23:23" x14ac:dyDescent="0.2">
      <c r="W7777" s="50"/>
    </row>
    <row r="7778" spans="23:23" x14ac:dyDescent="0.2">
      <c r="W7778" s="50"/>
    </row>
    <row r="7779" spans="23:23" x14ac:dyDescent="0.2">
      <c r="W7779" s="50"/>
    </row>
    <row r="7780" spans="23:23" x14ac:dyDescent="0.2">
      <c r="W7780" s="50"/>
    </row>
    <row r="7781" spans="23:23" x14ac:dyDescent="0.2">
      <c r="W7781" s="50"/>
    </row>
    <row r="7782" spans="23:23" x14ac:dyDescent="0.2">
      <c r="W7782" s="50"/>
    </row>
    <row r="7783" spans="23:23" x14ac:dyDescent="0.2">
      <c r="W7783" s="50"/>
    </row>
    <row r="7784" spans="23:23" x14ac:dyDescent="0.2">
      <c r="W7784" s="50"/>
    </row>
    <row r="7785" spans="23:23" x14ac:dyDescent="0.2">
      <c r="W7785" s="50"/>
    </row>
    <row r="7786" spans="23:23" x14ac:dyDescent="0.2">
      <c r="W7786" s="50"/>
    </row>
    <row r="7787" spans="23:23" x14ac:dyDescent="0.2">
      <c r="W7787" s="50"/>
    </row>
    <row r="7788" spans="23:23" x14ac:dyDescent="0.2">
      <c r="W7788" s="50"/>
    </row>
    <row r="7789" spans="23:23" x14ac:dyDescent="0.2">
      <c r="W7789" s="50"/>
    </row>
    <row r="7790" spans="23:23" x14ac:dyDescent="0.2">
      <c r="W7790" s="50"/>
    </row>
    <row r="7791" spans="23:23" x14ac:dyDescent="0.2">
      <c r="W7791" s="50"/>
    </row>
    <row r="7792" spans="23:23" x14ac:dyDescent="0.2">
      <c r="W7792" s="50"/>
    </row>
    <row r="7793" spans="23:23" x14ac:dyDescent="0.2">
      <c r="W7793" s="50"/>
    </row>
    <row r="7794" spans="23:23" x14ac:dyDescent="0.2">
      <c r="W7794" s="50"/>
    </row>
    <row r="7795" spans="23:23" x14ac:dyDescent="0.2">
      <c r="W7795" s="50"/>
    </row>
    <row r="7796" spans="23:23" x14ac:dyDescent="0.2">
      <c r="W7796" s="50"/>
    </row>
    <row r="7797" spans="23:23" x14ac:dyDescent="0.2">
      <c r="W7797" s="50"/>
    </row>
    <row r="7798" spans="23:23" x14ac:dyDescent="0.2">
      <c r="W7798" s="50"/>
    </row>
    <row r="7799" spans="23:23" x14ac:dyDescent="0.2">
      <c r="W7799" s="50"/>
    </row>
    <row r="7800" spans="23:23" x14ac:dyDescent="0.2">
      <c r="W7800" s="50"/>
    </row>
    <row r="7801" spans="23:23" x14ac:dyDescent="0.2">
      <c r="W7801" s="50"/>
    </row>
    <row r="7802" spans="23:23" x14ac:dyDescent="0.2">
      <c r="W7802" s="50"/>
    </row>
    <row r="7803" spans="23:23" x14ac:dyDescent="0.2">
      <c r="W7803" s="50"/>
    </row>
    <row r="7804" spans="23:23" x14ac:dyDescent="0.2">
      <c r="W7804" s="50"/>
    </row>
    <row r="7805" spans="23:23" x14ac:dyDescent="0.2">
      <c r="W7805" s="50"/>
    </row>
    <row r="7806" spans="23:23" x14ac:dyDescent="0.2">
      <c r="W7806" s="50"/>
    </row>
    <row r="7807" spans="23:23" x14ac:dyDescent="0.2">
      <c r="W7807" s="50"/>
    </row>
    <row r="7808" spans="23:23" x14ac:dyDescent="0.2">
      <c r="W7808" s="50"/>
    </row>
    <row r="7809" spans="23:23" x14ac:dyDescent="0.2">
      <c r="W7809" s="50"/>
    </row>
    <row r="7810" spans="23:23" x14ac:dyDescent="0.2">
      <c r="W7810" s="50"/>
    </row>
    <row r="7811" spans="23:23" x14ac:dyDescent="0.2">
      <c r="W7811" s="50"/>
    </row>
    <row r="7812" spans="23:23" x14ac:dyDescent="0.2">
      <c r="W7812" s="50"/>
    </row>
    <row r="7813" spans="23:23" x14ac:dyDescent="0.2">
      <c r="W7813" s="50"/>
    </row>
    <row r="7814" spans="23:23" x14ac:dyDescent="0.2">
      <c r="W7814" s="50"/>
    </row>
    <row r="7815" spans="23:23" x14ac:dyDescent="0.2">
      <c r="W7815" s="50"/>
    </row>
    <row r="7816" spans="23:23" x14ac:dyDescent="0.2">
      <c r="W7816" s="50"/>
    </row>
    <row r="7817" spans="23:23" x14ac:dyDescent="0.2">
      <c r="W7817" s="50"/>
    </row>
    <row r="7818" spans="23:23" x14ac:dyDescent="0.2">
      <c r="W7818" s="50"/>
    </row>
    <row r="7819" spans="23:23" x14ac:dyDescent="0.2">
      <c r="W7819" s="50"/>
    </row>
    <row r="7820" spans="23:23" x14ac:dyDescent="0.2">
      <c r="W7820" s="50"/>
    </row>
    <row r="7821" spans="23:23" x14ac:dyDescent="0.2">
      <c r="W7821" s="50"/>
    </row>
    <row r="7822" spans="23:23" x14ac:dyDescent="0.2">
      <c r="W7822" s="50"/>
    </row>
    <row r="7823" spans="23:23" x14ac:dyDescent="0.2">
      <c r="W7823" s="50"/>
    </row>
    <row r="7824" spans="23:23" x14ac:dyDescent="0.2">
      <c r="W7824" s="50"/>
    </row>
    <row r="7825" spans="23:23" x14ac:dyDescent="0.2">
      <c r="W7825" s="50"/>
    </row>
    <row r="7826" spans="23:23" x14ac:dyDescent="0.2">
      <c r="W7826" s="50"/>
    </row>
    <row r="7827" spans="23:23" x14ac:dyDescent="0.2">
      <c r="W7827" s="50"/>
    </row>
    <row r="7828" spans="23:23" x14ac:dyDescent="0.2">
      <c r="W7828" s="50"/>
    </row>
    <row r="7829" spans="23:23" x14ac:dyDescent="0.2">
      <c r="W7829" s="50"/>
    </row>
    <row r="7830" spans="23:23" x14ac:dyDescent="0.2">
      <c r="W7830" s="50"/>
    </row>
    <row r="7831" spans="23:23" x14ac:dyDescent="0.2">
      <c r="W7831" s="50"/>
    </row>
    <row r="7832" spans="23:23" x14ac:dyDescent="0.2">
      <c r="W7832" s="50"/>
    </row>
    <row r="7833" spans="23:23" x14ac:dyDescent="0.2">
      <c r="W7833" s="50"/>
    </row>
    <row r="7834" spans="23:23" x14ac:dyDescent="0.2">
      <c r="W7834" s="50"/>
    </row>
    <row r="7835" spans="23:23" x14ac:dyDescent="0.2">
      <c r="W7835" s="50"/>
    </row>
    <row r="7836" spans="23:23" x14ac:dyDescent="0.2">
      <c r="W7836" s="50"/>
    </row>
    <row r="7837" spans="23:23" x14ac:dyDescent="0.2">
      <c r="W7837" s="50"/>
    </row>
    <row r="7838" spans="23:23" x14ac:dyDescent="0.2">
      <c r="W7838" s="50"/>
    </row>
    <row r="7839" spans="23:23" x14ac:dyDescent="0.2">
      <c r="W7839" s="50"/>
    </row>
    <row r="7840" spans="23:23" x14ac:dyDescent="0.2">
      <c r="W7840" s="50"/>
    </row>
    <row r="7841" spans="23:23" x14ac:dyDescent="0.2">
      <c r="W7841" s="50"/>
    </row>
    <row r="7842" spans="23:23" x14ac:dyDescent="0.2">
      <c r="W7842" s="50"/>
    </row>
    <row r="7843" spans="23:23" x14ac:dyDescent="0.2">
      <c r="W7843" s="50"/>
    </row>
    <row r="7844" spans="23:23" x14ac:dyDescent="0.2">
      <c r="W7844" s="50"/>
    </row>
    <row r="7845" spans="23:23" x14ac:dyDescent="0.2">
      <c r="W7845" s="50"/>
    </row>
    <row r="7846" spans="23:23" x14ac:dyDescent="0.2">
      <c r="W7846" s="50"/>
    </row>
    <row r="7847" spans="23:23" x14ac:dyDescent="0.2">
      <c r="W7847" s="50"/>
    </row>
    <row r="7848" spans="23:23" x14ac:dyDescent="0.2">
      <c r="W7848" s="50"/>
    </row>
    <row r="7849" spans="23:23" x14ac:dyDescent="0.2">
      <c r="W7849" s="50"/>
    </row>
    <row r="7850" spans="23:23" x14ac:dyDescent="0.2">
      <c r="W7850" s="50"/>
    </row>
    <row r="7851" spans="23:23" x14ac:dyDescent="0.2">
      <c r="W7851" s="50"/>
    </row>
    <row r="7852" spans="23:23" x14ac:dyDescent="0.2">
      <c r="W7852" s="50"/>
    </row>
    <row r="7853" spans="23:23" x14ac:dyDescent="0.2">
      <c r="W7853" s="50"/>
    </row>
    <row r="7854" spans="23:23" x14ac:dyDescent="0.2">
      <c r="W7854" s="50"/>
    </row>
    <row r="7855" spans="23:23" x14ac:dyDescent="0.2">
      <c r="W7855" s="50"/>
    </row>
    <row r="7856" spans="23:23" x14ac:dyDescent="0.2">
      <c r="W7856" s="50"/>
    </row>
    <row r="7857" spans="23:23" x14ac:dyDescent="0.2">
      <c r="W7857" s="50"/>
    </row>
    <row r="7858" spans="23:23" x14ac:dyDescent="0.2">
      <c r="W7858" s="50"/>
    </row>
    <row r="7859" spans="23:23" x14ac:dyDescent="0.2">
      <c r="W7859" s="50"/>
    </row>
    <row r="7860" spans="23:23" x14ac:dyDescent="0.2">
      <c r="W7860" s="50"/>
    </row>
    <row r="7861" spans="23:23" x14ac:dyDescent="0.2">
      <c r="W7861" s="50"/>
    </row>
    <row r="7862" spans="23:23" x14ac:dyDescent="0.2">
      <c r="W7862" s="50"/>
    </row>
    <row r="7863" spans="23:23" x14ac:dyDescent="0.2">
      <c r="W7863" s="50"/>
    </row>
    <row r="7864" spans="23:23" x14ac:dyDescent="0.2">
      <c r="W7864" s="50"/>
    </row>
    <row r="7865" spans="23:23" x14ac:dyDescent="0.2">
      <c r="W7865" s="50"/>
    </row>
    <row r="7866" spans="23:23" x14ac:dyDescent="0.2">
      <c r="W7866" s="50"/>
    </row>
    <row r="7867" spans="23:23" x14ac:dyDescent="0.2">
      <c r="W7867" s="50"/>
    </row>
    <row r="7868" spans="23:23" x14ac:dyDescent="0.2">
      <c r="W7868" s="50"/>
    </row>
    <row r="7869" spans="23:23" x14ac:dyDescent="0.2">
      <c r="W7869" s="50"/>
    </row>
    <row r="7870" spans="23:23" x14ac:dyDescent="0.2">
      <c r="W7870" s="50"/>
    </row>
    <row r="7871" spans="23:23" x14ac:dyDescent="0.2">
      <c r="W7871" s="50"/>
    </row>
    <row r="7872" spans="23:23" x14ac:dyDescent="0.2">
      <c r="W7872" s="50"/>
    </row>
    <row r="7873" spans="23:23" x14ac:dyDescent="0.2">
      <c r="W7873" s="50"/>
    </row>
    <row r="7874" spans="23:23" x14ac:dyDescent="0.2">
      <c r="W7874" s="50"/>
    </row>
    <row r="7875" spans="23:23" x14ac:dyDescent="0.2">
      <c r="W7875" s="50"/>
    </row>
    <row r="7876" spans="23:23" x14ac:dyDescent="0.2">
      <c r="W7876" s="50"/>
    </row>
    <row r="7877" spans="23:23" x14ac:dyDescent="0.2">
      <c r="W7877" s="50"/>
    </row>
    <row r="7878" spans="23:23" x14ac:dyDescent="0.2">
      <c r="W7878" s="50"/>
    </row>
    <row r="7879" spans="23:23" x14ac:dyDescent="0.2">
      <c r="W7879" s="50"/>
    </row>
    <row r="7880" spans="23:23" x14ac:dyDescent="0.2">
      <c r="W7880" s="50"/>
    </row>
    <row r="7881" spans="23:23" x14ac:dyDescent="0.2">
      <c r="W7881" s="50"/>
    </row>
    <row r="7882" spans="23:23" x14ac:dyDescent="0.2">
      <c r="W7882" s="50"/>
    </row>
    <row r="7883" spans="23:23" x14ac:dyDescent="0.2">
      <c r="W7883" s="50"/>
    </row>
    <row r="7884" spans="23:23" x14ac:dyDescent="0.2">
      <c r="W7884" s="50"/>
    </row>
    <row r="7885" spans="23:23" x14ac:dyDescent="0.2">
      <c r="W7885" s="50"/>
    </row>
    <row r="7886" spans="23:23" x14ac:dyDescent="0.2">
      <c r="W7886" s="50"/>
    </row>
    <row r="7887" spans="23:23" x14ac:dyDescent="0.2">
      <c r="W7887" s="50"/>
    </row>
    <row r="7888" spans="23:23" x14ac:dyDescent="0.2">
      <c r="W7888" s="50"/>
    </row>
    <row r="7889" spans="23:23" x14ac:dyDescent="0.2">
      <c r="W7889" s="50"/>
    </row>
    <row r="7890" spans="23:23" x14ac:dyDescent="0.2">
      <c r="W7890" s="50"/>
    </row>
    <row r="7891" spans="23:23" x14ac:dyDescent="0.2">
      <c r="W7891" s="50"/>
    </row>
    <row r="7892" spans="23:23" x14ac:dyDescent="0.2">
      <c r="W7892" s="50"/>
    </row>
    <row r="7893" spans="23:23" x14ac:dyDescent="0.2">
      <c r="W7893" s="50"/>
    </row>
    <row r="7894" spans="23:23" x14ac:dyDescent="0.2">
      <c r="W7894" s="50"/>
    </row>
    <row r="7895" spans="23:23" x14ac:dyDescent="0.2">
      <c r="W7895" s="50"/>
    </row>
    <row r="7896" spans="23:23" x14ac:dyDescent="0.2">
      <c r="W7896" s="50"/>
    </row>
    <row r="7897" spans="23:23" x14ac:dyDescent="0.2">
      <c r="W7897" s="50"/>
    </row>
    <row r="7898" spans="23:23" x14ac:dyDescent="0.2">
      <c r="W7898" s="50"/>
    </row>
    <row r="7899" spans="23:23" x14ac:dyDescent="0.2">
      <c r="W7899" s="50"/>
    </row>
    <row r="7900" spans="23:23" x14ac:dyDescent="0.2">
      <c r="W7900" s="50"/>
    </row>
    <row r="7901" spans="23:23" x14ac:dyDescent="0.2">
      <c r="W7901" s="50"/>
    </row>
    <row r="7902" spans="23:23" x14ac:dyDescent="0.2">
      <c r="W7902" s="50"/>
    </row>
    <row r="7903" spans="23:23" x14ac:dyDescent="0.2">
      <c r="W7903" s="50"/>
    </row>
    <row r="7904" spans="23:23" x14ac:dyDescent="0.2">
      <c r="W7904" s="50"/>
    </row>
    <row r="7905" spans="23:23" x14ac:dyDescent="0.2">
      <c r="W7905" s="50"/>
    </row>
    <row r="7906" spans="23:23" x14ac:dyDescent="0.2">
      <c r="W7906" s="50"/>
    </row>
    <row r="7907" spans="23:23" x14ac:dyDescent="0.2">
      <c r="W7907" s="50"/>
    </row>
    <row r="7908" spans="23:23" x14ac:dyDescent="0.2">
      <c r="W7908" s="50"/>
    </row>
    <row r="7909" spans="23:23" x14ac:dyDescent="0.2">
      <c r="W7909" s="50"/>
    </row>
    <row r="7910" spans="23:23" x14ac:dyDescent="0.2">
      <c r="W7910" s="50"/>
    </row>
    <row r="7911" spans="23:23" x14ac:dyDescent="0.2">
      <c r="W7911" s="50"/>
    </row>
    <row r="7912" spans="23:23" x14ac:dyDescent="0.2">
      <c r="W7912" s="50"/>
    </row>
    <row r="7913" spans="23:23" x14ac:dyDescent="0.2">
      <c r="W7913" s="50"/>
    </row>
    <row r="7914" spans="23:23" x14ac:dyDescent="0.2">
      <c r="W7914" s="50"/>
    </row>
    <row r="7915" spans="23:23" x14ac:dyDescent="0.2">
      <c r="W7915" s="50"/>
    </row>
    <row r="7916" spans="23:23" x14ac:dyDescent="0.2">
      <c r="W7916" s="50"/>
    </row>
    <row r="7917" spans="23:23" x14ac:dyDescent="0.2">
      <c r="W7917" s="50"/>
    </row>
    <row r="7918" spans="23:23" x14ac:dyDescent="0.2">
      <c r="W7918" s="50"/>
    </row>
    <row r="7919" spans="23:23" x14ac:dyDescent="0.2">
      <c r="W7919" s="50"/>
    </row>
    <row r="7920" spans="23:23" x14ac:dyDescent="0.2">
      <c r="W7920" s="50"/>
    </row>
    <row r="7921" spans="23:23" x14ac:dyDescent="0.2">
      <c r="W7921" s="50"/>
    </row>
    <row r="7922" spans="23:23" x14ac:dyDescent="0.2">
      <c r="W7922" s="50"/>
    </row>
    <row r="7923" spans="23:23" x14ac:dyDescent="0.2">
      <c r="W7923" s="50"/>
    </row>
    <row r="7924" spans="23:23" x14ac:dyDescent="0.2">
      <c r="W7924" s="50"/>
    </row>
    <row r="7925" spans="23:23" x14ac:dyDescent="0.2">
      <c r="W7925" s="50"/>
    </row>
    <row r="7926" spans="23:23" x14ac:dyDescent="0.2">
      <c r="W7926" s="50"/>
    </row>
    <row r="7927" spans="23:23" x14ac:dyDescent="0.2">
      <c r="W7927" s="50"/>
    </row>
    <row r="7928" spans="23:23" x14ac:dyDescent="0.2">
      <c r="W7928" s="50"/>
    </row>
    <row r="7929" spans="23:23" x14ac:dyDescent="0.2">
      <c r="W7929" s="50"/>
    </row>
    <row r="7930" spans="23:23" x14ac:dyDescent="0.2">
      <c r="W7930" s="50"/>
    </row>
    <row r="7931" spans="23:23" x14ac:dyDescent="0.2">
      <c r="W7931" s="50"/>
    </row>
    <row r="7932" spans="23:23" x14ac:dyDescent="0.2">
      <c r="W7932" s="50"/>
    </row>
    <row r="7933" spans="23:23" x14ac:dyDescent="0.2">
      <c r="W7933" s="50"/>
    </row>
    <row r="7934" spans="23:23" x14ac:dyDescent="0.2">
      <c r="W7934" s="50"/>
    </row>
    <row r="7935" spans="23:23" x14ac:dyDescent="0.2">
      <c r="W7935" s="50"/>
    </row>
    <row r="7936" spans="23:23" x14ac:dyDescent="0.2">
      <c r="W7936" s="50"/>
    </row>
    <row r="7937" spans="23:23" x14ac:dyDescent="0.2">
      <c r="W7937" s="50"/>
    </row>
    <row r="7938" spans="23:23" x14ac:dyDescent="0.2">
      <c r="W7938" s="50"/>
    </row>
    <row r="7939" spans="23:23" x14ac:dyDescent="0.2">
      <c r="W7939" s="50"/>
    </row>
    <row r="7940" spans="23:23" x14ac:dyDescent="0.2">
      <c r="W7940" s="50"/>
    </row>
    <row r="7941" spans="23:23" x14ac:dyDescent="0.2">
      <c r="W7941" s="50"/>
    </row>
    <row r="7942" spans="23:23" x14ac:dyDescent="0.2">
      <c r="W7942" s="50"/>
    </row>
    <row r="7943" spans="23:23" x14ac:dyDescent="0.2">
      <c r="W7943" s="50"/>
    </row>
    <row r="7944" spans="23:23" x14ac:dyDescent="0.2">
      <c r="W7944" s="50"/>
    </row>
    <row r="7945" spans="23:23" x14ac:dyDescent="0.2">
      <c r="W7945" s="50"/>
    </row>
    <row r="7946" spans="23:23" x14ac:dyDescent="0.2">
      <c r="W7946" s="50"/>
    </row>
    <row r="7947" spans="23:23" x14ac:dyDescent="0.2">
      <c r="W7947" s="50"/>
    </row>
    <row r="7948" spans="23:23" x14ac:dyDescent="0.2">
      <c r="W7948" s="50"/>
    </row>
    <row r="7949" spans="23:23" x14ac:dyDescent="0.2">
      <c r="W7949" s="50"/>
    </row>
    <row r="7950" spans="23:23" x14ac:dyDescent="0.2">
      <c r="W7950" s="50"/>
    </row>
    <row r="7951" spans="23:23" x14ac:dyDescent="0.2">
      <c r="W7951" s="50"/>
    </row>
    <row r="7952" spans="23:23" x14ac:dyDescent="0.2">
      <c r="W7952" s="50"/>
    </row>
    <row r="7953" spans="23:23" x14ac:dyDescent="0.2">
      <c r="W7953" s="50"/>
    </row>
    <row r="7954" spans="23:23" x14ac:dyDescent="0.2">
      <c r="W7954" s="50"/>
    </row>
    <row r="7955" spans="23:23" x14ac:dyDescent="0.2">
      <c r="W7955" s="50"/>
    </row>
    <row r="7956" spans="23:23" x14ac:dyDescent="0.2">
      <c r="W7956" s="50"/>
    </row>
    <row r="7957" spans="23:23" x14ac:dyDescent="0.2">
      <c r="W7957" s="50"/>
    </row>
    <row r="7958" spans="23:23" x14ac:dyDescent="0.2">
      <c r="W7958" s="50"/>
    </row>
    <row r="7959" spans="23:23" x14ac:dyDescent="0.2">
      <c r="W7959" s="50"/>
    </row>
    <row r="7960" spans="23:23" x14ac:dyDescent="0.2">
      <c r="W7960" s="50"/>
    </row>
    <row r="7961" spans="23:23" x14ac:dyDescent="0.2">
      <c r="W7961" s="50"/>
    </row>
    <row r="7962" spans="23:23" x14ac:dyDescent="0.2">
      <c r="W7962" s="50"/>
    </row>
    <row r="7963" spans="23:23" x14ac:dyDescent="0.2">
      <c r="W7963" s="50"/>
    </row>
    <row r="7964" spans="23:23" x14ac:dyDescent="0.2">
      <c r="W7964" s="50"/>
    </row>
    <row r="7965" spans="23:23" x14ac:dyDescent="0.2">
      <c r="W7965" s="50"/>
    </row>
    <row r="7966" spans="23:23" x14ac:dyDescent="0.2">
      <c r="W7966" s="50"/>
    </row>
    <row r="7967" spans="23:23" x14ac:dyDescent="0.2">
      <c r="W7967" s="50"/>
    </row>
    <row r="7968" spans="23:23" x14ac:dyDescent="0.2">
      <c r="W7968" s="50"/>
    </row>
    <row r="7969" spans="23:23" x14ac:dyDescent="0.2">
      <c r="W7969" s="50"/>
    </row>
    <row r="7970" spans="23:23" x14ac:dyDescent="0.2">
      <c r="W7970" s="50"/>
    </row>
    <row r="7971" spans="23:23" x14ac:dyDescent="0.2">
      <c r="W7971" s="50"/>
    </row>
    <row r="7972" spans="23:23" x14ac:dyDescent="0.2">
      <c r="W7972" s="50"/>
    </row>
    <row r="7973" spans="23:23" x14ac:dyDescent="0.2">
      <c r="W7973" s="50"/>
    </row>
    <row r="7974" spans="23:23" x14ac:dyDescent="0.2">
      <c r="W7974" s="50"/>
    </row>
    <row r="7975" spans="23:23" x14ac:dyDescent="0.2">
      <c r="W7975" s="50"/>
    </row>
    <row r="7976" spans="23:23" x14ac:dyDescent="0.2">
      <c r="W7976" s="50"/>
    </row>
    <row r="7977" spans="23:23" x14ac:dyDescent="0.2">
      <c r="W7977" s="50"/>
    </row>
    <row r="7978" spans="23:23" x14ac:dyDescent="0.2">
      <c r="W7978" s="50"/>
    </row>
    <row r="7979" spans="23:23" x14ac:dyDescent="0.2">
      <c r="W7979" s="50"/>
    </row>
    <row r="7980" spans="23:23" x14ac:dyDescent="0.2">
      <c r="W7980" s="50"/>
    </row>
    <row r="7981" spans="23:23" x14ac:dyDescent="0.2">
      <c r="W7981" s="50"/>
    </row>
    <row r="7982" spans="23:23" x14ac:dyDescent="0.2">
      <c r="W7982" s="50"/>
    </row>
    <row r="7983" spans="23:23" x14ac:dyDescent="0.2">
      <c r="W7983" s="50"/>
    </row>
    <row r="7984" spans="23:23" x14ac:dyDescent="0.2">
      <c r="W7984" s="50"/>
    </row>
    <row r="7985" spans="23:23" x14ac:dyDescent="0.2">
      <c r="W7985" s="50"/>
    </row>
    <row r="7986" spans="23:23" x14ac:dyDescent="0.2">
      <c r="W7986" s="50"/>
    </row>
    <row r="7987" spans="23:23" x14ac:dyDescent="0.2">
      <c r="W7987" s="50"/>
    </row>
    <row r="7988" spans="23:23" x14ac:dyDescent="0.2">
      <c r="W7988" s="50"/>
    </row>
    <row r="7989" spans="23:23" x14ac:dyDescent="0.2">
      <c r="W7989" s="50"/>
    </row>
    <row r="7990" spans="23:23" x14ac:dyDescent="0.2">
      <c r="W7990" s="50"/>
    </row>
    <row r="7991" spans="23:23" x14ac:dyDescent="0.2">
      <c r="W7991" s="50"/>
    </row>
    <row r="7992" spans="23:23" x14ac:dyDescent="0.2">
      <c r="W7992" s="50"/>
    </row>
    <row r="7993" spans="23:23" x14ac:dyDescent="0.2">
      <c r="W7993" s="50"/>
    </row>
    <row r="7994" spans="23:23" x14ac:dyDescent="0.2">
      <c r="W7994" s="50"/>
    </row>
    <row r="7995" spans="23:23" x14ac:dyDescent="0.2">
      <c r="W7995" s="50"/>
    </row>
    <row r="7996" spans="23:23" x14ac:dyDescent="0.2">
      <c r="W7996" s="50"/>
    </row>
    <row r="7997" spans="23:23" x14ac:dyDescent="0.2">
      <c r="W7997" s="50"/>
    </row>
    <row r="7998" spans="23:23" x14ac:dyDescent="0.2">
      <c r="W7998" s="50"/>
    </row>
    <row r="7999" spans="23:23" x14ac:dyDescent="0.2">
      <c r="W7999" s="50"/>
    </row>
    <row r="8000" spans="23:23" x14ac:dyDescent="0.2">
      <c r="W8000" s="50"/>
    </row>
    <row r="8001" spans="23:23" x14ac:dyDescent="0.2">
      <c r="W8001" s="50"/>
    </row>
    <row r="8002" spans="23:23" x14ac:dyDescent="0.2">
      <c r="W8002" s="50"/>
    </row>
    <row r="8003" spans="23:23" x14ac:dyDescent="0.2">
      <c r="W8003" s="50"/>
    </row>
    <row r="8004" spans="23:23" x14ac:dyDescent="0.2">
      <c r="W8004" s="50"/>
    </row>
    <row r="8005" spans="23:23" x14ac:dyDescent="0.2">
      <c r="W8005" s="50"/>
    </row>
    <row r="8006" spans="23:23" x14ac:dyDescent="0.2">
      <c r="W8006" s="50"/>
    </row>
    <row r="8007" spans="23:23" x14ac:dyDescent="0.2">
      <c r="W8007" s="50"/>
    </row>
    <row r="8008" spans="23:23" x14ac:dyDescent="0.2">
      <c r="W8008" s="50"/>
    </row>
    <row r="8009" spans="23:23" x14ac:dyDescent="0.2">
      <c r="W8009" s="50"/>
    </row>
    <row r="8010" spans="23:23" x14ac:dyDescent="0.2">
      <c r="W8010" s="50"/>
    </row>
    <row r="8011" spans="23:23" x14ac:dyDescent="0.2">
      <c r="W8011" s="50"/>
    </row>
    <row r="8012" spans="23:23" x14ac:dyDescent="0.2">
      <c r="W8012" s="50"/>
    </row>
    <row r="8013" spans="23:23" x14ac:dyDescent="0.2">
      <c r="W8013" s="50"/>
    </row>
    <row r="8014" spans="23:23" x14ac:dyDescent="0.2">
      <c r="W8014" s="50"/>
    </row>
    <row r="8015" spans="23:23" x14ac:dyDescent="0.2">
      <c r="W8015" s="50"/>
    </row>
    <row r="8016" spans="23:23" x14ac:dyDescent="0.2">
      <c r="W8016" s="50"/>
    </row>
    <row r="8017" spans="23:23" x14ac:dyDescent="0.2">
      <c r="W8017" s="50"/>
    </row>
    <row r="8018" spans="23:23" x14ac:dyDescent="0.2">
      <c r="W8018" s="50"/>
    </row>
    <row r="8019" spans="23:23" x14ac:dyDescent="0.2">
      <c r="W8019" s="50"/>
    </row>
    <row r="8020" spans="23:23" x14ac:dyDescent="0.2">
      <c r="W8020" s="50"/>
    </row>
    <row r="8021" spans="23:23" x14ac:dyDescent="0.2">
      <c r="W8021" s="50"/>
    </row>
    <row r="8022" spans="23:23" x14ac:dyDescent="0.2">
      <c r="W8022" s="50"/>
    </row>
    <row r="8023" spans="23:23" x14ac:dyDescent="0.2">
      <c r="W8023" s="50"/>
    </row>
    <row r="8024" spans="23:23" x14ac:dyDescent="0.2">
      <c r="W8024" s="50"/>
    </row>
    <row r="8025" spans="23:23" x14ac:dyDescent="0.2">
      <c r="W8025" s="50"/>
    </row>
    <row r="8026" spans="23:23" x14ac:dyDescent="0.2">
      <c r="W8026" s="50"/>
    </row>
    <row r="8027" spans="23:23" x14ac:dyDescent="0.2">
      <c r="W8027" s="50"/>
    </row>
    <row r="8028" spans="23:23" x14ac:dyDescent="0.2">
      <c r="W8028" s="50"/>
    </row>
    <row r="8029" spans="23:23" x14ac:dyDescent="0.2">
      <c r="W8029" s="50"/>
    </row>
    <row r="8030" spans="23:23" x14ac:dyDescent="0.2">
      <c r="W8030" s="50"/>
    </row>
    <row r="8031" spans="23:23" x14ac:dyDescent="0.2">
      <c r="W8031" s="50"/>
    </row>
    <row r="8032" spans="23:23" x14ac:dyDescent="0.2">
      <c r="W8032" s="50"/>
    </row>
    <row r="8033" spans="23:23" x14ac:dyDescent="0.2">
      <c r="W8033" s="50"/>
    </row>
    <row r="8034" spans="23:23" x14ac:dyDescent="0.2">
      <c r="W8034" s="50"/>
    </row>
    <row r="8035" spans="23:23" x14ac:dyDescent="0.2">
      <c r="W8035" s="50"/>
    </row>
    <row r="8036" spans="23:23" x14ac:dyDescent="0.2">
      <c r="W8036" s="50"/>
    </row>
    <row r="8037" spans="23:23" x14ac:dyDescent="0.2">
      <c r="W8037" s="50"/>
    </row>
    <row r="8038" spans="23:23" x14ac:dyDescent="0.2">
      <c r="W8038" s="50"/>
    </row>
    <row r="8039" spans="23:23" x14ac:dyDescent="0.2">
      <c r="W8039" s="50"/>
    </row>
    <row r="8040" spans="23:23" x14ac:dyDescent="0.2">
      <c r="W8040" s="50"/>
    </row>
    <row r="8041" spans="23:23" x14ac:dyDescent="0.2">
      <c r="W8041" s="50"/>
    </row>
    <row r="8042" spans="23:23" x14ac:dyDescent="0.2">
      <c r="W8042" s="50"/>
    </row>
    <row r="8043" spans="23:23" x14ac:dyDescent="0.2">
      <c r="W8043" s="50"/>
    </row>
    <row r="8044" spans="23:23" x14ac:dyDescent="0.2">
      <c r="W8044" s="50"/>
    </row>
    <row r="8045" spans="23:23" x14ac:dyDescent="0.2">
      <c r="W8045" s="50"/>
    </row>
    <row r="8046" spans="23:23" x14ac:dyDescent="0.2">
      <c r="W8046" s="50"/>
    </row>
    <row r="8047" spans="23:23" x14ac:dyDescent="0.2">
      <c r="W8047" s="50"/>
    </row>
    <row r="8048" spans="23:23" x14ac:dyDescent="0.2">
      <c r="W8048" s="50"/>
    </row>
    <row r="8049" spans="23:23" x14ac:dyDescent="0.2">
      <c r="W8049" s="50"/>
    </row>
    <row r="8050" spans="23:23" x14ac:dyDescent="0.2">
      <c r="W8050" s="50"/>
    </row>
    <row r="8051" spans="23:23" x14ac:dyDescent="0.2">
      <c r="W8051" s="50"/>
    </row>
    <row r="8052" spans="23:23" x14ac:dyDescent="0.2">
      <c r="W8052" s="50"/>
    </row>
    <row r="8053" spans="23:23" x14ac:dyDescent="0.2">
      <c r="W8053" s="50"/>
    </row>
    <row r="8054" spans="23:23" x14ac:dyDescent="0.2">
      <c r="W8054" s="50"/>
    </row>
    <row r="8055" spans="23:23" x14ac:dyDescent="0.2">
      <c r="W8055" s="50"/>
    </row>
    <row r="8056" spans="23:23" x14ac:dyDescent="0.2">
      <c r="W8056" s="50"/>
    </row>
    <row r="8057" spans="23:23" x14ac:dyDescent="0.2">
      <c r="W8057" s="50"/>
    </row>
    <row r="8058" spans="23:23" x14ac:dyDescent="0.2">
      <c r="W8058" s="50"/>
    </row>
    <row r="8059" spans="23:23" x14ac:dyDescent="0.2">
      <c r="W8059" s="50"/>
    </row>
    <row r="8060" spans="23:23" x14ac:dyDescent="0.2">
      <c r="W8060" s="50"/>
    </row>
    <row r="8061" spans="23:23" x14ac:dyDescent="0.2">
      <c r="W8061" s="50"/>
    </row>
    <row r="8062" spans="23:23" x14ac:dyDescent="0.2">
      <c r="W8062" s="50"/>
    </row>
    <row r="8063" spans="23:23" x14ac:dyDescent="0.2">
      <c r="W8063" s="50"/>
    </row>
    <row r="8064" spans="23:23" x14ac:dyDescent="0.2">
      <c r="W8064" s="50"/>
    </row>
    <row r="8065" spans="23:23" x14ac:dyDescent="0.2">
      <c r="W8065" s="50"/>
    </row>
    <row r="8066" spans="23:23" x14ac:dyDescent="0.2">
      <c r="W8066" s="50"/>
    </row>
    <row r="8067" spans="23:23" x14ac:dyDescent="0.2">
      <c r="W8067" s="50"/>
    </row>
    <row r="8068" spans="23:23" x14ac:dyDescent="0.2">
      <c r="W8068" s="50"/>
    </row>
    <row r="8069" spans="23:23" x14ac:dyDescent="0.2">
      <c r="W8069" s="50"/>
    </row>
    <row r="8070" spans="23:23" x14ac:dyDescent="0.2">
      <c r="W8070" s="50"/>
    </row>
    <row r="8071" spans="23:23" x14ac:dyDescent="0.2">
      <c r="W8071" s="50"/>
    </row>
    <row r="8072" spans="23:23" x14ac:dyDescent="0.2">
      <c r="W8072" s="50"/>
    </row>
    <row r="8073" spans="23:23" x14ac:dyDescent="0.2">
      <c r="W8073" s="50"/>
    </row>
    <row r="8074" spans="23:23" x14ac:dyDescent="0.2">
      <c r="W8074" s="50"/>
    </row>
    <row r="8075" spans="23:23" x14ac:dyDescent="0.2">
      <c r="W8075" s="50"/>
    </row>
    <row r="8076" spans="23:23" x14ac:dyDescent="0.2">
      <c r="W8076" s="50"/>
    </row>
    <row r="8077" spans="23:23" x14ac:dyDescent="0.2">
      <c r="W8077" s="50"/>
    </row>
    <row r="8078" spans="23:23" x14ac:dyDescent="0.2">
      <c r="W8078" s="50"/>
    </row>
    <row r="8079" spans="23:23" x14ac:dyDescent="0.2">
      <c r="W8079" s="50"/>
    </row>
    <row r="8080" spans="23:23" x14ac:dyDescent="0.2">
      <c r="W8080" s="50"/>
    </row>
    <row r="8081" spans="23:23" x14ac:dyDescent="0.2">
      <c r="W8081" s="50"/>
    </row>
    <row r="8082" spans="23:23" x14ac:dyDescent="0.2">
      <c r="W8082" s="50"/>
    </row>
    <row r="8083" spans="23:23" x14ac:dyDescent="0.2">
      <c r="W8083" s="50"/>
    </row>
    <row r="8084" spans="23:23" x14ac:dyDescent="0.2">
      <c r="W8084" s="50"/>
    </row>
    <row r="8085" spans="23:23" x14ac:dyDescent="0.2">
      <c r="W8085" s="50"/>
    </row>
    <row r="8086" spans="23:23" x14ac:dyDescent="0.2">
      <c r="W8086" s="50"/>
    </row>
    <row r="8087" spans="23:23" x14ac:dyDescent="0.2">
      <c r="W8087" s="50"/>
    </row>
    <row r="8088" spans="23:23" x14ac:dyDescent="0.2">
      <c r="W8088" s="50"/>
    </row>
    <row r="8089" spans="23:23" x14ac:dyDescent="0.2">
      <c r="W8089" s="50"/>
    </row>
    <row r="8090" spans="23:23" x14ac:dyDescent="0.2">
      <c r="W8090" s="50"/>
    </row>
    <row r="8091" spans="23:23" x14ac:dyDescent="0.2">
      <c r="W8091" s="50"/>
    </row>
    <row r="8092" spans="23:23" x14ac:dyDescent="0.2">
      <c r="W8092" s="50"/>
    </row>
    <row r="8093" spans="23:23" x14ac:dyDescent="0.2">
      <c r="W8093" s="50"/>
    </row>
    <row r="8094" spans="23:23" x14ac:dyDescent="0.2">
      <c r="W8094" s="50"/>
    </row>
    <row r="8095" spans="23:23" x14ac:dyDescent="0.2">
      <c r="W8095" s="50"/>
    </row>
    <row r="8096" spans="23:23" x14ac:dyDescent="0.2">
      <c r="W8096" s="50"/>
    </row>
    <row r="8097" spans="23:23" x14ac:dyDescent="0.2">
      <c r="W8097" s="50"/>
    </row>
    <row r="8098" spans="23:23" x14ac:dyDescent="0.2">
      <c r="W8098" s="50"/>
    </row>
    <row r="8099" spans="23:23" x14ac:dyDescent="0.2">
      <c r="W8099" s="50"/>
    </row>
    <row r="8100" spans="23:23" x14ac:dyDescent="0.2">
      <c r="W8100" s="50"/>
    </row>
    <row r="8101" spans="23:23" x14ac:dyDescent="0.2">
      <c r="W8101" s="50"/>
    </row>
    <row r="8102" spans="23:23" x14ac:dyDescent="0.2">
      <c r="W8102" s="50"/>
    </row>
    <row r="8103" spans="23:23" x14ac:dyDescent="0.2">
      <c r="W8103" s="50"/>
    </row>
    <row r="8104" spans="23:23" x14ac:dyDescent="0.2">
      <c r="W8104" s="50"/>
    </row>
    <row r="8105" spans="23:23" x14ac:dyDescent="0.2">
      <c r="W8105" s="50"/>
    </row>
    <row r="8106" spans="23:23" x14ac:dyDescent="0.2">
      <c r="W8106" s="50"/>
    </row>
    <row r="8107" spans="23:23" x14ac:dyDescent="0.2">
      <c r="W8107" s="50"/>
    </row>
    <row r="8108" spans="23:23" x14ac:dyDescent="0.2">
      <c r="W8108" s="50"/>
    </row>
    <row r="8109" spans="23:23" x14ac:dyDescent="0.2">
      <c r="W8109" s="50"/>
    </row>
    <row r="8110" spans="23:23" x14ac:dyDescent="0.2">
      <c r="W8110" s="50"/>
    </row>
    <row r="8111" spans="23:23" x14ac:dyDescent="0.2">
      <c r="W8111" s="50"/>
    </row>
    <row r="8112" spans="23:23" x14ac:dyDescent="0.2">
      <c r="W8112" s="50"/>
    </row>
    <row r="8113" spans="23:23" x14ac:dyDescent="0.2">
      <c r="W8113" s="50"/>
    </row>
    <row r="8114" spans="23:23" x14ac:dyDescent="0.2">
      <c r="W8114" s="50"/>
    </row>
    <row r="8115" spans="23:23" x14ac:dyDescent="0.2">
      <c r="W8115" s="50"/>
    </row>
    <row r="8116" spans="23:23" x14ac:dyDescent="0.2">
      <c r="W8116" s="50"/>
    </row>
    <row r="8117" spans="23:23" x14ac:dyDescent="0.2">
      <c r="W8117" s="50"/>
    </row>
    <row r="8118" spans="23:23" x14ac:dyDescent="0.2">
      <c r="W8118" s="50"/>
    </row>
    <row r="8119" spans="23:23" x14ac:dyDescent="0.2">
      <c r="W8119" s="50"/>
    </row>
    <row r="8120" spans="23:23" x14ac:dyDescent="0.2">
      <c r="W8120" s="50"/>
    </row>
    <row r="8121" spans="23:23" x14ac:dyDescent="0.2">
      <c r="W8121" s="50"/>
    </row>
    <row r="8122" spans="23:23" x14ac:dyDescent="0.2">
      <c r="W8122" s="50"/>
    </row>
    <row r="8123" spans="23:23" x14ac:dyDescent="0.2">
      <c r="W8123" s="50"/>
    </row>
    <row r="8124" spans="23:23" x14ac:dyDescent="0.2">
      <c r="W8124" s="50"/>
    </row>
  </sheetData>
  <autoFilter ref="C21:C1431"/>
  <phoneticPr fontId="9" type="noConversion"/>
  <pageMargins left="0.75" right="0.75" top="0.5" bottom="0.5" header="0.5" footer="0.5"/>
  <pageSetup scale="39" orientation="landscape" r:id="rId1"/>
  <headerFooter alignWithMargins="0">
    <oddHeader>&amp;L&amp;"Arial,Regular"Allocation Method: Average 12 CP                                                                                                  &amp;R&amp;"Arial,Regular"Page 9-&amp;P</oddHeader>
  </headerFooter>
  <rowBreaks count="2" manualBreakCount="2">
    <brk id="70" max="16" man="1"/>
    <brk id="110" max="16" man="1"/>
  </rowBreaks>
  <colBreaks count="1" manualBreakCount="1">
    <brk id="11" min="896" max="92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11"/>
  <sheetViews>
    <sheetView workbookViewId="0">
      <selection activeCell="D18" sqref="D18"/>
    </sheetView>
  </sheetViews>
  <sheetFormatPr defaultRowHeight="12.75" x14ac:dyDescent="0.2"/>
  <cols>
    <col min="1" max="1" width="9" style="484"/>
    <col min="2" max="6" width="9.625" style="484" customWidth="1"/>
    <col min="7" max="16384" width="9" style="484"/>
  </cols>
  <sheetData>
    <row r="1" spans="1:6" x14ac:dyDescent="0.2">
      <c r="A1" s="481" t="s">
        <v>1523</v>
      </c>
      <c r="B1" s="482">
        <v>40969</v>
      </c>
      <c r="C1" s="483" t="s">
        <v>1524</v>
      </c>
    </row>
    <row r="2" spans="1:6" x14ac:dyDescent="0.2">
      <c r="A2" s="483" t="s">
        <v>360</v>
      </c>
      <c r="B2" s="482">
        <v>40695</v>
      </c>
      <c r="C2" s="482">
        <v>40787</v>
      </c>
      <c r="D2" s="482">
        <v>40878</v>
      </c>
      <c r="E2" s="482">
        <v>40969</v>
      </c>
      <c r="F2" s="485" t="s">
        <v>1525</v>
      </c>
    </row>
    <row r="3" spans="1:6" x14ac:dyDescent="0.2">
      <c r="A3" s="484">
        <v>502</v>
      </c>
      <c r="B3" s="486">
        <v>118.5</v>
      </c>
      <c r="C3" s="486">
        <v>33.450000000000003</v>
      </c>
      <c r="D3" s="486">
        <v>32.270000000000003</v>
      </c>
      <c r="E3" s="486">
        <v>0</v>
      </c>
      <c r="F3" s="487">
        <f>SUM(B3:E3)</f>
        <v>184.22</v>
      </c>
    </row>
    <row r="4" spans="1:6" x14ac:dyDescent="0.2">
      <c r="A4" s="484">
        <v>505</v>
      </c>
      <c r="B4" s="486">
        <v>0</v>
      </c>
      <c r="C4" s="486">
        <v>0</v>
      </c>
      <c r="D4" s="486">
        <v>0</v>
      </c>
      <c r="E4" s="486">
        <v>0</v>
      </c>
      <c r="F4" s="487">
        <f t="shared" ref="F4:F10" si="0">SUM(B4:E4)</f>
        <v>0</v>
      </c>
    </row>
    <row r="5" spans="1:6" x14ac:dyDescent="0.2">
      <c r="A5" s="484">
        <v>506</v>
      </c>
      <c r="B5" s="486">
        <v>101.83</v>
      </c>
      <c r="C5" s="486">
        <v>675.48</v>
      </c>
      <c r="D5" s="486">
        <v>405.26</v>
      </c>
      <c r="E5" s="486">
        <v>314.17</v>
      </c>
      <c r="F5" s="487">
        <f t="shared" si="0"/>
        <v>1496.7400000000002</v>
      </c>
    </row>
    <row r="6" spans="1:6" x14ac:dyDescent="0.2">
      <c r="A6" s="484">
        <v>510</v>
      </c>
      <c r="B6" s="486">
        <v>0</v>
      </c>
      <c r="C6" s="486">
        <v>0</v>
      </c>
      <c r="D6" s="486">
        <v>0</v>
      </c>
      <c r="E6" s="486">
        <v>0</v>
      </c>
      <c r="F6" s="487">
        <f t="shared" si="0"/>
        <v>0</v>
      </c>
    </row>
    <row r="7" spans="1:6" x14ac:dyDescent="0.2">
      <c r="A7" s="484">
        <v>511</v>
      </c>
      <c r="B7" s="486">
        <v>4284.99</v>
      </c>
      <c r="C7" s="486">
        <v>-18.059999999999999</v>
      </c>
      <c r="D7" s="486">
        <v>3242.15</v>
      </c>
      <c r="E7" s="486">
        <v>1201.1300000000001</v>
      </c>
      <c r="F7" s="487">
        <f t="shared" si="0"/>
        <v>8710.2099999999991</v>
      </c>
    </row>
    <row r="8" spans="1:6" x14ac:dyDescent="0.2">
      <c r="A8" s="484">
        <v>512</v>
      </c>
      <c r="B8" s="486">
        <v>73239.05</v>
      </c>
      <c r="C8" s="486">
        <v>64702.8</v>
      </c>
      <c r="D8" s="486">
        <v>84699.37</v>
      </c>
      <c r="E8" s="486">
        <v>62202.57</v>
      </c>
      <c r="F8" s="487">
        <f t="shared" si="0"/>
        <v>284843.78999999998</v>
      </c>
    </row>
    <row r="9" spans="1:6" x14ac:dyDescent="0.2">
      <c r="A9" s="484">
        <v>513</v>
      </c>
      <c r="B9" s="486">
        <v>2041.32</v>
      </c>
      <c r="C9" s="486">
        <v>11120.28</v>
      </c>
      <c r="D9" s="486">
        <v>11736.82</v>
      </c>
      <c r="E9" s="486">
        <v>12072.95</v>
      </c>
      <c r="F9" s="487">
        <f t="shared" si="0"/>
        <v>36971.369999999995</v>
      </c>
    </row>
    <row r="10" spans="1:6" x14ac:dyDescent="0.2">
      <c r="A10" s="484">
        <v>514</v>
      </c>
      <c r="B10" s="486">
        <v>321.52</v>
      </c>
      <c r="C10" s="486">
        <v>-905.21</v>
      </c>
      <c r="D10" s="486">
        <v>1125.75</v>
      </c>
      <c r="E10" s="486">
        <v>-39.549999999999997</v>
      </c>
      <c r="F10" s="487">
        <f t="shared" si="0"/>
        <v>502.50999999999993</v>
      </c>
    </row>
    <row r="11" spans="1:6" x14ac:dyDescent="0.2">
      <c r="B11" s="486">
        <f>SUM(B3:B10)</f>
        <v>80107.210000000006</v>
      </c>
      <c r="C11" s="486">
        <f>SUM(C3:C10)</f>
        <v>75608.740000000005</v>
      </c>
      <c r="D11" s="486">
        <f>SUM(D3:D10)</f>
        <v>101241.62</v>
      </c>
      <c r="E11" s="486">
        <f>SUM(E3:E10)</f>
        <v>75751.27</v>
      </c>
      <c r="F11" s="487">
        <f t="shared" ref="F11" si="1">SUM(A11:E11)</f>
        <v>332708.84000000003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47"/>
  <sheetViews>
    <sheetView zoomScale="75" zoomScaleNormal="75" workbookViewId="0">
      <selection activeCell="H28" sqref="H28"/>
    </sheetView>
  </sheetViews>
  <sheetFormatPr defaultRowHeight="12" x14ac:dyDescent="0.15"/>
  <cols>
    <col min="1" max="1" width="26.875" style="115" customWidth="1"/>
    <col min="2" max="2" width="12.875" style="115" customWidth="1"/>
    <col min="3" max="3" width="3.25" style="115" customWidth="1"/>
    <col min="4" max="4" width="12.875" style="115" customWidth="1"/>
    <col min="5" max="5" width="3.25" style="115" customWidth="1"/>
    <col min="6" max="6" width="14" style="115" customWidth="1"/>
    <col min="7" max="7" width="3.25" style="115" customWidth="1"/>
    <col min="8" max="8" width="13.75" style="115" customWidth="1"/>
    <col min="9" max="9" width="3.25" style="115" customWidth="1"/>
    <col min="10" max="10" width="13.75" style="115" customWidth="1"/>
    <col min="11" max="11" width="3.25" style="115" customWidth="1"/>
    <col min="12" max="12" width="12.875" style="115" customWidth="1"/>
    <col min="13" max="13" width="9" style="115" customWidth="1"/>
    <col min="14" max="14" width="13.75" style="115" customWidth="1"/>
    <col min="15" max="16" width="12.875" style="115" customWidth="1"/>
    <col min="17" max="17" width="13.5" style="115" customWidth="1"/>
    <col min="18" max="16384" width="9" style="115"/>
  </cols>
  <sheetData>
    <row r="1" spans="1:21" ht="15.75" x14ac:dyDescent="0.25">
      <c r="A1" s="514" t="s">
        <v>940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O1" s="116"/>
      <c r="P1" s="116"/>
    </row>
    <row r="2" spans="1:21" ht="15.75" x14ac:dyDescent="0.25">
      <c r="A2" s="514" t="s">
        <v>941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O2" s="116"/>
      <c r="P2" s="116"/>
    </row>
    <row r="3" spans="1:21" ht="15.75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N3" s="121"/>
      <c r="O3" s="120"/>
      <c r="P3" s="120"/>
    </row>
    <row r="4" spans="1:21" ht="15.75" x14ac:dyDescent="0.25">
      <c r="A4" s="121"/>
      <c r="B4" s="121"/>
      <c r="C4" s="121"/>
      <c r="D4" s="120" t="s">
        <v>942</v>
      </c>
      <c r="E4" s="121"/>
      <c r="F4" s="120" t="s">
        <v>943</v>
      </c>
      <c r="G4" s="121"/>
      <c r="H4" s="120" t="s">
        <v>944</v>
      </c>
      <c r="I4" s="121"/>
      <c r="J4" s="120" t="s">
        <v>1050</v>
      </c>
      <c r="K4" s="121"/>
      <c r="L4" s="120"/>
      <c r="N4" s="120"/>
      <c r="O4" s="120" t="s">
        <v>945</v>
      </c>
      <c r="P4" s="120" t="s">
        <v>945</v>
      </c>
      <c r="Q4" s="120" t="s">
        <v>1050</v>
      </c>
    </row>
    <row r="5" spans="1:21" ht="16.5" thickBot="1" x14ac:dyDescent="0.3">
      <c r="A5" s="121"/>
      <c r="B5" s="121"/>
      <c r="C5" s="121"/>
      <c r="D5" s="122" t="s">
        <v>946</v>
      </c>
      <c r="E5" s="121"/>
      <c r="F5" s="122" t="s">
        <v>947</v>
      </c>
      <c r="G5" s="121"/>
      <c r="H5" s="122" t="s">
        <v>948</v>
      </c>
      <c r="I5" s="121"/>
      <c r="J5" s="122" t="s">
        <v>644</v>
      </c>
      <c r="K5" s="121"/>
      <c r="L5" s="148" t="s">
        <v>1049</v>
      </c>
      <c r="N5" s="122" t="s">
        <v>1050</v>
      </c>
      <c r="O5" s="122" t="s">
        <v>949</v>
      </c>
      <c r="P5" s="122" t="s">
        <v>1051</v>
      </c>
      <c r="Q5" s="122" t="s">
        <v>644</v>
      </c>
    </row>
    <row r="6" spans="1:21" ht="15.75" x14ac:dyDescent="0.2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N6" s="123"/>
      <c r="O6" s="123"/>
      <c r="P6" s="123"/>
    </row>
    <row r="7" spans="1:21" ht="15.75" x14ac:dyDescent="0.25">
      <c r="A7" s="286" t="s">
        <v>1005</v>
      </c>
      <c r="B7" s="475">
        <v>2011</v>
      </c>
      <c r="C7" s="288"/>
      <c r="D7" s="289">
        <v>33292754.469999999</v>
      </c>
      <c r="E7" s="288"/>
      <c r="F7" s="289">
        <v>9353557.6300000008</v>
      </c>
      <c r="G7" s="288"/>
      <c r="H7" s="289">
        <v>90317258.090000004</v>
      </c>
      <c r="I7" s="288"/>
      <c r="J7" s="350">
        <f t="shared" ref="J7:J16" si="0">Q7</f>
        <v>7232092.8499999996</v>
      </c>
      <c r="K7" s="288"/>
      <c r="L7" s="289">
        <v>540133.80000000005</v>
      </c>
      <c r="M7" s="288"/>
      <c r="N7" s="289">
        <v>7705071.0099999998</v>
      </c>
      <c r="O7" s="289">
        <v>4898830.6500000004</v>
      </c>
      <c r="P7" s="289">
        <v>472978.16</v>
      </c>
      <c r="Q7" s="350">
        <f t="shared" ref="Q7:Q12" si="1">N7-P7</f>
        <v>7232092.8499999996</v>
      </c>
      <c r="R7" s="143"/>
      <c r="S7" s="137"/>
      <c r="T7" s="143"/>
      <c r="U7" s="137"/>
    </row>
    <row r="8" spans="1:21" ht="15.75" x14ac:dyDescent="0.25">
      <c r="A8" s="286" t="s">
        <v>1006</v>
      </c>
      <c r="B8" s="399"/>
      <c r="C8" s="288"/>
      <c r="D8" s="289">
        <v>33092118.399999999</v>
      </c>
      <c r="E8" s="288"/>
      <c r="F8" s="289">
        <v>9379577.6899999995</v>
      </c>
      <c r="G8" s="288"/>
      <c r="H8" s="289">
        <v>96058692.859999999</v>
      </c>
      <c r="I8" s="288"/>
      <c r="J8" s="350">
        <f t="shared" si="0"/>
        <v>7638219.8799999999</v>
      </c>
      <c r="K8" s="288"/>
      <c r="L8" s="289">
        <v>530898.99</v>
      </c>
      <c r="M8" s="288"/>
      <c r="N8" s="289">
        <v>7953538.6699999999</v>
      </c>
      <c r="O8" s="289">
        <v>5559291.5099999998</v>
      </c>
      <c r="P8" s="289">
        <v>315318.78999999998</v>
      </c>
      <c r="Q8" s="350">
        <f t="shared" si="1"/>
        <v>7638219.8799999999</v>
      </c>
      <c r="R8" s="143"/>
      <c r="S8" s="137"/>
      <c r="T8" s="143"/>
      <c r="U8" s="137"/>
    </row>
    <row r="9" spans="1:21" ht="15.75" x14ac:dyDescent="0.25">
      <c r="A9" s="286" t="s">
        <v>1007</v>
      </c>
      <c r="B9" s="399"/>
      <c r="C9" s="288"/>
      <c r="D9" s="289">
        <v>33123080.350000001</v>
      </c>
      <c r="E9" s="288"/>
      <c r="F9" s="289">
        <v>9417290.3399999999</v>
      </c>
      <c r="G9" s="288"/>
      <c r="H9" s="289">
        <v>96484082.930000007</v>
      </c>
      <c r="I9" s="288"/>
      <c r="J9" s="350">
        <f t="shared" si="0"/>
        <v>7184922.0300000003</v>
      </c>
      <c r="K9" s="288"/>
      <c r="L9" s="289">
        <v>523516.78</v>
      </c>
      <c r="M9" s="288"/>
      <c r="N9" s="289">
        <v>7342581.4500000002</v>
      </c>
      <c r="O9" s="289">
        <v>5433155.2300000004</v>
      </c>
      <c r="P9" s="289">
        <v>157659.42000000001</v>
      </c>
      <c r="Q9" s="350">
        <f t="shared" si="1"/>
        <v>7184922.0300000003</v>
      </c>
      <c r="R9" s="143"/>
      <c r="S9" s="137"/>
      <c r="T9" s="143"/>
      <c r="U9" s="137"/>
    </row>
    <row r="10" spans="1:21" ht="15.75" x14ac:dyDescent="0.25">
      <c r="A10" s="286" t="s">
        <v>1008</v>
      </c>
      <c r="B10" s="399"/>
      <c r="C10" s="288"/>
      <c r="D10" s="289">
        <v>33129391.710000001</v>
      </c>
      <c r="E10" s="288"/>
      <c r="F10" s="289">
        <v>9723255.5800000001</v>
      </c>
      <c r="G10" s="288"/>
      <c r="H10" s="289">
        <v>92538396.900000006</v>
      </c>
      <c r="I10" s="288"/>
      <c r="J10" s="350">
        <f t="shared" si="0"/>
        <v>5906430.5300000003</v>
      </c>
      <c r="K10" s="288"/>
      <c r="L10" s="289">
        <v>512525.39</v>
      </c>
      <c r="M10" s="288"/>
      <c r="N10" s="289">
        <v>7923784.79</v>
      </c>
      <c r="O10" s="289">
        <v>4383452.57</v>
      </c>
      <c r="P10" s="289">
        <v>2017354.26</v>
      </c>
      <c r="Q10" s="350">
        <f t="shared" si="1"/>
        <v>5906430.5300000003</v>
      </c>
      <c r="R10" s="143"/>
      <c r="S10" s="137"/>
      <c r="T10" s="143"/>
      <c r="U10" s="137"/>
    </row>
    <row r="11" spans="1:21" ht="15.75" x14ac:dyDescent="0.25">
      <c r="A11" s="286" t="s">
        <v>1009</v>
      </c>
      <c r="B11" s="399"/>
      <c r="C11" s="288"/>
      <c r="D11" s="289">
        <v>32983715.02</v>
      </c>
      <c r="E11" s="288"/>
      <c r="F11" s="289">
        <v>9807522.5399999991</v>
      </c>
      <c r="G11" s="288"/>
      <c r="H11" s="289">
        <v>82091389.230000004</v>
      </c>
      <c r="I11" s="288"/>
      <c r="J11" s="350">
        <f t="shared" si="0"/>
        <v>5111117.6899999995</v>
      </c>
      <c r="K11" s="288"/>
      <c r="L11" s="289">
        <v>501513.1</v>
      </c>
      <c r="M11" s="288"/>
      <c r="N11" s="289">
        <v>6960359.0999999996</v>
      </c>
      <c r="O11" s="289">
        <v>3888232.95</v>
      </c>
      <c r="P11" s="289">
        <v>1849241.41</v>
      </c>
      <c r="Q11" s="350">
        <f t="shared" si="1"/>
        <v>5111117.6899999995</v>
      </c>
      <c r="R11" s="143"/>
      <c r="S11" s="137"/>
      <c r="T11" s="143"/>
      <c r="U11" s="137"/>
    </row>
    <row r="12" spans="1:21" ht="15.75" x14ac:dyDescent="0.25">
      <c r="A12" s="286" t="s">
        <v>1010</v>
      </c>
      <c r="B12" s="399"/>
      <c r="C12" s="288"/>
      <c r="D12" s="289">
        <v>32890103.41</v>
      </c>
      <c r="E12" s="288"/>
      <c r="F12" s="289">
        <v>9837806.8800000008</v>
      </c>
      <c r="G12" s="288"/>
      <c r="H12" s="289">
        <v>74480640.859999999</v>
      </c>
      <c r="I12" s="288"/>
      <c r="J12" s="350">
        <f t="shared" si="0"/>
        <v>6390573.7699999996</v>
      </c>
      <c r="K12" s="288"/>
      <c r="L12" s="289">
        <v>490495.67</v>
      </c>
      <c r="M12" s="288"/>
      <c r="N12" s="289">
        <v>8071702.3300000001</v>
      </c>
      <c r="O12" s="289">
        <v>3398103.33</v>
      </c>
      <c r="P12" s="289">
        <v>1681128.56</v>
      </c>
      <c r="Q12" s="350">
        <f t="shared" si="1"/>
        <v>6390573.7699999996</v>
      </c>
      <c r="R12" s="143"/>
      <c r="S12" s="137"/>
      <c r="T12" s="143"/>
      <c r="U12" s="137"/>
    </row>
    <row r="13" spans="1:21" ht="15.75" x14ac:dyDescent="0.25">
      <c r="A13" s="286" t="s">
        <v>1011</v>
      </c>
      <c r="B13" s="399"/>
      <c r="C13" s="288"/>
      <c r="D13" s="289">
        <v>33017684.800000001</v>
      </c>
      <c r="E13" s="288"/>
      <c r="F13" s="289">
        <v>9979032</v>
      </c>
      <c r="G13" s="288"/>
      <c r="H13" s="289">
        <v>79497725.170000002</v>
      </c>
      <c r="I13" s="288"/>
      <c r="J13" s="350">
        <f t="shared" si="0"/>
        <v>6887976.6299999999</v>
      </c>
      <c r="K13" s="288"/>
      <c r="L13" s="289">
        <v>481830.29</v>
      </c>
      <c r="M13" s="288"/>
      <c r="N13" s="289">
        <v>8400992.3399999999</v>
      </c>
      <c r="O13" s="289">
        <v>2889156.16</v>
      </c>
      <c r="P13" s="289">
        <v>1513015.71</v>
      </c>
      <c r="Q13" s="350">
        <f t="shared" ref="Q13:Q19" si="2">N13-P13</f>
        <v>6887976.6299999999</v>
      </c>
      <c r="R13" s="143"/>
      <c r="S13" s="137"/>
      <c r="T13" s="143"/>
      <c r="U13" s="137"/>
    </row>
    <row r="14" spans="1:21" ht="15.75" x14ac:dyDescent="0.25">
      <c r="A14" s="286" t="s">
        <v>1012</v>
      </c>
      <c r="B14" s="399"/>
      <c r="C14" s="288"/>
      <c r="D14" s="289">
        <v>33838235.200000003</v>
      </c>
      <c r="E14" s="288"/>
      <c r="F14" s="289">
        <v>9915258.1899999995</v>
      </c>
      <c r="G14" s="288"/>
      <c r="H14" s="289">
        <v>95361449.010000005</v>
      </c>
      <c r="I14" s="288"/>
      <c r="J14" s="350">
        <f t="shared" si="0"/>
        <v>6059565.0599999996</v>
      </c>
      <c r="K14" s="288"/>
      <c r="L14" s="289">
        <v>471706.71</v>
      </c>
      <c r="M14" s="288"/>
      <c r="N14" s="289">
        <v>7404467.9199999999</v>
      </c>
      <c r="O14" s="289">
        <v>2395286.29</v>
      </c>
      <c r="P14" s="289">
        <v>1344902.86</v>
      </c>
      <c r="Q14" s="350">
        <f t="shared" si="2"/>
        <v>6059565.0599999996</v>
      </c>
      <c r="R14" s="143"/>
      <c r="S14" s="137"/>
      <c r="T14" s="143"/>
      <c r="U14" s="137"/>
    </row>
    <row r="15" spans="1:21" ht="15.75" x14ac:dyDescent="0.25">
      <c r="A15" s="286" t="s">
        <v>1013</v>
      </c>
      <c r="B15" s="399"/>
      <c r="C15" s="288"/>
      <c r="D15" s="289">
        <v>34369554.140000001</v>
      </c>
      <c r="E15" s="288"/>
      <c r="F15" s="289">
        <v>10186164.039999999</v>
      </c>
      <c r="G15" s="288"/>
      <c r="H15" s="289">
        <v>98217300.290000007</v>
      </c>
      <c r="I15" s="288"/>
      <c r="J15" s="350">
        <f t="shared" si="0"/>
        <v>5304390.6900000004</v>
      </c>
      <c r="K15" s="288"/>
      <c r="L15" s="289">
        <v>460964.54</v>
      </c>
      <c r="M15" s="288"/>
      <c r="N15" s="289">
        <v>6481180.7000000002</v>
      </c>
      <c r="O15" s="289">
        <v>1893020.97</v>
      </c>
      <c r="P15" s="289">
        <v>1176790.01</v>
      </c>
      <c r="Q15" s="350">
        <f t="shared" si="2"/>
        <v>5304390.6900000004</v>
      </c>
      <c r="R15" s="143"/>
      <c r="S15" s="137"/>
      <c r="T15" s="143"/>
      <c r="U15" s="137"/>
    </row>
    <row r="16" spans="1:21" ht="15.75" x14ac:dyDescent="0.25">
      <c r="A16" s="286" t="s">
        <v>1014</v>
      </c>
      <c r="B16" s="399"/>
      <c r="C16" s="288"/>
      <c r="D16" s="289">
        <v>34036932.189999998</v>
      </c>
      <c r="E16" s="288"/>
      <c r="F16" s="289">
        <v>9914010.2699999996</v>
      </c>
      <c r="G16" s="288"/>
      <c r="H16" s="289">
        <v>96745428.760000005</v>
      </c>
      <c r="I16" s="288"/>
      <c r="J16" s="350">
        <f t="shared" si="0"/>
        <v>6276643.1499999994</v>
      </c>
      <c r="K16" s="288"/>
      <c r="L16" s="289">
        <v>450462.32</v>
      </c>
      <c r="M16" s="288"/>
      <c r="N16" s="289">
        <v>7285320.3099999996</v>
      </c>
      <c r="O16" s="289">
        <v>3053761.12</v>
      </c>
      <c r="P16" s="289">
        <v>1008677.16</v>
      </c>
      <c r="Q16" s="350">
        <f t="shared" si="2"/>
        <v>6276643.1499999994</v>
      </c>
      <c r="R16" s="143"/>
      <c r="S16" s="137"/>
      <c r="T16" s="143"/>
      <c r="U16" s="137"/>
    </row>
    <row r="17" spans="1:21" ht="15.75" x14ac:dyDescent="0.25">
      <c r="A17" s="286" t="s">
        <v>1003</v>
      </c>
      <c r="B17" s="475">
        <v>2012</v>
      </c>
      <c r="C17" s="288"/>
      <c r="D17" s="289">
        <v>34252319.170000002</v>
      </c>
      <c r="E17" s="288"/>
      <c r="F17" s="289">
        <v>10051772.1</v>
      </c>
      <c r="G17" s="288"/>
      <c r="H17" s="289">
        <v>87935980.780000001</v>
      </c>
      <c r="I17" s="288"/>
      <c r="J17" s="350">
        <f t="shared" ref="J17:J19" si="3">Q17</f>
        <v>5875552.3900000006</v>
      </c>
      <c r="K17" s="288"/>
      <c r="L17" s="289">
        <v>437931.35</v>
      </c>
      <c r="M17" s="288"/>
      <c r="N17" s="289">
        <v>6716116.7000000002</v>
      </c>
      <c r="O17" s="289">
        <v>2587754.38</v>
      </c>
      <c r="P17" s="289">
        <v>840564.31</v>
      </c>
      <c r="Q17" s="350">
        <f t="shared" si="2"/>
        <v>5875552.3900000006</v>
      </c>
      <c r="R17" s="143"/>
      <c r="S17" s="137"/>
      <c r="T17" s="143"/>
      <c r="U17" s="137"/>
    </row>
    <row r="18" spans="1:21" ht="15.75" x14ac:dyDescent="0.25">
      <c r="A18" s="286" t="s">
        <v>1004</v>
      </c>
      <c r="B18" s="399"/>
      <c r="C18" s="288"/>
      <c r="D18" s="289">
        <v>34371771.07</v>
      </c>
      <c r="E18" s="288"/>
      <c r="F18" s="289">
        <v>10204327.460000001</v>
      </c>
      <c r="G18" s="288"/>
      <c r="H18" s="289">
        <v>84398050.879999995</v>
      </c>
      <c r="I18" s="288"/>
      <c r="J18" s="350">
        <f t="shared" si="3"/>
        <v>6333282.1100000003</v>
      </c>
      <c r="K18" s="288"/>
      <c r="L18" s="289">
        <v>426062.63</v>
      </c>
      <c r="M18" s="288"/>
      <c r="N18" s="289">
        <v>7005733.5700000003</v>
      </c>
      <c r="O18" s="289">
        <v>2085692.18</v>
      </c>
      <c r="P18" s="289">
        <v>672451.46</v>
      </c>
      <c r="Q18" s="350">
        <f t="shared" si="2"/>
        <v>6333282.1100000003</v>
      </c>
      <c r="R18" s="143"/>
      <c r="S18" s="137"/>
      <c r="T18" s="143"/>
      <c r="U18" s="137"/>
    </row>
    <row r="19" spans="1:21" ht="15.75" x14ac:dyDescent="0.25">
      <c r="A19" s="286" t="s">
        <v>1005</v>
      </c>
      <c r="B19" s="287"/>
      <c r="C19" s="288"/>
      <c r="D19" s="291">
        <v>34275059.840000004</v>
      </c>
      <c r="E19" s="288"/>
      <c r="F19" s="291">
        <v>10207802.389999999</v>
      </c>
      <c r="G19" s="288"/>
      <c r="H19" s="291">
        <v>86500323.279999986</v>
      </c>
      <c r="I19" s="288"/>
      <c r="J19" s="351">
        <f t="shared" si="3"/>
        <v>5491591.2499999991</v>
      </c>
      <c r="K19" s="288"/>
      <c r="L19" s="291">
        <v>415494.53</v>
      </c>
      <c r="M19" s="290"/>
      <c r="N19" s="291">
        <v>5995929.8599999994</v>
      </c>
      <c r="O19" s="291">
        <v>1622924.89</v>
      </c>
      <c r="P19" s="291">
        <v>504338.61</v>
      </c>
      <c r="Q19" s="350">
        <f t="shared" si="2"/>
        <v>5491591.2499999991</v>
      </c>
      <c r="R19" s="143"/>
      <c r="S19" s="137"/>
      <c r="T19" s="143"/>
      <c r="U19" s="137"/>
    </row>
    <row r="20" spans="1:21" ht="15.75" x14ac:dyDescent="0.2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N20" s="123"/>
      <c r="O20" s="123"/>
      <c r="P20" s="123"/>
      <c r="Q20" s="116"/>
      <c r="R20" s="116"/>
      <c r="S20" s="116"/>
      <c r="T20" s="116"/>
      <c r="U20" s="116"/>
    </row>
    <row r="21" spans="1:21" ht="16.5" thickBot="1" x14ac:dyDescent="0.3">
      <c r="A21" s="124" t="s">
        <v>950</v>
      </c>
      <c r="B21" s="123"/>
      <c r="C21" s="123"/>
      <c r="D21" s="126">
        <f>SUM(D7:D19)</f>
        <v>436672719.76999998</v>
      </c>
      <c r="E21" s="123"/>
      <c r="F21" s="126">
        <f>SUM(F7:F19)</f>
        <v>127977377.10999997</v>
      </c>
      <c r="G21" s="123"/>
      <c r="H21" s="126">
        <f>SUM(H7:H19)</f>
        <v>1160626719.0399997</v>
      </c>
      <c r="I21" s="123"/>
      <c r="J21" s="126">
        <f>SUM(J7:J19)</f>
        <v>81692358.030000001</v>
      </c>
      <c r="K21" s="123"/>
      <c r="L21" s="126">
        <f>SUM(L7:L19)</f>
        <v>6243536.0999999996</v>
      </c>
      <c r="N21" s="126">
        <f>SUM(N7:N19)</f>
        <v>95246778.750000015</v>
      </c>
      <c r="O21" s="126">
        <f>SUM(O7:O19)</f>
        <v>44088662.230000004</v>
      </c>
      <c r="P21" s="126">
        <f>SUM(P7:P19)</f>
        <v>13554420.719999999</v>
      </c>
      <c r="Q21" s="116"/>
      <c r="R21" s="116"/>
      <c r="S21" s="116"/>
      <c r="T21" s="116"/>
      <c r="U21" s="116"/>
    </row>
    <row r="22" spans="1:21" ht="16.5" thickTop="1" x14ac:dyDescent="0.25">
      <c r="A22" s="124" t="s">
        <v>951</v>
      </c>
      <c r="B22" s="123"/>
      <c r="C22" s="123"/>
      <c r="D22" s="127">
        <f>ROUND(D21/13,0)</f>
        <v>33590209</v>
      </c>
      <c r="E22" s="123"/>
      <c r="F22" s="127">
        <f>ROUND(F21/13,0)</f>
        <v>9844414</v>
      </c>
      <c r="G22" s="123"/>
      <c r="H22" s="127">
        <f>ROUND(H21/13,0)</f>
        <v>89278978</v>
      </c>
      <c r="I22" s="123"/>
      <c r="J22" s="127">
        <f>ROUND(J21/13,0)</f>
        <v>6284028</v>
      </c>
      <c r="K22" s="123"/>
      <c r="L22" s="127">
        <f>ROUND(L21/13,0)</f>
        <v>480272</v>
      </c>
      <c r="N22" s="127">
        <f>ROUND(N21/13,0)</f>
        <v>7326675</v>
      </c>
      <c r="O22" s="127">
        <f>ROUND(O21/13,0)</f>
        <v>3391436</v>
      </c>
      <c r="P22" s="127">
        <f>ROUND(P21/13,0)</f>
        <v>1042648</v>
      </c>
      <c r="Q22" s="116"/>
      <c r="R22" s="116"/>
      <c r="S22" s="116"/>
      <c r="T22" s="116"/>
      <c r="U22" s="116"/>
    </row>
    <row r="23" spans="1:21" ht="15.75" x14ac:dyDescent="0.2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N23" s="123"/>
      <c r="O23" s="123"/>
      <c r="P23" s="123"/>
      <c r="Q23" s="116"/>
      <c r="R23" s="116"/>
      <c r="S23" s="116"/>
      <c r="T23" s="116"/>
      <c r="U23" s="116"/>
    </row>
    <row r="24" spans="1:21" ht="15.75" x14ac:dyDescent="0.25">
      <c r="A24" s="123"/>
      <c r="B24" s="123"/>
      <c r="C24" s="123"/>
      <c r="D24" s="128" t="s">
        <v>952</v>
      </c>
      <c r="E24" s="128"/>
      <c r="F24" s="128" t="s">
        <v>1056</v>
      </c>
      <c r="G24" s="128"/>
      <c r="H24" s="128" t="s">
        <v>683</v>
      </c>
      <c r="I24" s="128"/>
      <c r="J24" s="128" t="s">
        <v>1059</v>
      </c>
      <c r="K24" s="128"/>
      <c r="L24" s="128" t="s">
        <v>614</v>
      </c>
      <c r="N24" s="128" t="s">
        <v>1059</v>
      </c>
      <c r="O24" s="128" t="s">
        <v>1059</v>
      </c>
      <c r="P24" s="128" t="s">
        <v>1059</v>
      </c>
      <c r="Q24" s="116"/>
      <c r="R24" s="116"/>
      <c r="S24" s="116"/>
      <c r="T24" s="116"/>
      <c r="U24" s="116"/>
    </row>
    <row r="25" spans="1:21" s="136" customFormat="1" ht="15.75" x14ac:dyDescent="0.25">
      <c r="A25" s="123" t="s">
        <v>953</v>
      </c>
      <c r="B25" s="123"/>
      <c r="C25" s="123"/>
      <c r="D25" s="129">
        <f ca="1">J38</f>
        <v>0.86665399999999992</v>
      </c>
      <c r="E25" s="123"/>
      <c r="F25" s="129">
        <f ca="1">TOTALCO!$F$386</f>
        <v>0.86664594038188369</v>
      </c>
      <c r="G25" s="129"/>
      <c r="H25" s="129">
        <f>TOTALCO!$F$333</f>
        <v>0.86756687854205383</v>
      </c>
      <c r="I25" s="129"/>
      <c r="J25" s="129">
        <f ca="1">TOTALCO!$F$387</f>
        <v>0.87918431421558041</v>
      </c>
      <c r="K25" s="129"/>
      <c r="L25" s="129">
        <f>TOTALCO!$F$276</f>
        <v>0.86549017314247356</v>
      </c>
      <c r="N25" s="129">
        <f ca="1">TOTALCO!$F$387</f>
        <v>0.87918431421558041</v>
      </c>
      <c r="O25" s="129">
        <f ca="1">TOTALCO!$F$387</f>
        <v>0.87918431421558041</v>
      </c>
      <c r="P25" s="129">
        <f ca="1">TOTALCO!$F$387</f>
        <v>0.87918431421558041</v>
      </c>
      <c r="Q25" s="144"/>
      <c r="R25" s="144"/>
      <c r="S25" s="144"/>
      <c r="T25" s="144"/>
      <c r="U25" s="144"/>
    </row>
    <row r="26" spans="1:21" ht="15.75" x14ac:dyDescent="0.2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N26" s="123"/>
      <c r="O26" s="123"/>
      <c r="P26" s="123"/>
      <c r="Q26" s="116"/>
      <c r="R26" s="116"/>
      <c r="S26" s="116"/>
      <c r="T26" s="116"/>
      <c r="U26" s="116"/>
    </row>
    <row r="27" spans="1:21" ht="16.5" thickBot="1" x14ac:dyDescent="0.3">
      <c r="A27" s="123" t="s">
        <v>954</v>
      </c>
      <c r="B27" s="123"/>
      <c r="C27" s="123"/>
      <c r="D27" s="126">
        <f ca="1">ROUND(D22*D25,0)</f>
        <v>29111089</v>
      </c>
      <c r="E27" s="123"/>
      <c r="F27" s="126">
        <f ca="1">ROUND(F22*F25,0)</f>
        <v>8531621</v>
      </c>
      <c r="G27" s="123"/>
      <c r="H27" s="126">
        <f>ROUND(H22*H25,0)</f>
        <v>77455484</v>
      </c>
      <c r="I27" s="123"/>
      <c r="J27" s="126">
        <f ca="1">ROUND(J22*J25,0)</f>
        <v>5524819</v>
      </c>
      <c r="K27" s="123"/>
      <c r="L27" s="126">
        <f>ROUND(L22*L25,0)</f>
        <v>415671</v>
      </c>
      <c r="N27" s="126">
        <f ca="1">ROUND(N22*N25,0)</f>
        <v>6441498</v>
      </c>
      <c r="O27" s="126">
        <f ca="1">ROUND(O22*O25,0)</f>
        <v>2981697</v>
      </c>
      <c r="P27" s="126">
        <f ca="1">ROUND(P22*P25,0)</f>
        <v>916680</v>
      </c>
      <c r="Q27" s="116"/>
      <c r="R27" s="116"/>
      <c r="S27" s="116"/>
      <c r="T27" s="116"/>
      <c r="U27" s="116"/>
    </row>
    <row r="28" spans="1:21" ht="16.5" thickTop="1" x14ac:dyDescent="0.25">
      <c r="A28" s="123"/>
      <c r="B28" s="123"/>
      <c r="C28" s="123"/>
      <c r="D28" s="127"/>
      <c r="E28" s="123"/>
      <c r="F28" s="127"/>
      <c r="G28" s="123"/>
      <c r="H28" s="127"/>
      <c r="I28" s="123"/>
      <c r="J28" s="127"/>
      <c r="K28" s="123"/>
      <c r="L28" s="127"/>
      <c r="N28" s="127"/>
      <c r="O28" s="127"/>
      <c r="P28" s="127"/>
    </row>
    <row r="29" spans="1:21" ht="15.75" x14ac:dyDescent="0.25">
      <c r="A29" s="123"/>
      <c r="B29" s="123"/>
      <c r="C29" s="123"/>
      <c r="D29" s="127"/>
      <c r="E29" s="123"/>
      <c r="F29" s="127"/>
      <c r="G29" s="123"/>
      <c r="H29" s="127"/>
      <c r="I29" s="123"/>
      <c r="J29" s="127"/>
      <c r="K29" s="123"/>
      <c r="L29" s="127"/>
      <c r="N29" s="127"/>
      <c r="O29" s="127"/>
      <c r="P29" s="127"/>
    </row>
    <row r="30" spans="1:21" ht="15.75" x14ac:dyDescent="0.25">
      <c r="A30" s="123" t="s">
        <v>955</v>
      </c>
      <c r="B30" s="123"/>
      <c r="C30" s="123"/>
      <c r="D30" s="127"/>
      <c r="E30" s="123"/>
      <c r="F30" s="127"/>
      <c r="G30" s="123"/>
      <c r="H30" s="127"/>
      <c r="I30" s="123"/>
      <c r="J30" s="127"/>
      <c r="K30" s="123"/>
      <c r="L30" s="127"/>
      <c r="N30" s="127"/>
      <c r="O30" s="127"/>
      <c r="P30" s="127"/>
    </row>
    <row r="31" spans="1:21" ht="15.75" x14ac:dyDescent="0.25">
      <c r="A31" s="123" t="s">
        <v>956</v>
      </c>
      <c r="B31" s="123"/>
      <c r="C31" s="123"/>
      <c r="D31" s="127"/>
      <c r="E31" s="123"/>
      <c r="F31" s="127"/>
      <c r="G31" s="123"/>
      <c r="H31" s="127"/>
      <c r="I31" s="123"/>
      <c r="J31" s="127"/>
      <c r="K31" s="123"/>
      <c r="L31" s="127"/>
      <c r="N31" s="127"/>
      <c r="O31" s="127"/>
      <c r="P31" s="127"/>
    </row>
    <row r="32" spans="1:21" ht="15.75" x14ac:dyDescent="0.25">
      <c r="A32" s="123"/>
      <c r="B32" s="123"/>
      <c r="C32" s="123"/>
      <c r="D32" s="127"/>
      <c r="E32" s="123"/>
      <c r="F32" s="127"/>
      <c r="G32" s="123"/>
      <c r="H32" s="127"/>
      <c r="I32" s="123"/>
      <c r="J32" s="127"/>
      <c r="K32" s="123"/>
      <c r="L32" s="127"/>
      <c r="N32" s="127"/>
      <c r="O32" s="127"/>
      <c r="P32" s="127"/>
    </row>
    <row r="33" spans="1:17" ht="15.75" x14ac:dyDescent="0.25">
      <c r="A33" s="123"/>
      <c r="B33" s="125" t="s">
        <v>1521</v>
      </c>
      <c r="C33" s="123"/>
      <c r="D33" s="130" t="s">
        <v>957</v>
      </c>
      <c r="E33" s="128"/>
      <c r="F33" s="130" t="s">
        <v>958</v>
      </c>
      <c r="G33" s="128"/>
      <c r="H33" s="130" t="s">
        <v>958</v>
      </c>
      <c r="I33" s="128"/>
      <c r="J33" s="130" t="s">
        <v>959</v>
      </c>
      <c r="K33" s="128"/>
      <c r="L33" s="146"/>
      <c r="N33" s="130"/>
      <c r="O33" s="146"/>
      <c r="P33" s="146"/>
    </row>
    <row r="34" spans="1:17" ht="16.5" thickBot="1" x14ac:dyDescent="0.3">
      <c r="A34" s="123"/>
      <c r="B34" s="131" t="s">
        <v>960</v>
      </c>
      <c r="C34" s="123"/>
      <c r="D34" s="132" t="s">
        <v>961</v>
      </c>
      <c r="E34" s="128"/>
      <c r="F34" s="132" t="s">
        <v>962</v>
      </c>
      <c r="G34" s="128"/>
      <c r="H34" s="132" t="s">
        <v>963</v>
      </c>
      <c r="I34" s="128"/>
      <c r="J34" s="132" t="s">
        <v>964</v>
      </c>
      <c r="K34" s="128"/>
      <c r="L34" s="146"/>
      <c r="N34" s="146"/>
      <c r="O34" s="146"/>
      <c r="P34" s="146"/>
    </row>
    <row r="35" spans="1:17" ht="15.75" x14ac:dyDescent="0.25">
      <c r="A35" s="123" t="s">
        <v>965</v>
      </c>
      <c r="B35" s="432">
        <f>'2012q1'!D36</f>
        <v>24609116.731468812</v>
      </c>
      <c r="C35" s="123"/>
      <c r="D35" s="133">
        <f>ROUND(B35/$B$38,5)</f>
        <v>0.71799000000000002</v>
      </c>
      <c r="E35" s="123"/>
      <c r="F35" s="130" t="s">
        <v>1046</v>
      </c>
      <c r="G35" s="123"/>
      <c r="H35" s="129">
        <f ca="1">TOTALCO!$F$384</f>
        <v>0.85693239087841977</v>
      </c>
      <c r="I35" s="123"/>
      <c r="J35" s="129">
        <f ca="1">ROUND(D35*H35,6)</f>
        <v>0.61526899999999995</v>
      </c>
      <c r="K35" s="123"/>
      <c r="L35" s="147"/>
      <c r="N35" s="147"/>
      <c r="O35" s="147"/>
      <c r="P35" s="147"/>
      <c r="Q35" s="116"/>
    </row>
    <row r="36" spans="1:17" ht="15.75" x14ac:dyDescent="0.25">
      <c r="A36" s="123" t="s">
        <v>966</v>
      </c>
      <c r="B36" s="433">
        <f>'2012q1'!D35</f>
        <v>3455449.254149348</v>
      </c>
      <c r="C36" s="123"/>
      <c r="D36" s="133">
        <f>ROUND(B36/$B$38,5)</f>
        <v>0.10082000000000001</v>
      </c>
      <c r="E36" s="123"/>
      <c r="F36" s="130" t="s">
        <v>1048</v>
      </c>
      <c r="G36" s="123"/>
      <c r="H36" s="129">
        <f ca="1">TOTALCO!$F$385</f>
        <v>0.80246280753473243</v>
      </c>
      <c r="I36" s="123"/>
      <c r="J36" s="129">
        <f ca="1">ROUND(D36*H36,6)</f>
        <v>8.0904000000000004E-2</v>
      </c>
      <c r="K36" s="123"/>
      <c r="L36" s="147"/>
      <c r="N36" s="147"/>
      <c r="O36" s="147"/>
      <c r="P36" s="147"/>
      <c r="Q36" s="116"/>
    </row>
    <row r="37" spans="1:17" ht="15.75" x14ac:dyDescent="0.25">
      <c r="A37" s="123" t="s">
        <v>967</v>
      </c>
      <c r="B37" s="434">
        <f>'2012q1'!D34</f>
        <v>6210493.8243997507</v>
      </c>
      <c r="C37" s="123"/>
      <c r="D37" s="133">
        <f>ROUND(B37/$B$38,5)</f>
        <v>0.1812</v>
      </c>
      <c r="E37" s="123"/>
      <c r="F37" s="130" t="s">
        <v>1037</v>
      </c>
      <c r="G37" s="123"/>
      <c r="H37" s="129">
        <f ca="1">TOTALCO!$F$378</f>
        <v>0.94084668465142995</v>
      </c>
      <c r="I37" s="123"/>
      <c r="J37" s="134">
        <f ca="1">ROUND(D37*H37,6)</f>
        <v>0.17048099999999999</v>
      </c>
      <c r="K37" s="123"/>
      <c r="L37" s="147"/>
      <c r="N37" s="147"/>
      <c r="O37" s="147"/>
      <c r="P37" s="147"/>
      <c r="Q37" s="116"/>
    </row>
    <row r="38" spans="1:17" ht="16.5" thickBot="1" x14ac:dyDescent="0.3">
      <c r="A38" s="123" t="s">
        <v>968</v>
      </c>
      <c r="B38" s="127">
        <f>SUM(B35:B37)</f>
        <v>34275059.810017914</v>
      </c>
      <c r="C38" s="123"/>
      <c r="D38" s="142"/>
      <c r="E38" s="123"/>
      <c r="F38" s="127"/>
      <c r="G38" s="123"/>
      <c r="H38" s="127"/>
      <c r="I38" s="123"/>
      <c r="J38" s="135">
        <f ca="1">SUM(J35:J37)</f>
        <v>0.86665399999999992</v>
      </c>
      <c r="K38" s="123"/>
      <c r="L38" s="147"/>
      <c r="N38" s="147"/>
      <c r="O38" s="147"/>
      <c r="P38" s="147"/>
      <c r="Q38" s="116"/>
    </row>
    <row r="39" spans="1:17" ht="16.5" thickTop="1" x14ac:dyDescent="0.25">
      <c r="A39" s="123"/>
      <c r="B39" s="123"/>
      <c r="C39" s="123"/>
      <c r="D39" s="127"/>
      <c r="E39" s="123"/>
      <c r="F39" s="127"/>
      <c r="G39" s="123"/>
      <c r="H39" s="127"/>
      <c r="I39" s="123"/>
      <c r="J39" s="127"/>
      <c r="K39" s="123"/>
      <c r="L39" s="127"/>
      <c r="N39" s="155"/>
      <c r="O39" s="127"/>
      <c r="P39" s="127"/>
    </row>
    <row r="40" spans="1:17" ht="15.75" x14ac:dyDescent="0.25">
      <c r="A40" s="123"/>
      <c r="B40" s="123"/>
      <c r="C40" s="123"/>
      <c r="D40" s="127"/>
      <c r="E40" s="123"/>
      <c r="F40" s="127"/>
      <c r="G40" s="123"/>
      <c r="H40" s="127"/>
      <c r="I40" s="123"/>
      <c r="J40" s="127"/>
      <c r="K40" s="123"/>
      <c r="L40" s="127"/>
      <c r="N40" s="127"/>
      <c r="O40" s="127"/>
      <c r="P40" s="127"/>
    </row>
    <row r="41" spans="1:17" ht="15.75" x14ac:dyDescent="0.25">
      <c r="A41" s="123" t="s">
        <v>969</v>
      </c>
      <c r="B41" s="123"/>
      <c r="C41" s="123"/>
      <c r="D41" s="127"/>
      <c r="E41" s="123"/>
      <c r="F41" s="127"/>
      <c r="G41" s="123"/>
      <c r="H41" s="127"/>
      <c r="I41" s="123"/>
      <c r="J41" s="127"/>
      <c r="K41" s="123"/>
      <c r="L41" s="127"/>
      <c r="N41" s="127"/>
      <c r="O41" s="127"/>
      <c r="P41" s="127"/>
    </row>
    <row r="42" spans="1:17" x14ac:dyDescent="0.15">
      <c r="A42" s="115" t="s">
        <v>970</v>
      </c>
    </row>
    <row r="43" spans="1:17" x14ac:dyDescent="0.15">
      <c r="B43" s="116"/>
    </row>
    <row r="44" spans="1:17" ht="15.75" x14ac:dyDescent="0.25">
      <c r="B44" s="137"/>
    </row>
    <row r="45" spans="1:17" ht="15.75" x14ac:dyDescent="0.25">
      <c r="B45" s="137"/>
    </row>
    <row r="46" spans="1:17" x14ac:dyDescent="0.15">
      <c r="B46" s="116"/>
    </row>
    <row r="47" spans="1:17" x14ac:dyDescent="0.15">
      <c r="B47" s="116"/>
    </row>
  </sheetData>
  <mergeCells count="2">
    <mergeCell ref="A1:L1"/>
    <mergeCell ref="A2:L2"/>
  </mergeCells>
  <phoneticPr fontId="10" type="noConversion"/>
  <pageMargins left="0.75" right="0.75" top="1" bottom="1" header="0.5" footer="0.5"/>
  <pageSetup scale="6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40"/>
  <sheetViews>
    <sheetView workbookViewId="0">
      <selection activeCell="F15" sqref="F15"/>
    </sheetView>
  </sheetViews>
  <sheetFormatPr defaultRowHeight="11.25" x14ac:dyDescent="0.2"/>
  <cols>
    <col min="1" max="1" width="5.25" style="315" customWidth="1"/>
    <col min="2" max="2" width="9" style="315"/>
    <col min="3" max="3" width="29.5" style="315" customWidth="1"/>
    <col min="4" max="4" width="12.375" style="315" customWidth="1"/>
    <col min="5" max="5" width="11.625" style="315" bestFit="1" customWidth="1"/>
    <col min="6" max="6" width="11.75" style="315" customWidth="1"/>
    <col min="7" max="7" width="12.125" style="315" customWidth="1"/>
    <col min="8" max="8" width="10.25" style="315" bestFit="1" customWidth="1"/>
    <col min="9" max="9" width="10.5" style="24" bestFit="1" customWidth="1"/>
    <col min="10" max="16384" width="9" style="315"/>
  </cols>
  <sheetData>
    <row r="1" spans="1:7" x14ac:dyDescent="0.2">
      <c r="A1" s="515" t="s">
        <v>1267</v>
      </c>
      <c r="B1" s="515"/>
      <c r="C1" s="515"/>
      <c r="D1" s="515"/>
      <c r="E1" s="515"/>
      <c r="F1" s="515"/>
      <c r="G1" s="314"/>
    </row>
    <row r="2" spans="1:7" x14ac:dyDescent="0.2">
      <c r="A2" s="316"/>
      <c r="B2" s="316"/>
      <c r="C2" s="316"/>
      <c r="D2" s="316"/>
      <c r="E2" s="316"/>
      <c r="F2" s="316"/>
      <c r="G2" s="316"/>
    </row>
    <row r="3" spans="1:7" x14ac:dyDescent="0.2">
      <c r="A3" s="515" t="s">
        <v>1268</v>
      </c>
      <c r="B3" s="515"/>
      <c r="C3" s="515"/>
      <c r="D3" s="515"/>
      <c r="E3" s="515"/>
      <c r="F3" s="515"/>
      <c r="G3" s="314"/>
    </row>
    <row r="4" spans="1:7" x14ac:dyDescent="0.2">
      <c r="A4" s="516">
        <v>40999</v>
      </c>
      <c r="B4" s="516"/>
      <c r="C4" s="516"/>
      <c r="D4" s="516"/>
      <c r="E4" s="516"/>
      <c r="F4" s="516"/>
      <c r="G4" s="317"/>
    </row>
    <row r="5" spans="1:7" x14ac:dyDescent="0.2">
      <c r="A5" s="316"/>
      <c r="B5" s="316"/>
      <c r="C5" s="316"/>
      <c r="D5" s="316"/>
      <c r="E5" s="316"/>
      <c r="F5" s="316"/>
      <c r="G5" s="316"/>
    </row>
    <row r="8" spans="1:7" x14ac:dyDescent="0.2">
      <c r="A8" s="315" t="s">
        <v>1269</v>
      </c>
      <c r="F8" s="489">
        <v>34275059.840000004</v>
      </c>
      <c r="G8" s="315" t="s">
        <v>1270</v>
      </c>
    </row>
    <row r="9" spans="1:7" x14ac:dyDescent="0.2">
      <c r="A9" s="318" t="s">
        <v>1271</v>
      </c>
      <c r="E9" s="234"/>
      <c r="F9" s="490">
        <v>1032932.17</v>
      </c>
      <c r="G9" s="315" t="s">
        <v>1270</v>
      </c>
    </row>
    <row r="10" spans="1:7" x14ac:dyDescent="0.2">
      <c r="E10" s="235"/>
    </row>
    <row r="11" spans="1:7" ht="12" thickBot="1" x14ac:dyDescent="0.25">
      <c r="A11" s="315" t="s">
        <v>1272</v>
      </c>
      <c r="E11" s="234"/>
      <c r="F11" s="236">
        <f>+F8-F9</f>
        <v>33242127.670000002</v>
      </c>
    </row>
    <row r="12" spans="1:7" ht="12" thickTop="1" x14ac:dyDescent="0.2">
      <c r="B12" s="318" t="s">
        <v>1273</v>
      </c>
      <c r="D12" s="24"/>
      <c r="F12" s="24"/>
      <c r="G12" s="24"/>
    </row>
    <row r="13" spans="1:7" x14ac:dyDescent="0.2">
      <c r="D13" s="24"/>
      <c r="F13" s="24"/>
      <c r="G13" s="24"/>
    </row>
    <row r="14" spans="1:7" x14ac:dyDescent="0.2">
      <c r="B14" s="315" t="s">
        <v>1274</v>
      </c>
      <c r="D14" s="233">
        <f>'Mar 2012'!C59</f>
        <v>23576184.56146881</v>
      </c>
      <c r="E14" s="234"/>
      <c r="F14" s="233"/>
      <c r="G14" s="24"/>
    </row>
    <row r="15" spans="1:7" x14ac:dyDescent="0.2">
      <c r="B15" s="315" t="s">
        <v>1275</v>
      </c>
      <c r="D15" s="24">
        <f>F9</f>
        <v>1032932.17</v>
      </c>
      <c r="E15" s="234"/>
      <c r="F15" s="233">
        <f>D14+D15</f>
        <v>24609116.731468812</v>
      </c>
      <c r="G15" s="24"/>
    </row>
    <row r="16" spans="1:7" x14ac:dyDescent="0.2">
      <c r="B16" s="315" t="s">
        <v>1276</v>
      </c>
      <c r="E16" s="234"/>
      <c r="F16" s="24">
        <f>D34</f>
        <v>6210493.8243997507</v>
      </c>
      <c r="G16" s="24"/>
    </row>
    <row r="17" spans="2:8" x14ac:dyDescent="0.2">
      <c r="B17" s="315" t="s">
        <v>1277</v>
      </c>
      <c r="D17" s="24"/>
      <c r="F17" s="237">
        <f>D35</f>
        <v>3455449.254149348</v>
      </c>
      <c r="G17" s="24"/>
    </row>
    <row r="18" spans="2:8" x14ac:dyDescent="0.2">
      <c r="D18" s="24"/>
      <c r="F18" s="24">
        <f>SUM(F15:F17)</f>
        <v>34275059.810017914</v>
      </c>
      <c r="G18" s="233"/>
      <c r="H18" s="319"/>
    </row>
    <row r="19" spans="2:8" x14ac:dyDescent="0.2">
      <c r="B19" s="320"/>
      <c r="C19" s="321"/>
      <c r="D19" s="238"/>
      <c r="E19" s="235"/>
      <c r="F19" s="239"/>
      <c r="G19" s="239"/>
    </row>
    <row r="20" spans="2:8" x14ac:dyDescent="0.2">
      <c r="B20" s="320"/>
      <c r="C20" s="321"/>
      <c r="D20" s="239"/>
      <c r="E20" s="235"/>
      <c r="F20" s="239"/>
      <c r="G20" s="239"/>
    </row>
    <row r="21" spans="2:8" x14ac:dyDescent="0.2">
      <c r="B21" s="320"/>
      <c r="C21" s="320"/>
      <c r="D21" s="239"/>
      <c r="E21" s="235"/>
      <c r="F21" s="239"/>
      <c r="G21" s="239"/>
    </row>
    <row r="22" spans="2:8" x14ac:dyDescent="0.2">
      <c r="B22" s="320"/>
      <c r="C22" s="320"/>
      <c r="D22" s="239"/>
      <c r="E22" s="235"/>
      <c r="F22" s="320"/>
      <c r="G22" s="239"/>
    </row>
    <row r="23" spans="2:8" x14ac:dyDescent="0.2">
      <c r="B23" s="320"/>
      <c r="C23" s="320"/>
      <c r="D23" s="239"/>
      <c r="E23" s="235"/>
      <c r="F23" s="320"/>
      <c r="G23" s="239"/>
    </row>
    <row r="24" spans="2:8" x14ac:dyDescent="0.2">
      <c r="C24" s="315" t="s">
        <v>1278</v>
      </c>
      <c r="D24" s="239"/>
      <c r="E24" s="235"/>
      <c r="F24" s="239"/>
      <c r="G24" s="239"/>
    </row>
    <row r="25" spans="2:8" x14ac:dyDescent="0.2">
      <c r="B25" s="320"/>
      <c r="C25" s="320" t="s">
        <v>998</v>
      </c>
      <c r="D25" s="238">
        <f>'Mar 2012'!C60</f>
        <v>2661057.8686400778</v>
      </c>
      <c r="E25" s="235">
        <f>ROUND(D25/D27,4)</f>
        <v>0.35749999999999998</v>
      </c>
      <c r="F25" s="239"/>
      <c r="G25" s="239"/>
    </row>
    <row r="26" spans="2:8" x14ac:dyDescent="0.2">
      <c r="B26" s="320"/>
      <c r="C26" s="321" t="s">
        <v>492</v>
      </c>
      <c r="D26" s="238">
        <f>'Mar 2012'!C61</f>
        <v>4782811.404288684</v>
      </c>
      <c r="E26" s="240">
        <f>ROUND(D26/D27,4)</f>
        <v>0.64249999999999996</v>
      </c>
      <c r="F26" s="239"/>
      <c r="G26" s="239"/>
    </row>
    <row r="27" spans="2:8" ht="12" thickBot="1" x14ac:dyDescent="0.25">
      <c r="B27" s="320"/>
      <c r="C27" s="321"/>
      <c r="D27" s="242">
        <f>D26+D25</f>
        <v>7443869.2729287613</v>
      </c>
      <c r="E27" s="241">
        <f>SUM(E25:E26)</f>
        <v>1</v>
      </c>
      <c r="F27" s="239"/>
      <c r="G27" s="239"/>
    </row>
    <row r="28" spans="2:8" ht="12" thickTop="1" x14ac:dyDescent="0.2">
      <c r="B28" s="320"/>
      <c r="C28" s="320"/>
      <c r="D28" s="239"/>
      <c r="E28" s="235"/>
      <c r="F28" s="239"/>
      <c r="G28" s="239"/>
    </row>
    <row r="29" spans="2:8" x14ac:dyDescent="0.2">
      <c r="B29" s="320"/>
      <c r="C29" s="320" t="s">
        <v>1279</v>
      </c>
      <c r="D29" s="238">
        <f>'Mar 2012'!C62</f>
        <v>2222073.8056203369</v>
      </c>
      <c r="E29" s="320"/>
      <c r="F29" s="239"/>
      <c r="G29" s="239"/>
    </row>
    <row r="30" spans="2:8" x14ac:dyDescent="0.2">
      <c r="B30" s="320"/>
      <c r="C30" s="398" t="str">
        <f>"to transmission total "&amp;E25*100&amp;"%:"</f>
        <v>to transmission total 35.75%:</v>
      </c>
      <c r="D30" s="322">
        <f>D29*E25</f>
        <v>794391.38550927036</v>
      </c>
      <c r="E30" s="322"/>
      <c r="F30" s="239"/>
      <c r="G30" s="239"/>
    </row>
    <row r="31" spans="2:8" x14ac:dyDescent="0.2">
      <c r="B31" s="320"/>
      <c r="C31" s="398" t="str">
        <f>"to distribution total "&amp;E26*100&amp;"%:"</f>
        <v>to distribution total 64.25%:</v>
      </c>
      <c r="D31" s="322">
        <f>D29*E26</f>
        <v>1427682.4201110664</v>
      </c>
      <c r="E31" s="320"/>
      <c r="F31" s="320"/>
      <c r="G31" s="320"/>
    </row>
    <row r="32" spans="2:8" ht="12" thickBot="1" x14ac:dyDescent="0.25">
      <c r="B32" s="320"/>
      <c r="C32" s="320"/>
      <c r="D32" s="242">
        <f>D30+D31</f>
        <v>2222073.8056203369</v>
      </c>
      <c r="E32" s="320"/>
      <c r="F32" s="320"/>
      <c r="G32" s="320"/>
    </row>
    <row r="33" spans="2:7" ht="12" thickTop="1" x14ac:dyDescent="0.2">
      <c r="B33" s="320"/>
      <c r="C33" s="320"/>
      <c r="D33" s="320"/>
      <c r="E33" s="320"/>
      <c r="F33" s="320"/>
      <c r="G33" s="320"/>
    </row>
    <row r="34" spans="2:7" x14ac:dyDescent="0.2">
      <c r="B34" s="320"/>
      <c r="C34" s="320" t="s">
        <v>492</v>
      </c>
      <c r="D34" s="322">
        <f>D26+D31</f>
        <v>6210493.8243997507</v>
      </c>
      <c r="E34" s="320"/>
      <c r="F34" s="320"/>
      <c r="G34" s="320"/>
    </row>
    <row r="35" spans="2:7" x14ac:dyDescent="0.2">
      <c r="B35" s="320"/>
      <c r="C35" s="320" t="s">
        <v>998</v>
      </c>
      <c r="D35" s="322">
        <f>D25+D30</f>
        <v>3455449.254149348</v>
      </c>
      <c r="E35" s="320"/>
      <c r="F35" s="320"/>
      <c r="G35" s="320"/>
    </row>
    <row r="36" spans="2:7" x14ac:dyDescent="0.2">
      <c r="B36" s="320"/>
      <c r="C36" s="320" t="s">
        <v>1280</v>
      </c>
      <c r="D36" s="322">
        <f>F15</f>
        <v>24609116.731468812</v>
      </c>
      <c r="E36" s="320"/>
      <c r="F36" s="320"/>
      <c r="G36" s="320"/>
    </row>
    <row r="37" spans="2:7" x14ac:dyDescent="0.2">
      <c r="B37" s="320"/>
      <c r="C37" s="315" t="s">
        <v>1281</v>
      </c>
      <c r="D37" s="323">
        <v>0</v>
      </c>
      <c r="E37" s="320"/>
      <c r="F37" s="320"/>
      <c r="G37" s="320"/>
    </row>
    <row r="38" spans="2:7" x14ac:dyDescent="0.2">
      <c r="B38" s="320"/>
      <c r="C38" s="320"/>
      <c r="D38" s="322">
        <f>SUM(D34:D37)</f>
        <v>34275059.810017914</v>
      </c>
      <c r="E38" s="320"/>
      <c r="F38" s="320"/>
      <c r="G38" s="320"/>
    </row>
    <row r="39" spans="2:7" x14ac:dyDescent="0.2">
      <c r="B39" s="320"/>
      <c r="C39" s="320"/>
      <c r="D39" s="320"/>
      <c r="E39" s="320"/>
      <c r="F39" s="320"/>
      <c r="G39" s="320"/>
    </row>
    <row r="40" spans="2:7" x14ac:dyDescent="0.2">
      <c r="B40" s="320"/>
      <c r="C40" s="320"/>
      <c r="D40" s="320"/>
      <c r="E40" s="320"/>
      <c r="F40" s="320"/>
      <c r="G40" s="320"/>
    </row>
  </sheetData>
  <mergeCells count="3">
    <mergeCell ref="A1:F1"/>
    <mergeCell ref="A3:F3"/>
    <mergeCell ref="A4:F4"/>
  </mergeCells>
  <pageMargins left="0.75" right="0.75" top="1" bottom="1" header="0.5" footer="0.5"/>
  <pageSetup scale="8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68"/>
  <sheetViews>
    <sheetView topLeftCell="A37" zoomScaleNormal="100" workbookViewId="0">
      <selection activeCell="B71" sqref="B71"/>
    </sheetView>
  </sheetViews>
  <sheetFormatPr defaultColWidth="8" defaultRowHeight="12.75" x14ac:dyDescent="0.2"/>
  <cols>
    <col min="1" max="1" width="5.875" style="436" customWidth="1"/>
    <col min="2" max="2" width="35.375" style="467" bestFit="1" customWidth="1"/>
    <col min="3" max="3" width="16" style="457" bestFit="1" customWidth="1"/>
    <col min="4" max="4" width="13.25" style="460" bestFit="1" customWidth="1"/>
    <col min="5" max="5" width="12.5" style="436" bestFit="1" customWidth="1"/>
    <col min="6" max="6" width="7.875" style="436" customWidth="1"/>
    <col min="7" max="7" width="30.5" style="465" bestFit="1" customWidth="1"/>
    <col min="8" max="8" width="9.375" style="436" bestFit="1" customWidth="1"/>
    <col min="9" max="16384" width="8" style="436"/>
  </cols>
  <sheetData>
    <row r="1" spans="1:8" x14ac:dyDescent="0.2">
      <c r="B1" s="517" t="s">
        <v>1510</v>
      </c>
      <c r="C1" s="517"/>
      <c r="D1" s="517"/>
      <c r="E1" s="517"/>
      <c r="F1" s="437"/>
      <c r="G1" s="438"/>
    </row>
    <row r="2" spans="1:8" x14ac:dyDescent="0.2">
      <c r="B2" s="439" t="s">
        <v>1431</v>
      </c>
      <c r="C2" s="440" t="s">
        <v>1432</v>
      </c>
      <c r="D2" s="441" t="s">
        <v>1433</v>
      </c>
      <c r="E2" s="442" t="s">
        <v>1434</v>
      </c>
      <c r="F2" s="437"/>
      <c r="G2" s="438"/>
    </row>
    <row r="3" spans="1:8" ht="51" x14ac:dyDescent="0.2">
      <c r="B3" s="443" t="s">
        <v>1435</v>
      </c>
      <c r="C3" s="444">
        <v>7968803.7858008798</v>
      </c>
      <c r="D3" s="445">
        <v>7970746.21</v>
      </c>
      <c r="E3" s="446">
        <f t="shared" ref="E3:E9" si="0">SUM(C3-D3)</f>
        <v>-1942.4241991201416</v>
      </c>
      <c r="F3" s="437"/>
      <c r="G3" s="447" t="s">
        <v>1511</v>
      </c>
      <c r="H3" s="448">
        <v>1942.45</v>
      </c>
    </row>
    <row r="4" spans="1:8" x14ac:dyDescent="0.2">
      <c r="B4" s="443" t="s">
        <v>1436</v>
      </c>
      <c r="C4" s="444">
        <v>67488.130593974507</v>
      </c>
      <c r="D4" s="445">
        <v>67488.149999999994</v>
      </c>
      <c r="E4" s="449">
        <f t="shared" si="0"/>
        <v>-1.9406025487114675E-2</v>
      </c>
      <c r="F4" s="437"/>
      <c r="G4" s="450"/>
      <c r="H4" s="451"/>
    </row>
    <row r="5" spans="1:8" x14ac:dyDescent="0.2">
      <c r="B5" s="443" t="s">
        <v>1437</v>
      </c>
      <c r="C5" s="444">
        <v>2747802.1155409697</v>
      </c>
      <c r="D5" s="445">
        <v>2747802.29</v>
      </c>
      <c r="E5" s="449">
        <f t="shared" si="0"/>
        <v>-0.17445903038606048</v>
      </c>
      <c r="F5" s="437"/>
      <c r="G5" s="450"/>
      <c r="H5" s="451"/>
    </row>
    <row r="6" spans="1:8" x14ac:dyDescent="0.2">
      <c r="B6" s="443" t="s">
        <v>1438</v>
      </c>
      <c r="C6" s="444">
        <v>13699436.8494561</v>
      </c>
      <c r="D6" s="445">
        <v>13699134.84</v>
      </c>
      <c r="E6" s="449">
        <f t="shared" si="0"/>
        <v>302.00945609994233</v>
      </c>
      <c r="F6" s="437"/>
      <c r="G6" s="452"/>
      <c r="H6" s="453"/>
    </row>
    <row r="7" spans="1:8" x14ac:dyDescent="0.2">
      <c r="B7" s="443" t="s">
        <v>1439</v>
      </c>
      <c r="C7" s="444">
        <v>248064.38084348</v>
      </c>
      <c r="D7" s="445">
        <v>248064.36</v>
      </c>
      <c r="E7" s="449">
        <f t="shared" si="0"/>
        <v>2.0843480015173554E-2</v>
      </c>
      <c r="F7" s="437"/>
      <c r="G7" s="452"/>
      <c r="H7" s="453"/>
    </row>
    <row r="8" spans="1:8" x14ac:dyDescent="0.2">
      <c r="B8" s="443" t="s">
        <v>1440</v>
      </c>
      <c r="C8" s="444">
        <v>5960215.1841911003</v>
      </c>
      <c r="D8" s="445">
        <v>5960215.0999999996</v>
      </c>
      <c r="E8" s="449">
        <f t="shared" si="0"/>
        <v>8.4191100671887398E-2</v>
      </c>
      <c r="F8" s="437"/>
      <c r="G8" s="452"/>
      <c r="H8" s="453"/>
    </row>
    <row r="9" spans="1:8" x14ac:dyDescent="0.2">
      <c r="B9" s="443" t="s">
        <v>1441</v>
      </c>
      <c r="C9" s="454">
        <v>244750.64077874002</v>
      </c>
      <c r="D9" s="455">
        <v>244750.64</v>
      </c>
      <c r="E9" s="456">
        <f t="shared" si="0"/>
        <v>7.787400099914521E-4</v>
      </c>
      <c r="F9" s="437"/>
      <c r="G9" s="452"/>
      <c r="H9" s="453"/>
    </row>
    <row r="10" spans="1:8" x14ac:dyDescent="0.2">
      <c r="B10" s="443" t="s">
        <v>1442</v>
      </c>
      <c r="C10" s="457">
        <f>SUM(C3:C9)</f>
        <v>30936561.087205242</v>
      </c>
      <c r="D10" s="458">
        <f>SUM(D3:D9)</f>
        <v>30938201.590000004</v>
      </c>
      <c r="E10" s="459">
        <f>SUM(C10-D10)</f>
        <v>-1640.5027947612107</v>
      </c>
      <c r="F10" s="437"/>
      <c r="G10" s="452"/>
      <c r="H10" s="453"/>
    </row>
    <row r="11" spans="1:8" x14ac:dyDescent="0.2">
      <c r="B11" s="443"/>
      <c r="F11" s="437"/>
      <c r="G11" s="452"/>
      <c r="H11" s="453"/>
    </row>
    <row r="12" spans="1:8" x14ac:dyDescent="0.2">
      <c r="B12" s="443"/>
      <c r="F12" s="437"/>
      <c r="G12" s="452"/>
      <c r="H12" s="453"/>
    </row>
    <row r="13" spans="1:8" x14ac:dyDescent="0.2">
      <c r="B13" s="439" t="s">
        <v>1431</v>
      </c>
      <c r="C13" s="440" t="s">
        <v>1432</v>
      </c>
      <c r="D13" s="441" t="s">
        <v>1433</v>
      </c>
      <c r="E13" s="442" t="s">
        <v>1434</v>
      </c>
      <c r="F13" s="461"/>
      <c r="G13" s="462"/>
      <c r="H13" s="453"/>
    </row>
    <row r="14" spans="1:8" x14ac:dyDescent="0.2">
      <c r="A14" s="463" t="s">
        <v>1443</v>
      </c>
      <c r="B14" s="436" t="s">
        <v>1444</v>
      </c>
      <c r="C14" s="444">
        <v>6484496.3641359704</v>
      </c>
      <c r="D14" s="445">
        <v>6484496.3600000003</v>
      </c>
      <c r="E14" s="459">
        <f t="shared" ref="E14:E53" si="1">SUM(C14-D14)</f>
        <v>4.1359700262546539E-3</v>
      </c>
      <c r="F14" s="461"/>
      <c r="G14" s="462"/>
      <c r="H14" s="453"/>
    </row>
    <row r="15" spans="1:8" x14ac:dyDescent="0.2">
      <c r="A15" s="463" t="s">
        <v>1445</v>
      </c>
      <c r="B15" s="436" t="s">
        <v>1446</v>
      </c>
      <c r="C15" s="444">
        <v>97119.988631422093</v>
      </c>
      <c r="D15" s="445">
        <v>97119.97</v>
      </c>
      <c r="E15" s="459">
        <f t="shared" si="1"/>
        <v>1.863142209185753E-2</v>
      </c>
      <c r="F15" s="461"/>
      <c r="G15" s="462"/>
      <c r="H15" s="464"/>
    </row>
    <row r="16" spans="1:8" x14ac:dyDescent="0.2">
      <c r="A16" s="463" t="s">
        <v>1445</v>
      </c>
      <c r="B16" s="436" t="s">
        <v>1447</v>
      </c>
      <c r="C16" s="444">
        <v>53821.038960168102</v>
      </c>
      <c r="D16" s="445">
        <v>53821.08</v>
      </c>
      <c r="E16" s="459">
        <f t="shared" si="1"/>
        <v>-4.1039831899979617E-2</v>
      </c>
      <c r="F16" s="461"/>
      <c r="G16" s="462"/>
      <c r="H16" s="453"/>
    </row>
    <row r="17" spans="1:8" x14ac:dyDescent="0.2">
      <c r="A17" s="463" t="s">
        <v>1445</v>
      </c>
      <c r="B17" s="436" t="s">
        <v>1448</v>
      </c>
      <c r="C17" s="444">
        <v>175348.36539382802</v>
      </c>
      <c r="D17" s="445">
        <v>175348.27</v>
      </c>
      <c r="E17" s="459">
        <f t="shared" si="1"/>
        <v>9.5393828029045835E-2</v>
      </c>
      <c r="F17" s="461"/>
      <c r="G17" s="462"/>
      <c r="H17" s="453"/>
    </row>
    <row r="18" spans="1:8" x14ac:dyDescent="0.2">
      <c r="A18" s="463" t="s">
        <v>1449</v>
      </c>
      <c r="B18" s="436" t="s">
        <v>1450</v>
      </c>
      <c r="C18" s="444">
        <v>401460.984748027</v>
      </c>
      <c r="D18" s="445">
        <v>401460.99</v>
      </c>
      <c r="E18" s="459">
        <f t="shared" si="1"/>
        <v>-5.2519729943014681E-3</v>
      </c>
      <c r="F18" s="461"/>
      <c r="G18" s="462"/>
      <c r="H18" s="453"/>
    </row>
    <row r="19" spans="1:8" x14ac:dyDescent="0.2">
      <c r="A19" s="463" t="s">
        <v>1451</v>
      </c>
      <c r="B19" s="436" t="s">
        <v>1452</v>
      </c>
      <c r="C19" s="444">
        <v>514672.92</v>
      </c>
      <c r="D19" s="445">
        <v>514672.93</v>
      </c>
      <c r="E19" s="459">
        <f t="shared" si="1"/>
        <v>-1.0000000009313226E-2</v>
      </c>
      <c r="F19" s="461"/>
      <c r="G19" s="462"/>
      <c r="H19" s="453"/>
    </row>
    <row r="20" spans="1:8" x14ac:dyDescent="0.2">
      <c r="A20" s="463" t="s">
        <v>1445</v>
      </c>
      <c r="B20" s="436" t="s">
        <v>1453</v>
      </c>
      <c r="C20" s="444">
        <v>190391.07327517</v>
      </c>
      <c r="D20" s="445">
        <v>190390.95</v>
      </c>
      <c r="E20" s="459">
        <f t="shared" si="1"/>
        <v>0.12327516998630017</v>
      </c>
      <c r="F20" s="461"/>
      <c r="G20" s="462"/>
      <c r="H20" s="453"/>
    </row>
    <row r="21" spans="1:8" x14ac:dyDescent="0.2">
      <c r="A21" s="463" t="s">
        <v>1445</v>
      </c>
      <c r="B21" s="436" t="s">
        <v>1454</v>
      </c>
      <c r="C21" s="444">
        <v>191138.59516006298</v>
      </c>
      <c r="D21" s="445">
        <v>191138.52</v>
      </c>
      <c r="E21" s="459">
        <f t="shared" si="1"/>
        <v>7.5160062988288701E-2</v>
      </c>
      <c r="F21" s="461"/>
      <c r="G21" s="462"/>
      <c r="H21" s="464"/>
    </row>
    <row r="22" spans="1:8" x14ac:dyDescent="0.2">
      <c r="A22" s="463" t="s">
        <v>1445</v>
      </c>
      <c r="B22" s="436" t="s">
        <v>1455</v>
      </c>
      <c r="C22" s="444">
        <v>150415.97542156401</v>
      </c>
      <c r="D22" s="445">
        <v>150416.12</v>
      </c>
      <c r="E22" s="459">
        <f t="shared" si="1"/>
        <v>-0.14457843598211184</v>
      </c>
      <c r="F22" s="461"/>
      <c r="G22" s="462"/>
      <c r="H22" s="464"/>
    </row>
    <row r="23" spans="1:8" x14ac:dyDescent="0.2">
      <c r="A23" s="463" t="s">
        <v>1449</v>
      </c>
      <c r="B23" s="436" t="s">
        <v>1456</v>
      </c>
      <c r="C23" s="444">
        <v>51581.827873244001</v>
      </c>
      <c r="D23" s="445">
        <v>51581.82</v>
      </c>
      <c r="E23" s="459">
        <f t="shared" si="1"/>
        <v>7.8732440015301108E-3</v>
      </c>
      <c r="F23" s="461"/>
      <c r="G23" s="462"/>
      <c r="H23" s="453"/>
    </row>
    <row r="24" spans="1:8" x14ac:dyDescent="0.2">
      <c r="A24" s="463" t="s">
        <v>1445</v>
      </c>
      <c r="B24" s="436" t="s">
        <v>1457</v>
      </c>
      <c r="C24" s="444">
        <v>220305.453319839</v>
      </c>
      <c r="D24" s="445">
        <v>220305.47</v>
      </c>
      <c r="E24" s="459">
        <f t="shared" si="1"/>
        <v>-1.6680161003023386E-2</v>
      </c>
      <c r="F24" s="461"/>
      <c r="G24" s="462"/>
      <c r="H24" s="453"/>
    </row>
    <row r="25" spans="1:8" x14ac:dyDescent="0.2">
      <c r="A25" s="463" t="s">
        <v>1445</v>
      </c>
      <c r="B25" s="436" t="s">
        <v>1458</v>
      </c>
      <c r="C25" s="444">
        <v>259506.95386048101</v>
      </c>
      <c r="D25" s="445">
        <v>259506.94</v>
      </c>
      <c r="E25" s="459">
        <f t="shared" si="1"/>
        <v>1.3860481005394831E-2</v>
      </c>
      <c r="F25" s="461"/>
      <c r="G25" s="462"/>
      <c r="H25" s="453"/>
    </row>
    <row r="26" spans="1:8" x14ac:dyDescent="0.2">
      <c r="A26" s="463" t="s">
        <v>1443</v>
      </c>
      <c r="B26" s="436" t="s">
        <v>1459</v>
      </c>
      <c r="C26" s="444">
        <v>15152482.6180855</v>
      </c>
      <c r="D26" s="445">
        <v>15152482.560000001</v>
      </c>
      <c r="E26" s="459">
        <f t="shared" si="1"/>
        <v>5.8085499331355095E-2</v>
      </c>
      <c r="F26" s="420"/>
      <c r="G26" s="462"/>
      <c r="H26" s="453"/>
    </row>
    <row r="27" spans="1:8" x14ac:dyDescent="0.2">
      <c r="A27" s="463" t="s">
        <v>1443</v>
      </c>
      <c r="B27" s="436" t="s">
        <v>1460</v>
      </c>
      <c r="C27" s="444">
        <v>1919866.7631163399</v>
      </c>
      <c r="D27" s="445">
        <v>1919866.76</v>
      </c>
      <c r="E27" s="459">
        <f t="shared" si="1"/>
        <v>3.116339910775423E-3</v>
      </c>
      <c r="F27" s="461"/>
      <c r="G27" s="462"/>
      <c r="H27" s="453"/>
    </row>
    <row r="28" spans="1:8" x14ac:dyDescent="0.2">
      <c r="A28" s="463" t="s">
        <v>1451</v>
      </c>
      <c r="B28" s="436" t="s">
        <v>1461</v>
      </c>
      <c r="C28" s="444">
        <v>8260.8202864340001</v>
      </c>
      <c r="D28" s="445">
        <v>8260.82</v>
      </c>
      <c r="E28" s="459">
        <f t="shared" si="1"/>
        <v>2.8643400037253741E-4</v>
      </c>
      <c r="F28" s="461"/>
      <c r="G28" s="462"/>
      <c r="H28" s="453"/>
    </row>
    <row r="29" spans="1:8" x14ac:dyDescent="0.2">
      <c r="A29" s="463" t="s">
        <v>1445</v>
      </c>
      <c r="B29" s="436" t="s">
        <v>1462</v>
      </c>
      <c r="C29" s="444">
        <v>99747.001627713398</v>
      </c>
      <c r="D29" s="445">
        <v>99746.9</v>
      </c>
      <c r="E29" s="459">
        <f t="shared" si="1"/>
        <v>0.10162771340401378</v>
      </c>
      <c r="F29" s="461"/>
      <c r="G29" s="462"/>
      <c r="H29" s="453"/>
    </row>
    <row r="30" spans="1:8" x14ac:dyDescent="0.2">
      <c r="A30" s="463" t="s">
        <v>1445</v>
      </c>
      <c r="B30" s="436" t="s">
        <v>1463</v>
      </c>
      <c r="C30" s="444">
        <v>112522.911338978</v>
      </c>
      <c r="D30" s="445">
        <v>112522.85</v>
      </c>
      <c r="E30" s="459">
        <f t="shared" si="1"/>
        <v>6.1338977990089916E-2</v>
      </c>
      <c r="F30" s="461"/>
      <c r="G30" s="462"/>
      <c r="H30" s="453"/>
    </row>
    <row r="31" spans="1:8" x14ac:dyDescent="0.2">
      <c r="A31" s="463" t="s">
        <v>1449</v>
      </c>
      <c r="B31" s="436" t="s">
        <v>1464</v>
      </c>
      <c r="C31" s="444">
        <v>560476.26785560895</v>
      </c>
      <c r="D31" s="445">
        <v>560476.31000000006</v>
      </c>
      <c r="E31" s="459">
        <f t="shared" si="1"/>
        <v>-4.2144391103647649E-2</v>
      </c>
      <c r="F31" s="461"/>
      <c r="G31" s="462"/>
      <c r="H31" s="453"/>
    </row>
    <row r="32" spans="1:8" x14ac:dyDescent="0.2">
      <c r="A32" s="463" t="s">
        <v>1451</v>
      </c>
      <c r="B32" s="436" t="s">
        <v>1465</v>
      </c>
      <c r="C32" s="444">
        <v>480122.16746549506</v>
      </c>
      <c r="D32" s="445">
        <v>480122.21</v>
      </c>
      <c r="E32" s="459">
        <f t="shared" si="1"/>
        <v>-4.2534504958894104E-2</v>
      </c>
      <c r="F32" s="461"/>
      <c r="G32" s="462"/>
      <c r="H32" s="453"/>
    </row>
    <row r="33" spans="1:8" x14ac:dyDescent="0.2">
      <c r="A33" s="463" t="s">
        <v>1445</v>
      </c>
      <c r="B33" s="436" t="s">
        <v>1466</v>
      </c>
      <c r="C33" s="444">
        <v>1141819.8766274201</v>
      </c>
      <c r="D33" s="445">
        <v>1141819.75</v>
      </c>
      <c r="E33" s="459">
        <f t="shared" si="1"/>
        <v>0.12662742007523775</v>
      </c>
      <c r="F33" s="461"/>
      <c r="G33" s="462"/>
      <c r="H33" s="453"/>
    </row>
    <row r="34" spans="1:8" x14ac:dyDescent="0.2">
      <c r="A34" s="463" t="s">
        <v>1445</v>
      </c>
      <c r="B34" s="436" t="s">
        <v>1467</v>
      </c>
      <c r="C34" s="444">
        <v>106188.980319043</v>
      </c>
      <c r="D34" s="445">
        <v>106188.96</v>
      </c>
      <c r="E34" s="459">
        <f t="shared" si="1"/>
        <v>2.0319042989285663E-2</v>
      </c>
      <c r="F34" s="461"/>
      <c r="G34" s="462"/>
      <c r="H34" s="453"/>
    </row>
    <row r="35" spans="1:8" x14ac:dyDescent="0.2">
      <c r="A35" s="463" t="s">
        <v>1445</v>
      </c>
      <c r="B35" s="436" t="s">
        <v>1468</v>
      </c>
      <c r="C35" s="444">
        <v>158653.049764778</v>
      </c>
      <c r="D35" s="445">
        <v>158653.07999999999</v>
      </c>
      <c r="E35" s="459">
        <f t="shared" si="1"/>
        <v>-3.0235221987823024E-2</v>
      </c>
      <c r="F35" s="461"/>
      <c r="G35" s="462"/>
      <c r="H35" s="453"/>
    </row>
    <row r="36" spans="1:8" ht="14.25" customHeight="1" x14ac:dyDescent="0.2">
      <c r="A36" s="463" t="s">
        <v>1445</v>
      </c>
      <c r="B36" s="436" t="s">
        <v>1469</v>
      </c>
      <c r="C36" s="444">
        <v>168253.53141328899</v>
      </c>
      <c r="D36" s="445">
        <v>168253.66</v>
      </c>
      <c r="E36" s="459">
        <f t="shared" si="1"/>
        <v>-0.12858671101275831</v>
      </c>
      <c r="F36" s="461"/>
      <c r="G36" s="462"/>
      <c r="H36" s="453"/>
    </row>
    <row r="37" spans="1:8" x14ac:dyDescent="0.2">
      <c r="A37" s="463" t="s">
        <v>1445</v>
      </c>
      <c r="B37" s="436" t="s">
        <v>1470</v>
      </c>
      <c r="C37" s="444">
        <v>252205.75874782298</v>
      </c>
      <c r="D37" s="445">
        <v>252205.75</v>
      </c>
      <c r="E37" s="459">
        <f t="shared" si="1"/>
        <v>8.7478229834232479E-3</v>
      </c>
      <c r="F37" s="461"/>
      <c r="G37" s="462"/>
      <c r="H37" s="453"/>
    </row>
    <row r="38" spans="1:8" x14ac:dyDescent="0.2">
      <c r="A38" s="463" t="s">
        <v>1445</v>
      </c>
      <c r="B38" s="436" t="s">
        <v>1471</v>
      </c>
      <c r="C38" s="444">
        <v>317301.589855564</v>
      </c>
      <c r="D38" s="445">
        <v>317301.52</v>
      </c>
      <c r="E38" s="459">
        <f t="shared" si="1"/>
        <v>6.9855563982855529E-2</v>
      </c>
      <c r="F38" s="461"/>
      <c r="G38" s="462"/>
      <c r="H38" s="453"/>
    </row>
    <row r="39" spans="1:8" x14ac:dyDescent="0.2">
      <c r="A39" s="463" t="s">
        <v>1449</v>
      </c>
      <c r="B39" s="436" t="s">
        <v>1472</v>
      </c>
      <c r="C39" s="444">
        <v>1097580.9495887801</v>
      </c>
      <c r="D39" s="445">
        <v>1097580.97</v>
      </c>
      <c r="E39" s="459">
        <f t="shared" si="1"/>
        <v>-2.0411219913512468E-2</v>
      </c>
      <c r="F39" s="461"/>
      <c r="G39" s="462"/>
      <c r="H39" s="453"/>
    </row>
    <row r="40" spans="1:8" x14ac:dyDescent="0.2">
      <c r="A40" s="463" t="s">
        <v>1445</v>
      </c>
      <c r="B40" s="436" t="s">
        <v>1473</v>
      </c>
      <c r="C40" s="444">
        <v>49927.899213424003</v>
      </c>
      <c r="D40" s="445">
        <v>49927.87</v>
      </c>
      <c r="E40" s="459">
        <f t="shared" si="1"/>
        <v>2.9213424000772648E-2</v>
      </c>
      <c r="F40" s="461"/>
      <c r="G40" s="462"/>
      <c r="H40" s="453"/>
    </row>
    <row r="41" spans="1:8" x14ac:dyDescent="0.2">
      <c r="A41" s="463" t="s">
        <v>1445</v>
      </c>
      <c r="B41" s="436" t="s">
        <v>1474</v>
      </c>
      <c r="C41" s="444">
        <v>143865.98826780601</v>
      </c>
      <c r="D41" s="445">
        <v>143865.88</v>
      </c>
      <c r="E41" s="459">
        <f t="shared" si="1"/>
        <v>0.10826780600473285</v>
      </c>
      <c r="F41" s="461"/>
      <c r="G41" s="462"/>
      <c r="H41" s="453"/>
    </row>
    <row r="42" spans="1:8" x14ac:dyDescent="0.2">
      <c r="A42" s="463" t="s">
        <v>1445</v>
      </c>
      <c r="B42" s="436" t="s">
        <v>1475</v>
      </c>
      <c r="C42" s="444">
        <v>118780.358360621</v>
      </c>
      <c r="D42" s="445">
        <v>118780.4</v>
      </c>
      <c r="E42" s="459">
        <f t="shared" si="1"/>
        <v>-4.1639378992840648E-2</v>
      </c>
      <c r="F42" s="461"/>
      <c r="G42" s="462"/>
      <c r="H42" s="453"/>
    </row>
    <row r="43" spans="1:8" x14ac:dyDescent="0.2">
      <c r="A43" s="463" t="s">
        <v>1449</v>
      </c>
      <c r="B43" s="436" t="s">
        <v>1476</v>
      </c>
      <c r="C43" s="444">
        <v>110973.77555467699</v>
      </c>
      <c r="D43" s="445">
        <v>110973.77</v>
      </c>
      <c r="E43" s="459">
        <f t="shared" si="1"/>
        <v>5.5546769872307777E-3</v>
      </c>
      <c r="F43" s="461"/>
      <c r="G43" s="462"/>
      <c r="H43" s="453"/>
    </row>
    <row r="44" spans="1:8" x14ac:dyDescent="0.2">
      <c r="A44" s="463" t="s">
        <v>1451</v>
      </c>
      <c r="B44" s="436" t="s">
        <v>1477</v>
      </c>
      <c r="C44" s="444">
        <v>265262.86505350098</v>
      </c>
      <c r="D44" s="445">
        <v>265262.87</v>
      </c>
      <c r="E44" s="459">
        <f t="shared" si="1"/>
        <v>-4.9464990152046084E-3</v>
      </c>
      <c r="F44" s="461"/>
      <c r="G44" s="462"/>
      <c r="H44" s="453"/>
    </row>
    <row r="45" spans="1:8" x14ac:dyDescent="0.2">
      <c r="A45" s="463" t="s">
        <v>1445</v>
      </c>
      <c r="B45" s="436" t="s">
        <v>1478</v>
      </c>
      <c r="C45" s="444">
        <v>265524.58774686902</v>
      </c>
      <c r="D45" s="445">
        <v>265524.64</v>
      </c>
      <c r="E45" s="459">
        <f t="shared" si="1"/>
        <v>-5.2253130997996777E-2</v>
      </c>
      <c r="H45" s="453"/>
    </row>
    <row r="46" spans="1:8" x14ac:dyDescent="0.2">
      <c r="A46" s="463" t="s">
        <v>1445</v>
      </c>
      <c r="B46" s="436" t="s">
        <v>1479</v>
      </c>
      <c r="C46" s="444">
        <v>84244.993092589604</v>
      </c>
      <c r="D46" s="445">
        <v>84245.01</v>
      </c>
      <c r="E46" s="459">
        <f t="shared" si="1"/>
        <v>-1.6907410390558653E-2</v>
      </c>
      <c r="H46" s="453"/>
    </row>
    <row r="47" spans="1:8" x14ac:dyDescent="0.2">
      <c r="A47" s="463" t="s">
        <v>1445</v>
      </c>
      <c r="B47" s="436" t="s">
        <v>1480</v>
      </c>
      <c r="C47" s="444">
        <v>0</v>
      </c>
      <c r="D47" s="466">
        <v>0</v>
      </c>
      <c r="E47" s="459">
        <f t="shared" si="1"/>
        <v>0</v>
      </c>
      <c r="H47" s="453"/>
    </row>
    <row r="48" spans="1:8" x14ac:dyDescent="0.2">
      <c r="A48" s="463" t="s">
        <v>1445</v>
      </c>
      <c r="B48" s="436" t="s">
        <v>1481</v>
      </c>
      <c r="C48" s="444">
        <v>136521.745549896</v>
      </c>
      <c r="D48" s="445">
        <v>136521.54999999999</v>
      </c>
      <c r="E48" s="459">
        <f t="shared" si="1"/>
        <v>0.19554989601601847</v>
      </c>
      <c r="H48" s="453"/>
    </row>
    <row r="49" spans="1:8" x14ac:dyDescent="0.2">
      <c r="A49" s="463" t="s">
        <v>1443</v>
      </c>
      <c r="B49" s="436" t="s">
        <v>1482</v>
      </c>
      <c r="C49" s="444">
        <v>19338.816131</v>
      </c>
      <c r="D49" s="445">
        <v>19338.82</v>
      </c>
      <c r="E49" s="459">
        <f t="shared" si="1"/>
        <v>-3.8690000001224689E-3</v>
      </c>
      <c r="H49" s="453"/>
    </row>
    <row r="50" spans="1:8" x14ac:dyDescent="0.2">
      <c r="A50" s="463"/>
      <c r="B50" s="436" t="s">
        <v>1483</v>
      </c>
      <c r="C50" s="444">
        <v>276699.44599511399</v>
      </c>
      <c r="D50" s="445">
        <v>276699.45</v>
      </c>
      <c r="E50" s="459">
        <f t="shared" si="1"/>
        <v>-4.0048860246315598E-3</v>
      </c>
      <c r="H50" s="453"/>
    </row>
    <row r="51" spans="1:8" x14ac:dyDescent="0.2">
      <c r="A51" s="463" t="s">
        <v>1451</v>
      </c>
      <c r="B51" s="436" t="s">
        <v>1484</v>
      </c>
      <c r="C51" s="444">
        <v>789905.45848303207</v>
      </c>
      <c r="D51" s="445">
        <v>789905.47</v>
      </c>
      <c r="E51" s="459">
        <f t="shared" si="1"/>
        <v>-1.1516967904753983E-2</v>
      </c>
      <c r="H51" s="453"/>
    </row>
    <row r="52" spans="1:8" x14ac:dyDescent="0.2">
      <c r="A52" s="463" t="s">
        <v>1451</v>
      </c>
      <c r="B52" s="436" t="s">
        <v>1485</v>
      </c>
      <c r="C52" s="444">
        <v>499734.85735161602</v>
      </c>
      <c r="D52" s="445">
        <v>499734.86</v>
      </c>
      <c r="E52" s="459">
        <f t="shared" si="1"/>
        <v>-2.6483839610591531E-3</v>
      </c>
      <c r="H52" s="453"/>
    </row>
    <row r="53" spans="1:8" x14ac:dyDescent="0.2">
      <c r="A53" s="463" t="s">
        <v>1445</v>
      </c>
      <c r="B53" s="436" t="s">
        <v>1486</v>
      </c>
      <c r="C53" s="454">
        <v>115605.01834033501</v>
      </c>
      <c r="D53" s="455">
        <v>115605.08</v>
      </c>
      <c r="E53" s="456">
        <f t="shared" si="1"/>
        <v>-6.1659664992475882E-2</v>
      </c>
      <c r="H53" s="453"/>
    </row>
    <row r="54" spans="1:8" x14ac:dyDescent="0.2">
      <c r="B54" s="436" t="s">
        <v>1487</v>
      </c>
      <c r="C54" s="457">
        <f>SUM(C14:C53)</f>
        <v>33242127.636013024</v>
      </c>
      <c r="D54" s="458">
        <f>SUM(D14:D53)</f>
        <v>33242127.189999998</v>
      </c>
      <c r="E54" s="459">
        <f>SUM(C54-D54)</f>
        <v>0.44601302593946457</v>
      </c>
      <c r="H54" s="453"/>
    </row>
    <row r="55" spans="1:8" ht="13.5" thickBot="1" x14ac:dyDescent="0.25">
      <c r="E55" s="468"/>
    </row>
    <row r="56" spans="1:8" ht="13.5" thickBot="1" x14ac:dyDescent="0.25">
      <c r="B56" s="469" t="s">
        <v>1488</v>
      </c>
      <c r="C56" s="470">
        <f>SUM(C10+C54)</f>
        <v>64178688.723218262</v>
      </c>
      <c r="D56" s="470">
        <f>SUM(D10+D54)</f>
        <v>64180328.780000001</v>
      </c>
      <c r="E56" s="471">
        <f>SUM(C56-D56)</f>
        <v>-1640.0567817389965</v>
      </c>
    </row>
    <row r="59" spans="1:8" x14ac:dyDescent="0.2">
      <c r="A59" s="472" t="s">
        <v>1443</v>
      </c>
      <c r="B59" s="473" t="s">
        <v>1280</v>
      </c>
      <c r="C59" s="457">
        <f>SUMIF($A$14:$A$53,$A59,$C$14:$C$53)</f>
        <v>23576184.56146881</v>
      </c>
      <c r="D59" s="457">
        <f>SUM(C14,C26,C27,C49)</f>
        <v>23576184.56146881</v>
      </c>
    </row>
    <row r="60" spans="1:8" x14ac:dyDescent="0.2">
      <c r="A60" s="472" t="s">
        <v>1451</v>
      </c>
      <c r="B60" s="473" t="s">
        <v>998</v>
      </c>
      <c r="C60" s="457">
        <f>SUMIF($A$14:$A$53,$A60,$C$14:$C$53)+C67</f>
        <v>2661057.8686400778</v>
      </c>
      <c r="D60" s="457">
        <f>SUM(C19,C28,C32,C44,C51,C52,C67)</f>
        <v>2661057.8686400778</v>
      </c>
    </row>
    <row r="61" spans="1:8" x14ac:dyDescent="0.2">
      <c r="A61" s="472" t="s">
        <v>1445</v>
      </c>
      <c r="B61" s="473" t="s">
        <v>492</v>
      </c>
      <c r="C61" s="457">
        <f>SUMIF($A$14:$A$53,$A61,$C$14:$C$53)+C68</f>
        <v>4782811.404288684</v>
      </c>
      <c r="D61" s="457">
        <f>SUM(C15:C17,C20:C22,C24:C25,C29:C30,C33:C38,C40:C42,C45:C46,C48,C53,C68)</f>
        <v>4782811.404288684</v>
      </c>
    </row>
    <row r="62" spans="1:8" x14ac:dyDescent="0.2">
      <c r="A62" s="472" t="s">
        <v>1449</v>
      </c>
      <c r="B62" s="473" t="s">
        <v>1489</v>
      </c>
      <c r="C62" s="457">
        <f>SUMIF($A$14:$A$53,$A62,$C$14:$C$53)</f>
        <v>2222073.8056203369</v>
      </c>
      <c r="D62" s="457">
        <f>SUM(C18,C23,C31,C39,C43)</f>
        <v>2222073.8056203369</v>
      </c>
    </row>
    <row r="63" spans="1:8" x14ac:dyDescent="0.2">
      <c r="B63" s="473" t="s">
        <v>739</v>
      </c>
      <c r="C63" s="457">
        <f>SUM(C59:C62)</f>
        <v>33242127.640017904</v>
      </c>
      <c r="D63" s="457">
        <f>SUM(D59:D62)</f>
        <v>33242127.640017904</v>
      </c>
    </row>
    <row r="65" spans="2:3" x14ac:dyDescent="0.2">
      <c r="B65" s="474" t="s">
        <v>1546</v>
      </c>
    </row>
    <row r="66" spans="2:3" x14ac:dyDescent="0.2">
      <c r="B66" s="473" t="s">
        <v>1490</v>
      </c>
      <c r="C66" s="457">
        <v>276699.45</v>
      </c>
    </row>
    <row r="67" spans="2:3" x14ac:dyDescent="0.2">
      <c r="B67" s="473" t="s">
        <v>998</v>
      </c>
      <c r="C67" s="457">
        <v>103098.78</v>
      </c>
    </row>
    <row r="68" spans="2:3" x14ac:dyDescent="0.2">
      <c r="B68" s="473" t="s">
        <v>492</v>
      </c>
      <c r="C68" s="457">
        <v>173600.67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392"/>
  <sheetViews>
    <sheetView tabSelected="1" view="pageBreakPreview" zoomScale="60" zoomScaleNormal="75" workbookViewId="0">
      <selection activeCell="A13" sqref="A13"/>
    </sheetView>
  </sheetViews>
  <sheetFormatPr defaultColWidth="8" defaultRowHeight="12.75" x14ac:dyDescent="0.2"/>
  <cols>
    <col min="1" max="1" width="5.5" style="384" customWidth="1"/>
    <col min="2" max="2" width="50.625" style="3" customWidth="1"/>
    <col min="3" max="3" width="17.75" style="3" customWidth="1"/>
    <col min="4" max="4" width="20.625" style="3" customWidth="1"/>
    <col min="5" max="5" width="17.875" style="3" customWidth="1"/>
    <col min="6" max="6" width="20.625" style="3" customWidth="1"/>
    <col min="7" max="7" width="17.875" style="3" hidden="1" customWidth="1"/>
    <col min="8" max="8" width="17.875" style="3" customWidth="1"/>
    <col min="9" max="9" width="19.875" style="3" customWidth="1"/>
    <col min="10" max="11" width="6.125" style="3" hidden="1" customWidth="1"/>
    <col min="12" max="12" width="18.25" style="3" customWidth="1"/>
    <col min="13" max="13" width="18.125" style="3" hidden="1" customWidth="1"/>
    <col min="14" max="16" width="18" style="3" customWidth="1"/>
    <col min="17" max="17" width="14" style="3" customWidth="1"/>
    <col min="18" max="16384" width="8" style="3"/>
  </cols>
  <sheetData>
    <row r="1" spans="1:19" ht="15" x14ac:dyDescent="0.2">
      <c r="A1" s="381"/>
      <c r="B1" s="1"/>
      <c r="C1" s="1"/>
      <c r="D1" s="1">
        <v>0</v>
      </c>
      <c r="E1" s="1">
        <v>1</v>
      </c>
      <c r="F1" s="385">
        <f t="shared" ref="F1:S1" si="0">1+E1</f>
        <v>2</v>
      </c>
      <c r="G1" s="2">
        <f t="shared" si="0"/>
        <v>3</v>
      </c>
      <c r="H1" s="385">
        <f t="shared" si="0"/>
        <v>4</v>
      </c>
      <c r="I1" s="385">
        <f t="shared" si="0"/>
        <v>5</v>
      </c>
      <c r="J1" s="385">
        <f t="shared" si="0"/>
        <v>6</v>
      </c>
      <c r="K1" s="385">
        <f t="shared" si="0"/>
        <v>7</v>
      </c>
      <c r="L1" s="385">
        <f t="shared" si="0"/>
        <v>8</v>
      </c>
      <c r="M1" s="385">
        <f t="shared" si="0"/>
        <v>9</v>
      </c>
      <c r="N1" s="385">
        <f t="shared" si="0"/>
        <v>10</v>
      </c>
      <c r="O1" s="385">
        <f t="shared" si="0"/>
        <v>11</v>
      </c>
      <c r="P1" s="385">
        <f t="shared" si="0"/>
        <v>12</v>
      </c>
      <c r="Q1" s="385">
        <f t="shared" si="0"/>
        <v>13</v>
      </c>
      <c r="R1" s="385">
        <f t="shared" si="0"/>
        <v>14</v>
      </c>
      <c r="S1" s="385">
        <f t="shared" si="0"/>
        <v>15</v>
      </c>
    </row>
    <row r="2" spans="1:19" ht="15" x14ac:dyDescent="0.2">
      <c r="A2" s="382"/>
      <c r="B2" s="16"/>
      <c r="C2" s="4"/>
      <c r="D2" s="4"/>
      <c r="F2" s="5" t="s">
        <v>587</v>
      </c>
      <c r="G2" s="4"/>
      <c r="H2" s="4"/>
      <c r="I2" s="4"/>
      <c r="J2" s="4"/>
      <c r="K2" s="4"/>
      <c r="L2" s="4"/>
      <c r="M2" s="2" t="str">
        <f>F2</f>
        <v xml:space="preserve">         KENTUCKY UTILITIES COMPANY</v>
      </c>
      <c r="N2" s="4"/>
      <c r="O2" s="4"/>
      <c r="P2" s="4"/>
      <c r="Q2" s="4"/>
      <c r="R2" s="4"/>
      <c r="S2" s="4"/>
    </row>
    <row r="3" spans="1:19" ht="15" x14ac:dyDescent="0.2">
      <c r="A3" s="382"/>
      <c r="B3" s="17"/>
      <c r="C3" s="4"/>
      <c r="D3" s="4"/>
      <c r="F3" s="5" t="s">
        <v>756</v>
      </c>
      <c r="G3" s="4"/>
      <c r="H3" s="4"/>
      <c r="I3" s="6"/>
      <c r="J3" s="4"/>
      <c r="K3" s="4"/>
      <c r="L3" s="4"/>
      <c r="M3" s="2" t="str">
        <f>F3</f>
        <v xml:space="preserve">     ELECTRIC COST OF SERVICE STUDY</v>
      </c>
      <c r="N3" s="4"/>
      <c r="O3" s="4"/>
      <c r="P3" s="7"/>
      <c r="R3" s="4"/>
      <c r="S3" s="4"/>
    </row>
    <row r="4" spans="1:19" ht="15" x14ac:dyDescent="0.2">
      <c r="A4" s="382"/>
      <c r="B4" s="4"/>
      <c r="C4" s="4"/>
      <c r="D4" s="4"/>
      <c r="F4" s="5" t="s">
        <v>588</v>
      </c>
      <c r="G4" s="4"/>
      <c r="H4" s="4"/>
      <c r="I4" s="4"/>
      <c r="J4" s="4"/>
      <c r="K4" s="4"/>
      <c r="L4" s="4"/>
      <c r="M4" s="2" t="str">
        <f>F4</f>
        <v xml:space="preserve">          JURISDICTIONAL SEPARATION</v>
      </c>
      <c r="N4" s="4"/>
      <c r="O4" s="4"/>
      <c r="P4" s="4"/>
      <c r="Q4" s="4"/>
      <c r="R4" s="4"/>
      <c r="S4" s="4"/>
    </row>
    <row r="5" spans="1:19" ht="15" x14ac:dyDescent="0.2">
      <c r="A5" s="382"/>
      <c r="B5" s="6" t="s">
        <v>735</v>
      </c>
      <c r="C5" s="4"/>
      <c r="D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" x14ac:dyDescent="0.2">
      <c r="A6" s="382"/>
      <c r="B6" s="176" t="s">
        <v>647</v>
      </c>
      <c r="C6" s="4"/>
      <c r="D6" s="18"/>
      <c r="F6" s="19" t="str">
        <f>TOTALCO!$E17</f>
        <v xml:space="preserve">   12 MONTHS ENDING MARCH 31, 2012</v>
      </c>
      <c r="G6" s="4"/>
      <c r="H6" s="4"/>
      <c r="I6" s="4"/>
      <c r="J6" s="4"/>
      <c r="K6" s="4"/>
      <c r="L6" s="4"/>
      <c r="M6" s="2" t="str">
        <f>F6</f>
        <v xml:space="preserve">   12 MONTHS ENDING MARCH 31, 2012</v>
      </c>
      <c r="N6" s="4"/>
      <c r="O6" s="4"/>
      <c r="P6" s="4"/>
      <c r="Q6" s="4"/>
      <c r="R6" s="4"/>
      <c r="S6" s="4"/>
    </row>
    <row r="7" spans="1:19" ht="15" x14ac:dyDescent="0.2">
      <c r="A7" s="38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5" x14ac:dyDescent="0.2">
      <c r="A8" s="382"/>
      <c r="B8" s="4"/>
      <c r="C8" s="4"/>
      <c r="D8" s="7" t="s">
        <v>589</v>
      </c>
      <c r="E8" s="4"/>
      <c r="F8" s="7" t="s">
        <v>590</v>
      </c>
      <c r="G8" s="4"/>
      <c r="H8" s="7" t="s">
        <v>594</v>
      </c>
      <c r="I8" s="20" t="s">
        <v>758</v>
      </c>
      <c r="J8" s="4"/>
      <c r="K8" s="4"/>
      <c r="L8" s="7" t="s">
        <v>591</v>
      </c>
      <c r="M8" s="4"/>
      <c r="N8" s="4"/>
      <c r="O8" s="4"/>
      <c r="P8" s="4"/>
      <c r="Q8" s="4"/>
      <c r="R8" s="4"/>
      <c r="S8" s="4"/>
    </row>
    <row r="9" spans="1:19" ht="15" x14ac:dyDescent="0.2">
      <c r="A9" s="382"/>
      <c r="B9" s="4"/>
      <c r="C9" s="4"/>
      <c r="D9" s="7" t="s">
        <v>590</v>
      </c>
      <c r="E9" s="4"/>
      <c r="F9" s="7" t="s">
        <v>593</v>
      </c>
      <c r="G9" s="4"/>
      <c r="H9" s="7" t="s">
        <v>593</v>
      </c>
      <c r="I9" s="7" t="s">
        <v>591</v>
      </c>
      <c r="J9" s="4"/>
      <c r="K9" s="4"/>
      <c r="L9" s="7" t="s">
        <v>593</v>
      </c>
      <c r="M9" s="7"/>
      <c r="N9" s="7" t="s">
        <v>595</v>
      </c>
      <c r="O9" s="4"/>
      <c r="P9" s="4"/>
      <c r="Q9" s="4"/>
      <c r="R9" s="4"/>
      <c r="S9" s="4"/>
    </row>
    <row r="10" spans="1:19" ht="15" x14ac:dyDescent="0.2">
      <c r="A10" s="382"/>
      <c r="B10" s="4"/>
      <c r="C10" s="8" t="s">
        <v>596</v>
      </c>
      <c r="D10" s="7" t="s">
        <v>599</v>
      </c>
      <c r="E10" s="4"/>
      <c r="F10" s="7" t="s">
        <v>600</v>
      </c>
      <c r="G10" s="4"/>
      <c r="H10" s="7" t="s">
        <v>600</v>
      </c>
      <c r="I10" s="7" t="s">
        <v>600</v>
      </c>
      <c r="J10" s="4"/>
      <c r="K10" s="4"/>
      <c r="L10" s="7" t="s">
        <v>600</v>
      </c>
      <c r="M10" s="7"/>
      <c r="N10" s="7" t="s">
        <v>600</v>
      </c>
      <c r="O10" s="7" t="s">
        <v>601</v>
      </c>
      <c r="P10" s="7" t="s">
        <v>602</v>
      </c>
      <c r="Q10" s="7"/>
      <c r="R10" s="4"/>
      <c r="S10" s="4"/>
    </row>
    <row r="11" spans="1:19" ht="15" x14ac:dyDescent="0.2">
      <c r="A11" s="382"/>
      <c r="B11" s="4"/>
      <c r="C11" s="4"/>
      <c r="D11" s="221" t="s">
        <v>150</v>
      </c>
      <c r="E11" s="4"/>
      <c r="F11" s="7" t="s">
        <v>605</v>
      </c>
      <c r="G11" s="4"/>
      <c r="H11" s="21">
        <v>-3</v>
      </c>
      <c r="I11" s="21">
        <v>-4</v>
      </c>
      <c r="J11" s="4"/>
      <c r="K11" s="4"/>
      <c r="L11" s="21">
        <v>-5</v>
      </c>
      <c r="M11" s="7"/>
      <c r="N11" s="7" t="s">
        <v>606</v>
      </c>
      <c r="O11" s="7" t="s">
        <v>607</v>
      </c>
      <c r="P11" s="7" t="s">
        <v>608</v>
      </c>
      <c r="Q11" s="7"/>
      <c r="R11" s="4"/>
      <c r="S11" s="4"/>
    </row>
    <row r="12" spans="1:19" ht="15" x14ac:dyDescent="0.2">
      <c r="A12" s="382"/>
      <c r="B12" s="4"/>
      <c r="C12" s="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5" x14ac:dyDescent="0.2">
      <c r="A13" s="382" t="str">
        <f>IF(TOTALCO!A537="", "",TOTALCO!A537)</f>
        <v/>
      </c>
      <c r="B13" s="4" t="str">
        <f>IF(TOTALCO!B537="", "",TOTALCO!B537)</f>
        <v>SUMMARY OF RESULTS AS ALLOCATED</v>
      </c>
      <c r="C13" s="4" t="str">
        <f>IF(TOTALCO!C537="", "",TOTALCO!C537)</f>
        <v/>
      </c>
      <c r="D13" s="4" t="str">
        <f>IF(TOTALCO!D537="", "",TOTALCO!D537)</f>
        <v/>
      </c>
      <c r="E13" s="4" t="str">
        <f>IF(TOTALCO!E537="", "",TOTALCO!E537)</f>
        <v/>
      </c>
      <c r="F13" s="4" t="str">
        <f>IF(TOTALCO!F537="", "",TOTALCO!F537)</f>
        <v/>
      </c>
      <c r="G13" s="4" t="str">
        <f>IF(TOTALCO!G537="", "",TOTALCO!G537)</f>
        <v/>
      </c>
      <c r="H13" s="4" t="str">
        <f>IF(TOTALCO!H537="", "",TOTALCO!H537)</f>
        <v/>
      </c>
      <c r="I13" s="4" t="str">
        <f>IF(TOTALCO!I537="", "",TOTALCO!I537)</f>
        <v/>
      </c>
      <c r="J13" s="4" t="str">
        <f>IF(TOTALCO!J537="", "",TOTALCO!J537)</f>
        <v/>
      </c>
      <c r="K13" s="4" t="str">
        <f>IF(TOTALCO!K537="", "",TOTALCO!K537)</f>
        <v/>
      </c>
      <c r="L13" s="4" t="str">
        <f>IF(TOTALCO!L537="", "",TOTALCO!L537)</f>
        <v/>
      </c>
      <c r="M13" s="4" t="str">
        <f>IF(TOTALCO!M537="", "",TOTALCO!M537)</f>
        <v/>
      </c>
      <c r="N13" s="4" t="str">
        <f>IF(TOTALCO!N537="", "",TOTALCO!N537)</f>
        <v/>
      </c>
      <c r="O13" s="4" t="str">
        <f>IF(TOTALCO!O537="", "",TOTALCO!O537)</f>
        <v/>
      </c>
      <c r="P13" s="4" t="str">
        <f>IF(TOTALCO!P537="", "",TOTALCO!P537)</f>
        <v/>
      </c>
      <c r="Q13" s="4"/>
      <c r="R13" s="4"/>
      <c r="S13" s="4"/>
    </row>
    <row r="14" spans="1:19" ht="15" x14ac:dyDescent="0.2">
      <c r="A14" s="382" t="str">
        <f>IF(TOTALCO!A538="", "",TOTALCO!A538)</f>
        <v/>
      </c>
      <c r="B14" s="4" t="str">
        <f>IF(TOTALCO!B538="", "",TOTALCO!B538)</f>
        <v/>
      </c>
      <c r="C14" s="4" t="str">
        <f>IF(TOTALCO!C538="", "",TOTALCO!C538)</f>
        <v/>
      </c>
      <c r="D14" s="4" t="str">
        <f>IF(TOTALCO!D538="", "",TOTALCO!D538)</f>
        <v/>
      </c>
      <c r="E14" s="4" t="str">
        <f>IF(TOTALCO!E538="", "",TOTALCO!E538)</f>
        <v/>
      </c>
      <c r="F14" s="4" t="str">
        <f>IF(TOTALCO!F538="", "",TOTALCO!F538)</f>
        <v/>
      </c>
      <c r="G14" s="4" t="str">
        <f>IF(TOTALCO!G538="", "",TOTALCO!G538)</f>
        <v/>
      </c>
      <c r="H14" s="4" t="str">
        <f>IF(TOTALCO!H538="", "",TOTALCO!H538)</f>
        <v/>
      </c>
      <c r="I14" s="4" t="str">
        <f>IF(TOTALCO!I538="", "",TOTALCO!I538)</f>
        <v/>
      </c>
      <c r="J14" s="4" t="str">
        <f>IF(TOTALCO!J538="", "",TOTALCO!J538)</f>
        <v/>
      </c>
      <c r="K14" s="4" t="str">
        <f>IF(TOTALCO!K538="", "",TOTALCO!K538)</f>
        <v/>
      </c>
      <c r="L14" s="4" t="str">
        <f>IF(TOTALCO!L538="", "",TOTALCO!L538)</f>
        <v/>
      </c>
      <c r="M14" s="4" t="str">
        <f>IF(TOTALCO!M538="", "",TOTALCO!M538)</f>
        <v/>
      </c>
      <c r="N14" s="4" t="str">
        <f>IF(TOTALCO!N538="", "",TOTALCO!N538)</f>
        <v/>
      </c>
      <c r="O14" s="4" t="str">
        <f>IF(TOTALCO!O538="", "",TOTALCO!O538)</f>
        <v/>
      </c>
      <c r="P14" s="4" t="str">
        <f>IF(TOTALCO!P538="", "",TOTALCO!P538)</f>
        <v/>
      </c>
      <c r="Q14" s="4"/>
      <c r="R14" s="4"/>
      <c r="S14" s="4"/>
    </row>
    <row r="15" spans="1:19" ht="15" x14ac:dyDescent="0.2">
      <c r="A15" s="382" t="str">
        <f>IF(TOTALCO!A539="", "",TOTALCO!A539)</f>
        <v/>
      </c>
      <c r="B15" s="4" t="str">
        <f>IF(TOTALCO!B539="", "",TOTALCO!B539)</f>
        <v>ELEMENTS OF RATE BASE</v>
      </c>
      <c r="C15" s="4" t="str">
        <f>IF(TOTALCO!C539="", "",TOTALCO!C539)</f>
        <v/>
      </c>
      <c r="D15" s="4" t="str">
        <f>IF(TOTALCO!D539="", "",TOTALCO!D539)</f>
        <v/>
      </c>
      <c r="E15" s="4" t="str">
        <f>IF(TOTALCO!E539="", "",TOTALCO!E539)</f>
        <v/>
      </c>
      <c r="F15" s="4" t="str">
        <f>IF(TOTALCO!F539="", "",TOTALCO!F539)</f>
        <v/>
      </c>
      <c r="G15" s="4" t="str">
        <f>IF(TOTALCO!G539="", "",TOTALCO!G539)</f>
        <v/>
      </c>
      <c r="H15" s="4" t="str">
        <f>IF(TOTALCO!H539="", "",TOTALCO!H539)</f>
        <v/>
      </c>
      <c r="I15" s="4" t="str">
        <f>IF(TOTALCO!I539="", "",TOTALCO!I539)</f>
        <v/>
      </c>
      <c r="J15" s="4" t="str">
        <f>IF(TOTALCO!J539="", "",TOTALCO!J539)</f>
        <v/>
      </c>
      <c r="K15" s="4" t="str">
        <f>IF(TOTALCO!K539="", "",TOTALCO!K539)</f>
        <v/>
      </c>
      <c r="L15" s="4" t="str">
        <f>IF(TOTALCO!L539="", "",TOTALCO!L539)</f>
        <v/>
      </c>
      <c r="M15" s="4" t="str">
        <f>IF(TOTALCO!M539="", "",TOTALCO!M539)</f>
        <v/>
      </c>
      <c r="N15" s="4" t="str">
        <f>IF(TOTALCO!N539="", "",TOTALCO!N539)</f>
        <v/>
      </c>
      <c r="O15" s="4" t="str">
        <f>IF(TOTALCO!O539="", "",TOTALCO!O539)</f>
        <v/>
      </c>
      <c r="P15" s="4" t="str">
        <f>IF(TOTALCO!P539="", "",TOTALCO!P539)</f>
        <v/>
      </c>
      <c r="Q15" s="4"/>
      <c r="R15" s="4"/>
      <c r="S15" s="4"/>
    </row>
    <row r="16" spans="1:19" ht="15" x14ac:dyDescent="0.2">
      <c r="A16" s="382" t="str">
        <f>IF(TOTALCO!A540="", "",TOTALCO!A540)</f>
        <v/>
      </c>
      <c r="B16" s="4" t="str">
        <f>IF(TOTALCO!B540="", "",TOTALCO!B540)</f>
        <v/>
      </c>
      <c r="C16" s="4" t="str">
        <f>IF(TOTALCO!C540="", "",TOTALCO!C540)</f>
        <v/>
      </c>
      <c r="D16" s="4" t="str">
        <f>IF(TOTALCO!D540="", "",TOTALCO!D540)</f>
        <v/>
      </c>
      <c r="E16" s="4" t="str">
        <f>IF(TOTALCO!E540="", "",TOTALCO!E540)</f>
        <v/>
      </c>
      <c r="F16" s="4" t="str">
        <f>IF(TOTALCO!F540="", "",TOTALCO!F540)</f>
        <v/>
      </c>
      <c r="G16" s="4" t="str">
        <f>IF(TOTALCO!G540="", "",TOTALCO!G540)</f>
        <v/>
      </c>
      <c r="H16" s="4" t="str">
        <f>IF(TOTALCO!H540="", "",TOTALCO!H540)</f>
        <v/>
      </c>
      <c r="I16" s="4" t="str">
        <f>IF(TOTALCO!I540="", "",TOTALCO!I540)</f>
        <v/>
      </c>
      <c r="J16" s="4" t="str">
        <f>IF(TOTALCO!J540="", "",TOTALCO!J540)</f>
        <v/>
      </c>
      <c r="K16" s="4" t="str">
        <f>IF(TOTALCO!K540="", "",TOTALCO!K540)</f>
        <v/>
      </c>
      <c r="L16" s="4" t="str">
        <f>IF(TOTALCO!L540="", "",TOTALCO!L540)</f>
        <v/>
      </c>
      <c r="M16" s="4" t="str">
        <f>IF(TOTALCO!M540="", "",TOTALCO!M540)</f>
        <v/>
      </c>
      <c r="N16" s="4" t="str">
        <f>IF(TOTALCO!N540="", "",TOTALCO!N540)</f>
        <v/>
      </c>
      <c r="O16" s="4" t="str">
        <f>IF(TOTALCO!O540="", "",TOTALCO!O540)</f>
        <v/>
      </c>
      <c r="P16" s="4" t="str">
        <f>IF(TOTALCO!P540="", "",TOTALCO!P540)</f>
        <v/>
      </c>
      <c r="Q16" s="4"/>
      <c r="R16" s="4"/>
      <c r="S16" s="4"/>
    </row>
    <row r="17" spans="1:19" ht="15" x14ac:dyDescent="0.2">
      <c r="A17" s="382">
        <f>IF(TOTALCO!A541="", "",TOTALCO!A541)</f>
        <v>1</v>
      </c>
      <c r="B17" s="4" t="str">
        <f>IF(TOTALCO!B541="", "",TOTALCO!B541)</f>
        <v xml:space="preserve"> PLANT IN SERVICE</v>
      </c>
      <c r="C17" s="4" t="str">
        <f>IF(TOTALCO!C541="", "",TOTALCO!C541)</f>
        <v/>
      </c>
      <c r="D17" s="12">
        <f ca="1">IF(TOTALCO!D541="", "",TOTALCO!D541)</f>
        <v>6492570022.5200014</v>
      </c>
      <c r="E17" s="12" t="str">
        <f>IF(TOTALCO!E541="", "",TOTALCO!E541)</f>
        <v/>
      </c>
      <c r="F17" s="12">
        <f ca="1">IF(TOTALCO!F541="", "",TOTALCO!F541)</f>
        <v>5653048566.0583582</v>
      </c>
      <c r="G17" s="12" t="str">
        <f>IF(TOTALCO!G541="", "",TOTALCO!G541)</f>
        <v/>
      </c>
      <c r="H17" s="12">
        <f ca="1">IF(TOTALCO!H541="", "",TOTALCO!H541)</f>
        <v>385619848.42484289</v>
      </c>
      <c r="I17" s="12">
        <f ca="1">IF(TOTALCO!I541="", "",TOTALCO!I541)</f>
        <v>453901608.03680044</v>
      </c>
      <c r="J17" s="12" t="str">
        <f>IF(TOTALCO!J541="", "",TOTALCO!J541)</f>
        <v/>
      </c>
      <c r="K17" s="12" t="str">
        <f>IF(TOTALCO!K541="", "",TOTALCO!K541)</f>
        <v/>
      </c>
      <c r="L17" s="12">
        <f ca="1">IF(TOTALCO!L541="", "",TOTALCO!L541)</f>
        <v>204724.27671333775</v>
      </c>
      <c r="M17" s="12" t="str">
        <f>IF(TOTALCO!M541="", "",TOTALCO!M541)</f>
        <v/>
      </c>
      <c r="N17" s="12">
        <f ca="1">IF(TOTALCO!N541="", "",TOTALCO!N541)</f>
        <v>453696883.76008713</v>
      </c>
      <c r="O17" s="12">
        <f ca="1">IF(TOTALCO!O541="", "",TOTALCO!O541)</f>
        <v>144053837.02218154</v>
      </c>
      <c r="P17" s="12">
        <f ca="1">IF(TOTALCO!P541="", "",TOTALCO!P541)</f>
        <v>309643046.73790562</v>
      </c>
      <c r="Q17" s="12"/>
      <c r="R17" s="12"/>
      <c r="S17" s="4"/>
    </row>
    <row r="18" spans="1:19" ht="15" x14ac:dyDescent="0.2">
      <c r="A18" s="382" t="str">
        <f>IF(TOTALCO!A542="", "",TOTALCO!A542)</f>
        <v/>
      </c>
      <c r="B18" s="4" t="str">
        <f>IF(TOTALCO!B542="", "",TOTALCO!B542)</f>
        <v/>
      </c>
      <c r="C18" s="4" t="str">
        <f>IF(TOTALCO!C542="", "",TOTALCO!C542)</f>
        <v/>
      </c>
      <c r="D18" s="12" t="str">
        <f>IF(TOTALCO!D542="", "",TOTALCO!D542)</f>
        <v/>
      </c>
      <c r="E18" s="12" t="str">
        <f>IF(TOTALCO!E542="", "",TOTALCO!E542)</f>
        <v/>
      </c>
      <c r="F18" s="12" t="str">
        <f>IF(TOTALCO!F542="", "",TOTALCO!F542)</f>
        <v/>
      </c>
      <c r="G18" s="12" t="str">
        <f>IF(TOTALCO!G542="", "",TOTALCO!G542)</f>
        <v/>
      </c>
      <c r="H18" s="12" t="str">
        <f>IF(TOTALCO!H542="", "",TOTALCO!H542)</f>
        <v/>
      </c>
      <c r="I18" s="12" t="str">
        <f>IF(TOTALCO!I542="", "",TOTALCO!I542)</f>
        <v/>
      </c>
      <c r="J18" s="12" t="str">
        <f>IF(TOTALCO!J542="", "",TOTALCO!J542)</f>
        <v/>
      </c>
      <c r="K18" s="12" t="str">
        <f>IF(TOTALCO!K542="", "",TOTALCO!K542)</f>
        <v/>
      </c>
      <c r="L18" s="12" t="str">
        <f>IF(TOTALCO!L542="", "",TOTALCO!L542)</f>
        <v/>
      </c>
      <c r="M18" s="12" t="str">
        <f>IF(TOTALCO!M542="", "",TOTALCO!M542)</f>
        <v/>
      </c>
      <c r="N18" s="12" t="str">
        <f>IF(TOTALCO!N542="", "",TOTALCO!N542)</f>
        <v/>
      </c>
      <c r="O18" s="12" t="str">
        <f>IF(TOTALCO!O542="", "",TOTALCO!O542)</f>
        <v/>
      </c>
      <c r="P18" s="12" t="str">
        <f>IF(TOTALCO!P542="", "",TOTALCO!P542)</f>
        <v/>
      </c>
      <c r="Q18" s="12"/>
      <c r="R18" s="12"/>
      <c r="S18" s="4"/>
    </row>
    <row r="19" spans="1:19" ht="15" x14ac:dyDescent="0.2">
      <c r="A19" s="382">
        <f>IF(TOTALCO!A543="", "",TOTALCO!A543)</f>
        <v>2</v>
      </c>
      <c r="B19" s="4" t="str">
        <f>IF(TOTALCO!B543="", "",TOTALCO!B543)</f>
        <v xml:space="preserve"> LESS RESERVE FOR DEPRECIATION</v>
      </c>
      <c r="C19" s="4" t="str">
        <f>IF(TOTALCO!C543="", "",TOTALCO!C543)</f>
        <v/>
      </c>
      <c r="D19" s="12">
        <f ca="1">IF(TOTALCO!D543="", "",TOTALCO!D543)</f>
        <v>2419286203.2700005</v>
      </c>
      <c r="E19" s="12" t="str">
        <f>IF(TOTALCO!E543="", "",TOTALCO!E543)</f>
        <v/>
      </c>
      <c r="F19" s="12">
        <f ca="1">IF(TOTALCO!F543="", "",TOTALCO!F543)</f>
        <v>2091528460.1268773</v>
      </c>
      <c r="G19" s="12" t="str">
        <f>IF(TOTALCO!G543="", "",TOTALCO!G543)</f>
        <v/>
      </c>
      <c r="H19" s="12">
        <f ca="1">IF(TOTALCO!H543="", "",TOTALCO!H543)</f>
        <v>159664577.96647444</v>
      </c>
      <c r="I19" s="12">
        <f ca="1">IF(TOTALCO!I543="", "",TOTALCO!I543)</f>
        <v>168093165.17664853</v>
      </c>
      <c r="J19" s="12" t="str">
        <f>IF(TOTALCO!J543="", "",TOTALCO!J543)</f>
        <v/>
      </c>
      <c r="K19" s="12" t="str">
        <f>IF(TOTALCO!K543="", "",TOTALCO!K543)</f>
        <v/>
      </c>
      <c r="L19" s="12">
        <f ca="1">IF(TOTALCO!L543="", "",TOTALCO!L543)</f>
        <v>156838.07680747</v>
      </c>
      <c r="M19" s="12" t="str">
        <f>IF(TOTALCO!M543="", "",TOTALCO!M543)</f>
        <v/>
      </c>
      <c r="N19" s="12">
        <f ca="1">IF(TOTALCO!N543="", "",TOTALCO!N543)</f>
        <v>167936327.09984106</v>
      </c>
      <c r="O19" s="12">
        <f ca="1">IF(TOTALCO!O543="", "",TOTALCO!O543)</f>
        <v>53369104.810249016</v>
      </c>
      <c r="P19" s="12">
        <f ca="1">IF(TOTALCO!P543="", "",TOTALCO!P543)</f>
        <v>114567222.28959204</v>
      </c>
      <c r="Q19" s="12"/>
      <c r="R19" s="12"/>
      <c r="S19" s="4"/>
    </row>
    <row r="20" spans="1:19" ht="15" x14ac:dyDescent="0.2">
      <c r="A20" s="382">
        <f>IF(TOTALCO!A544="", "",TOTALCO!A544)</f>
        <v>3</v>
      </c>
      <c r="B20" s="4" t="str">
        <f>IF(TOTALCO!B544="", "",TOTALCO!B544)</f>
        <v xml:space="preserve">     NET PLANT IN SERVICE</v>
      </c>
      <c r="C20" s="4" t="str">
        <f>IF(TOTALCO!C544="", "",TOTALCO!C544)</f>
        <v/>
      </c>
      <c r="D20" s="12">
        <f ca="1">IF(TOTALCO!D544="", "",TOTALCO!D544)</f>
        <v>4073283819.250001</v>
      </c>
      <c r="E20" s="12" t="str">
        <f>IF(TOTALCO!E544="", "",TOTALCO!E544)</f>
        <v/>
      </c>
      <c r="F20" s="12">
        <f ca="1">IF(TOTALCO!F544="", "",TOTALCO!F544)</f>
        <v>3561520105.9314809</v>
      </c>
      <c r="G20" s="12" t="str">
        <f>IF(TOTALCO!G544="", "",TOTALCO!G544)</f>
        <v/>
      </c>
      <c r="H20" s="12">
        <f ca="1">IF(TOTALCO!H544="", "",TOTALCO!H544)</f>
        <v>225955270.45836845</v>
      </c>
      <c r="I20" s="12">
        <f ca="1">IF(TOTALCO!I544="", "",TOTALCO!I544)</f>
        <v>285808442.86015201</v>
      </c>
      <c r="J20" s="12" t="str">
        <f>IF(TOTALCO!J544="", "",TOTALCO!J544)</f>
        <v/>
      </c>
      <c r="K20" s="12" t="str">
        <f>IF(TOTALCO!K544="", "",TOTALCO!K544)</f>
        <v/>
      </c>
      <c r="L20" s="12">
        <f ca="1">IF(TOTALCO!L544="", "",TOTALCO!L544)</f>
        <v>47886.199905867747</v>
      </c>
      <c r="M20" s="12" t="str">
        <f>IF(TOTALCO!M544="", "",TOTALCO!M544)</f>
        <v/>
      </c>
      <c r="N20" s="12">
        <f ca="1">IF(TOTALCO!N544="", "",TOTALCO!N544)</f>
        <v>285760556.66024613</v>
      </c>
      <c r="O20" s="12">
        <f ca="1">IF(TOTALCO!O544="", "",TOTALCO!O544)</f>
        <v>90684732.211932525</v>
      </c>
      <c r="P20" s="12">
        <f ca="1">IF(TOTALCO!P544="", "",TOTALCO!P544)</f>
        <v>195075824.44831359</v>
      </c>
      <c r="Q20" s="12"/>
      <c r="R20" s="12"/>
      <c r="S20" s="4"/>
    </row>
    <row r="21" spans="1:19" ht="15" x14ac:dyDescent="0.2">
      <c r="A21" s="382" t="str">
        <f>IF(TOTALCO!A545="", "",TOTALCO!A545)</f>
        <v/>
      </c>
      <c r="B21" s="4" t="str">
        <f>IF(TOTALCO!B545="", "",TOTALCO!B545)</f>
        <v/>
      </c>
      <c r="C21" s="4" t="str">
        <f>IF(TOTALCO!C545="", "",TOTALCO!C545)</f>
        <v/>
      </c>
      <c r="D21" s="12" t="str">
        <f>IF(TOTALCO!D545="", "",TOTALCO!D545)</f>
        <v/>
      </c>
      <c r="E21" s="12" t="str">
        <f>IF(TOTALCO!E545="", "",TOTALCO!E545)</f>
        <v/>
      </c>
      <c r="F21" s="12" t="str">
        <f>IF(TOTALCO!F545="", "",TOTALCO!F545)</f>
        <v/>
      </c>
      <c r="G21" s="12" t="str">
        <f>IF(TOTALCO!G545="", "",TOTALCO!G545)</f>
        <v/>
      </c>
      <c r="H21" s="12" t="str">
        <f>IF(TOTALCO!H545="", "",TOTALCO!H545)</f>
        <v/>
      </c>
      <c r="I21" s="12" t="str">
        <f>IF(TOTALCO!I545="", "",TOTALCO!I545)</f>
        <v/>
      </c>
      <c r="J21" s="12" t="str">
        <f>IF(TOTALCO!J545="", "",TOTALCO!J545)</f>
        <v/>
      </c>
      <c r="K21" s="12" t="str">
        <f>IF(TOTALCO!K545="", "",TOTALCO!K545)</f>
        <v/>
      </c>
      <c r="L21" s="12" t="str">
        <f>IF(TOTALCO!L545="", "",TOTALCO!L545)</f>
        <v/>
      </c>
      <c r="M21" s="12" t="str">
        <f>IF(TOTALCO!M545="", "",TOTALCO!M545)</f>
        <v/>
      </c>
      <c r="N21" s="12" t="str">
        <f>IF(TOTALCO!N545="", "",TOTALCO!N545)</f>
        <v/>
      </c>
      <c r="O21" s="12" t="str">
        <f>IF(TOTALCO!O545="", "",TOTALCO!O545)</f>
        <v/>
      </c>
      <c r="P21" s="12" t="str">
        <f>IF(TOTALCO!P545="", "",TOTALCO!P545)</f>
        <v/>
      </c>
      <c r="Q21" s="12"/>
      <c r="R21" s="12"/>
      <c r="S21" s="4"/>
    </row>
    <row r="22" spans="1:19" ht="15" x14ac:dyDescent="0.2">
      <c r="A22" s="382">
        <f>IF(TOTALCO!A546="", "",TOTALCO!A546)</f>
        <v>4</v>
      </c>
      <c r="B22" s="4" t="str">
        <f>IF(TOTALCO!B546="", "",TOTALCO!B546)</f>
        <v xml:space="preserve"> CONST WORK IN PROGRESS</v>
      </c>
      <c r="C22" s="4" t="str">
        <f>IF(TOTALCO!C546="", "",TOTALCO!C546)</f>
        <v/>
      </c>
      <c r="D22" s="12">
        <f ca="1">IF(TOTALCO!D546="", "",TOTALCO!D546)</f>
        <v>345238438.32000029</v>
      </c>
      <c r="E22" s="12" t="str">
        <f>IF(TOTALCO!E546="", "",TOTALCO!E546)</f>
        <v/>
      </c>
      <c r="F22" s="12">
        <f ca="1">IF(TOTALCO!F546="", "",TOTALCO!F546)</f>
        <v>299562999.97091067</v>
      </c>
      <c r="G22" s="12" t="str">
        <f>IF(TOTALCO!G546="", "",TOTALCO!G546)</f>
        <v/>
      </c>
      <c r="H22" s="12">
        <f ca="1">IF(TOTALCO!H546="", "",TOTALCO!H546)</f>
        <v>18539713.584298965</v>
      </c>
      <c r="I22" s="12">
        <f ca="1">IF(TOTALCO!I546="", "",TOTALCO!I546)</f>
        <v>27135724.764790684</v>
      </c>
      <c r="J22" s="12" t="str">
        <f>IF(TOTALCO!J546="", "",TOTALCO!J546)</f>
        <v/>
      </c>
      <c r="K22" s="12" t="str">
        <f>IF(TOTALCO!K546="", "",TOTALCO!K546)</f>
        <v/>
      </c>
      <c r="L22" s="12">
        <f ca="1">IF(TOTALCO!L546="", "",TOTALCO!L546)</f>
        <v>2778.9719701127019</v>
      </c>
      <c r="M22" s="12" t="str">
        <f>IF(TOTALCO!M546="", "",TOTALCO!M546)</f>
        <v/>
      </c>
      <c r="N22" s="12">
        <f ca="1">IF(TOTALCO!N546="", "",TOTALCO!N546)</f>
        <v>27132945.792820573</v>
      </c>
      <c r="O22" s="12">
        <f ca="1">IF(TOTALCO!O546="", "",TOTALCO!O546)</f>
        <v>8513304.0579622462</v>
      </c>
      <c r="P22" s="12">
        <f ca="1">IF(TOTALCO!P546="", "",TOTALCO!P546)</f>
        <v>18619641.734858327</v>
      </c>
      <c r="Q22" s="12"/>
      <c r="R22" s="12"/>
      <c r="S22" s="4"/>
    </row>
    <row r="23" spans="1:19" ht="15" x14ac:dyDescent="0.2">
      <c r="A23" s="382">
        <f>IF(TOTALCO!A547="", "",TOTALCO!A547)</f>
        <v>5</v>
      </c>
      <c r="B23" s="4" t="str">
        <f>IF(TOTALCO!B547="", "",TOTALCO!B547)</f>
        <v xml:space="preserve">     NET PLANT</v>
      </c>
      <c r="C23" s="4" t="str">
        <f>IF(TOTALCO!C547="", "",TOTALCO!C547)</f>
        <v/>
      </c>
      <c r="D23" s="12">
        <f ca="1">IF(TOTALCO!D547="", "",TOTALCO!D547)</f>
        <v>4418522257.5700016</v>
      </c>
      <c r="E23" s="12" t="str">
        <f>IF(TOTALCO!E547="", "",TOTALCO!E547)</f>
        <v/>
      </c>
      <c r="F23" s="12">
        <f ca="1">IF(TOTALCO!F547="", "",TOTALCO!F547)</f>
        <v>3861083105.9023914</v>
      </c>
      <c r="G23" s="12" t="str">
        <f>IF(TOTALCO!G547="", "",TOTALCO!G547)</f>
        <v/>
      </c>
      <c r="H23" s="12">
        <f ca="1">IF(TOTALCO!H547="", "",TOTALCO!H547)</f>
        <v>244494984.04266742</v>
      </c>
      <c r="I23" s="12">
        <f ca="1">IF(TOTALCO!I547="", "",TOTALCO!I547)</f>
        <v>312944167.62494266</v>
      </c>
      <c r="J23" s="12" t="str">
        <f>IF(TOTALCO!J547="", "",TOTALCO!J547)</f>
        <v/>
      </c>
      <c r="K23" s="12" t="str">
        <f>IF(TOTALCO!K547="", "",TOTALCO!K547)</f>
        <v/>
      </c>
      <c r="L23" s="12">
        <f ca="1">IF(TOTALCO!L547="", "",TOTALCO!L547)</f>
        <v>50665.17187598045</v>
      </c>
      <c r="M23" s="12" t="str">
        <f>IF(TOTALCO!M547="", "",TOTALCO!M547)</f>
        <v/>
      </c>
      <c r="N23" s="12">
        <f ca="1">IF(TOTALCO!N547="", "",TOTALCO!N547)</f>
        <v>312893502.45306671</v>
      </c>
      <c r="O23" s="12">
        <f ca="1">IF(TOTALCO!O547="", "",TOTALCO!O547)</f>
        <v>99198036.269894779</v>
      </c>
      <c r="P23" s="12">
        <f ca="1">IF(TOTALCO!P547="", "",TOTALCO!P547)</f>
        <v>213695466.18317193</v>
      </c>
      <c r="Q23" s="12"/>
      <c r="R23" s="12"/>
      <c r="S23" s="4"/>
    </row>
    <row r="24" spans="1:19" ht="15" x14ac:dyDescent="0.2">
      <c r="A24" s="382" t="str">
        <f>IF(TOTALCO!A548="", "",TOTALCO!A548)</f>
        <v/>
      </c>
      <c r="B24" s="4" t="str">
        <f>IF(TOTALCO!B548="", "",TOTALCO!B548)</f>
        <v/>
      </c>
      <c r="C24" s="4" t="str">
        <f>IF(TOTALCO!C548="", "",TOTALCO!C548)</f>
        <v/>
      </c>
      <c r="D24" s="12"/>
      <c r="E24" s="12" t="str">
        <f>IF(TOTALCO!E548="", "",TOTALCO!E548)</f>
        <v/>
      </c>
      <c r="F24" s="12" t="str">
        <f>IF(TOTALCO!F548="", "",TOTALCO!F548)</f>
        <v/>
      </c>
      <c r="G24" s="12" t="str">
        <f>IF(TOTALCO!G548="", "",TOTALCO!G548)</f>
        <v/>
      </c>
      <c r="H24" s="12" t="str">
        <f>IF(TOTALCO!H548="", "",TOTALCO!H548)</f>
        <v/>
      </c>
      <c r="I24" s="12" t="str">
        <f>IF(TOTALCO!I548="", "",TOTALCO!I548)</f>
        <v/>
      </c>
      <c r="J24" s="12" t="str">
        <f>IF(TOTALCO!J548="", "",TOTALCO!J548)</f>
        <v/>
      </c>
      <c r="K24" s="12" t="str">
        <f>IF(TOTALCO!K548="", "",TOTALCO!K548)</f>
        <v/>
      </c>
      <c r="L24" s="12" t="str">
        <f>IF(TOTALCO!L548="", "",TOTALCO!L548)</f>
        <v/>
      </c>
      <c r="M24" s="12" t="str">
        <f>IF(TOTALCO!M548="", "",TOTALCO!M548)</f>
        <v/>
      </c>
      <c r="N24" s="12" t="str">
        <f>IF(TOTALCO!N548="", "",TOTALCO!N548)</f>
        <v/>
      </c>
      <c r="O24" s="12" t="str">
        <f>IF(TOTALCO!O548="", "",TOTALCO!O548)</f>
        <v/>
      </c>
      <c r="P24" s="12" t="str">
        <f>IF(TOTALCO!P548="", "",TOTALCO!P548)</f>
        <v/>
      </c>
      <c r="Q24" s="12"/>
      <c r="R24" s="12"/>
      <c r="S24" s="4"/>
    </row>
    <row r="25" spans="1:19" ht="15" x14ac:dyDescent="0.2">
      <c r="A25" s="382" t="str">
        <f>IF(TOTALCO!A549="", "",TOTALCO!A549)</f>
        <v/>
      </c>
      <c r="B25" s="4" t="str">
        <f>IF(TOTALCO!B549="", "",TOTALCO!B549)</f>
        <v>ADD:</v>
      </c>
      <c r="C25" s="4" t="str">
        <f>IF(TOTALCO!C549="", "",TOTALCO!C549)</f>
        <v/>
      </c>
      <c r="D25" s="12"/>
      <c r="E25" s="12" t="str">
        <f>IF(TOTALCO!E549="", "",TOTALCO!E549)</f>
        <v/>
      </c>
      <c r="F25" s="12" t="str">
        <f>IF(TOTALCO!F549="", "",TOTALCO!F549)</f>
        <v/>
      </c>
      <c r="G25" s="12" t="str">
        <f>IF(TOTALCO!G549="", "",TOTALCO!G549)</f>
        <v/>
      </c>
      <c r="H25" s="12" t="str">
        <f>IF(TOTALCO!H549="", "",TOTALCO!H549)</f>
        <v/>
      </c>
      <c r="I25" s="12" t="str">
        <f>IF(TOTALCO!I549="", "",TOTALCO!I549)</f>
        <v/>
      </c>
      <c r="J25" s="12" t="str">
        <f>IF(TOTALCO!J549="", "",TOTALCO!J549)</f>
        <v/>
      </c>
      <c r="K25" s="12" t="str">
        <f>IF(TOTALCO!K549="", "",TOTALCO!K549)</f>
        <v/>
      </c>
      <c r="L25" s="12" t="str">
        <f>IF(TOTALCO!L549="", "",TOTALCO!L549)</f>
        <v/>
      </c>
      <c r="M25" s="12" t="str">
        <f>IF(TOTALCO!M549="", "",TOTALCO!M549)</f>
        <v/>
      </c>
      <c r="N25" s="12" t="str">
        <f>IF(TOTALCO!N549="", "",TOTALCO!N549)</f>
        <v/>
      </c>
      <c r="O25" s="12" t="str">
        <f>IF(TOTALCO!O549="", "",TOTALCO!O549)</f>
        <v/>
      </c>
      <c r="P25" s="12" t="str">
        <f>IF(TOTALCO!P549="", "",TOTALCO!P549)</f>
        <v/>
      </c>
      <c r="Q25" s="12"/>
      <c r="R25" s="13"/>
    </row>
    <row r="26" spans="1:19" ht="15" x14ac:dyDescent="0.2">
      <c r="A26" s="382">
        <f>IF(TOTALCO!A550="", "",TOTALCO!A550)</f>
        <v>6</v>
      </c>
      <c r="B26" s="4" t="str">
        <f>IF(TOTALCO!B550="", "",TOTALCO!B550)</f>
        <v xml:space="preserve">    MATERIALS &amp; SUPPLIES</v>
      </c>
      <c r="C26" s="4" t="str">
        <f>IF(TOTALCO!C550="", "",TOTALCO!C550)</f>
        <v/>
      </c>
      <c r="D26" s="12">
        <f ca="1">IF(TOTALCO!D550="", "",TOTALCO!D550)</f>
        <v>43434958.902090006</v>
      </c>
      <c r="E26" s="12" t="str">
        <f>IF(TOTALCO!E550="", "",TOTALCO!E550)</f>
        <v/>
      </c>
      <c r="F26" s="12">
        <f ca="1">IF(TOTALCO!F550="", "",TOTALCO!F550)</f>
        <v>37642730.803150259</v>
      </c>
      <c r="G26" s="12" t="str">
        <f>IF(TOTALCO!G550="", "",TOTALCO!G550)</f>
        <v/>
      </c>
      <c r="H26" s="12">
        <f ca="1">IF(TOTALCO!H550="", "",TOTALCO!H550)</f>
        <v>2561509.7063087318</v>
      </c>
      <c r="I26" s="12">
        <f ca="1">IF(TOTALCO!I550="", "",TOTALCO!I550)</f>
        <v>3230718.3926310134</v>
      </c>
      <c r="J26" s="12" t="str">
        <f>IF(TOTALCO!J550="", "",TOTALCO!J550)</f>
        <v/>
      </c>
      <c r="K26" s="12" t="str">
        <f>IF(TOTALCO!K550="", "",TOTALCO!K550)</f>
        <v/>
      </c>
      <c r="L26" s="12">
        <f ca="1">IF(TOTALCO!L550="", "",TOTALCO!L550)</f>
        <v>1156.8577562733033</v>
      </c>
      <c r="M26" s="12" t="str">
        <f>IF(TOTALCO!M550="", "",TOTALCO!M550)</f>
        <v/>
      </c>
      <c r="N26" s="12">
        <f ca="1">IF(TOTALCO!N550="", "",TOTALCO!N550)</f>
        <v>3229561.5348747401</v>
      </c>
      <c r="O26" s="12">
        <f ca="1">IF(TOTALCO!O550="", "",TOTALCO!O550)</f>
        <v>1020690.0384793777</v>
      </c>
      <c r="P26" s="12">
        <f ca="1">IF(TOTALCO!P550="", "",TOTALCO!P550)</f>
        <v>2208871.4963953621</v>
      </c>
      <c r="Q26" s="12"/>
      <c r="R26" s="13"/>
    </row>
    <row r="27" spans="1:19" ht="15" x14ac:dyDescent="0.2">
      <c r="A27" s="382">
        <f>IF(TOTALCO!A551="", "",TOTALCO!A551)</f>
        <v>7</v>
      </c>
      <c r="B27" s="4" t="str">
        <f>IF(TOTALCO!B551="", "",TOTALCO!B551)</f>
        <v xml:space="preserve">    FUEL INVENTORY</v>
      </c>
      <c r="C27" s="4" t="str">
        <f>IF(TOTALCO!C551="", "",TOTALCO!C551)</f>
        <v/>
      </c>
      <c r="D27" s="12">
        <f ca="1">IF(TOTALCO!D551="", "",TOTALCO!D551)</f>
        <v>89278977.999999985</v>
      </c>
      <c r="E27" s="12" t="str">
        <f>IF(TOTALCO!E551="", "",TOTALCO!E551)</f>
        <v/>
      </c>
      <c r="F27" s="12">
        <f ca="1">IF(TOTALCO!F551="", "",TOTALCO!F551)</f>
        <v>77455484.262884691</v>
      </c>
      <c r="G27" s="12" t="str">
        <f>IF(TOTALCO!G551="", "",TOTALCO!G551)</f>
        <v/>
      </c>
      <c r="H27" s="12">
        <f ca="1">IF(TOTALCO!H551="", "",TOTALCO!H551)</f>
        <v>4095410.6387411822</v>
      </c>
      <c r="I27" s="12">
        <f ca="1">IF(TOTALCO!I551="", "",TOTALCO!I551)</f>
        <v>7728083.098374119</v>
      </c>
      <c r="J27" s="12" t="str">
        <f>IF(TOTALCO!J551="", "",TOTALCO!J551)</f>
        <v/>
      </c>
      <c r="K27" s="12" t="str">
        <f>IF(TOTALCO!K551="", "",TOTALCO!K551)</f>
        <v/>
      </c>
      <c r="L27" s="12">
        <f ca="1">IF(TOTALCO!L551="", "",TOTALCO!L551)</f>
        <v>425.78195862202313</v>
      </c>
      <c r="M27" s="12" t="str">
        <f>IF(TOTALCO!M551="", "",TOTALCO!M551)</f>
        <v/>
      </c>
      <c r="N27" s="12">
        <f ca="1">IF(TOTALCO!N551="", "",TOTALCO!N551)</f>
        <v>7727657.3164154971</v>
      </c>
      <c r="O27" s="12">
        <f ca="1">IF(TOTALCO!O551="", "",TOTALCO!O551)</f>
        <v>2522667.1611161698</v>
      </c>
      <c r="P27" s="12">
        <f ca="1">IF(TOTALCO!P551="", "",TOTALCO!P551)</f>
        <v>5204990.1552993273</v>
      </c>
      <c r="Q27" s="12"/>
      <c r="R27" s="13"/>
    </row>
    <row r="28" spans="1:19" ht="15" x14ac:dyDescent="0.2">
      <c r="A28" s="382">
        <f>IF(TOTALCO!A552="", "",TOTALCO!A552)</f>
        <v>8</v>
      </c>
      <c r="B28" s="4" t="str">
        <f>IF(TOTALCO!B552="", "",TOTALCO!B552)</f>
        <v xml:space="preserve">    PREPAYMENTS</v>
      </c>
      <c r="C28" s="4" t="str">
        <f>IF(TOTALCO!C552="", "",TOTALCO!C552)</f>
        <v/>
      </c>
      <c r="D28" s="12">
        <f ca="1">IF(TOTALCO!D552="", "",TOTALCO!D552)</f>
        <v>7326675.9999999991</v>
      </c>
      <c r="E28" s="12" t="str">
        <f>IF(TOTALCO!E552="", "",TOTALCO!E552)</f>
        <v/>
      </c>
      <c r="F28" s="12">
        <f ca="1">IF(TOTALCO!F552="", "",TOTALCO!F552)</f>
        <v>6567466.8476915052</v>
      </c>
      <c r="G28" s="12" t="str">
        <f>IF(TOTALCO!G552="", "",TOTALCO!G552)</f>
        <v/>
      </c>
      <c r="H28" s="12">
        <f ca="1">IF(TOTALCO!H552="", "",TOTALCO!H552)</f>
        <v>360096.60715444217</v>
      </c>
      <c r="I28" s="12">
        <f ca="1">IF(TOTALCO!I552="", "",TOTALCO!I552)</f>
        <v>399112.54515405226</v>
      </c>
      <c r="J28" s="12" t="str">
        <f>IF(TOTALCO!J552="", "",TOTALCO!J552)</f>
        <v/>
      </c>
      <c r="K28" s="12" t="str">
        <f>IF(TOTALCO!K552="", "",TOTALCO!K552)</f>
        <v/>
      </c>
      <c r="L28" s="12">
        <f ca="1">IF(TOTALCO!L552="", "",TOTALCO!L552)</f>
        <v>195.76879170054093</v>
      </c>
      <c r="M28" s="12" t="str">
        <f>IF(TOTALCO!M552="", "",TOTALCO!M552)</f>
        <v/>
      </c>
      <c r="N28" s="12">
        <f ca="1">IF(TOTALCO!N552="", "",TOTALCO!N552)</f>
        <v>398916.77636235172</v>
      </c>
      <c r="O28" s="12">
        <f ca="1">IF(TOTALCO!O552="", "",TOTALCO!O552)</f>
        <v>127831.72843074553</v>
      </c>
      <c r="P28" s="12">
        <f ca="1">IF(TOTALCO!P552="", "",TOTALCO!P552)</f>
        <v>271085.04793160618</v>
      </c>
      <c r="Q28" s="12"/>
      <c r="R28" s="13"/>
    </row>
    <row r="29" spans="1:19" ht="15" x14ac:dyDescent="0.2">
      <c r="A29" s="382">
        <f>IF(TOTALCO!A553="", "",TOTALCO!A553)</f>
        <v>9</v>
      </c>
      <c r="B29" s="4" t="str">
        <f>IF(TOTALCO!B553="", "",TOTALCO!B553)</f>
        <v xml:space="preserve">    WORKING CASH</v>
      </c>
      <c r="C29" s="4" t="str">
        <f>IF(TOTALCO!C553="", "",TOTALCO!C553)</f>
        <v/>
      </c>
      <c r="D29" s="12">
        <f ca="1">IF(TOTALCO!D553="", "",TOTALCO!D553)</f>
        <v>104067439.13621081</v>
      </c>
      <c r="E29" s="12" t="str">
        <f>IF(TOTALCO!E553="", "",TOTALCO!E553)</f>
        <v/>
      </c>
      <c r="F29" s="12">
        <f ca="1">IF(TOTALCO!F553="", "",TOTALCO!F553)</f>
        <v>96090910.252275959</v>
      </c>
      <c r="G29" s="12" t="str">
        <f>IF(TOTALCO!G553="", "",TOTALCO!G553)</f>
        <v/>
      </c>
      <c r="H29" s="12">
        <f>IF(TOTALCO!H553="", "",TOTALCO!H553)</f>
        <v>0</v>
      </c>
      <c r="I29" s="12">
        <f ca="1">IF(TOTALCO!I553="", "",TOTALCO!I553)</f>
        <v>7976528.8839348536</v>
      </c>
      <c r="J29" s="12" t="str">
        <f>IF(TOTALCO!J553="", "",TOTALCO!J553)</f>
        <v/>
      </c>
      <c r="K29" s="12" t="str">
        <f>IF(TOTALCO!K553="", "",TOTALCO!K553)</f>
        <v/>
      </c>
      <c r="L29" s="12">
        <f ca="1">IF(TOTALCO!L553="", "",TOTALCO!L553)</f>
        <v>1716.2047600187343</v>
      </c>
      <c r="M29" s="12" t="str">
        <f>IF(TOTALCO!M553="", "",TOTALCO!M553)</f>
        <v/>
      </c>
      <c r="N29" s="12">
        <f ca="1">IF(TOTALCO!N553="", "",TOTALCO!N553)</f>
        <v>7974812.6791748349</v>
      </c>
      <c r="O29" s="12">
        <f ca="1">IF(TOTALCO!O553="", "",TOTALCO!O553)</f>
        <v>2592827.9473244175</v>
      </c>
      <c r="P29" s="12">
        <f ca="1">IF(TOTALCO!P553="", "",TOTALCO!P553)</f>
        <v>5381984.7318504173</v>
      </c>
      <c r="Q29" s="12"/>
      <c r="R29" s="13"/>
    </row>
    <row r="30" spans="1:19" ht="15" x14ac:dyDescent="0.2">
      <c r="A30" s="382">
        <f>IF(TOTALCO!A554="", "",TOTALCO!A554)</f>
        <v>10</v>
      </c>
      <c r="B30" s="4" t="str">
        <f>IF(TOTALCO!B554="", "",TOTALCO!B554)</f>
        <v xml:space="preserve">    EMISSION ALLOWANCES</v>
      </c>
      <c r="C30" s="4" t="str">
        <f>IF(TOTALCO!C554="", "",TOTALCO!C554)</f>
        <v/>
      </c>
      <c r="D30" s="12">
        <f ca="1">IF(TOTALCO!D554="", "",TOTALCO!D554)</f>
        <v>480272</v>
      </c>
      <c r="E30" s="12" t="str">
        <f>IF(TOTALCO!E554="", "",TOTALCO!E554)</f>
        <v/>
      </c>
      <c r="F30" s="12">
        <f ca="1">IF(TOTALCO!F554="", "",TOTALCO!F554)</f>
        <v>415670.69643548207</v>
      </c>
      <c r="G30" s="12" t="str">
        <f>IF(TOTALCO!G554="", "",TOTALCO!G554)</f>
        <v/>
      </c>
      <c r="H30" s="12">
        <f ca="1">IF(TOTALCO!H554="", "",TOTALCO!H554)</f>
        <v>24411.106095953157</v>
      </c>
      <c r="I30" s="12">
        <f ca="1">IF(TOTALCO!I554="", "",TOTALCO!I554)</f>
        <v>40190.197468564773</v>
      </c>
      <c r="J30" s="12" t="str">
        <f>IF(TOTALCO!J554="", "",TOTALCO!J554)</f>
        <v/>
      </c>
      <c r="K30" s="12" t="str">
        <f>IF(TOTALCO!K554="", "",TOTALCO!K554)</f>
        <v/>
      </c>
      <c r="L30" s="12">
        <f ca="1">IF(TOTALCO!L554="", "",TOTALCO!L554)</f>
        <v>3.6752643926457633</v>
      </c>
      <c r="M30" s="12" t="str">
        <f>IF(TOTALCO!M554="", "",TOTALCO!M554)</f>
        <v/>
      </c>
      <c r="N30" s="12">
        <f ca="1">IF(TOTALCO!N554="", "",TOTALCO!N554)</f>
        <v>40186.522204172128</v>
      </c>
      <c r="O30" s="12">
        <f ca="1">IF(TOTALCO!O554="", "",TOTALCO!O554)</f>
        <v>12539.214551051777</v>
      </c>
      <c r="P30" s="12">
        <f ca="1">IF(TOTALCO!P554="", "",TOTALCO!P554)</f>
        <v>27647.307653120348</v>
      </c>
      <c r="Q30" s="12"/>
      <c r="R30" s="13"/>
    </row>
    <row r="31" spans="1:19" ht="15" x14ac:dyDescent="0.2">
      <c r="A31" s="382">
        <f>IF(TOTALCO!A555="", "",TOTALCO!A555)</f>
        <v>11</v>
      </c>
      <c r="B31" s="4" t="str">
        <f>IF(TOTALCO!B555="", "",TOTALCO!B555)</f>
        <v xml:space="preserve">     TOTAL ADDITIONS</v>
      </c>
      <c r="C31" s="4" t="str">
        <f>IF(TOTALCO!C555="", "",TOTALCO!C555)</f>
        <v/>
      </c>
      <c r="D31" s="12">
        <f ca="1">IF(TOTALCO!D555="", "",TOTALCO!D555)</f>
        <v>244588324.03830078</v>
      </c>
      <c r="E31" s="12" t="str">
        <f>IF(TOTALCO!E555="", "",TOTALCO!E555)</f>
        <v/>
      </c>
      <c r="F31" s="12">
        <f ca="1">IF(TOTALCO!F555="", "",TOTALCO!F555)</f>
        <v>218172262.86243787</v>
      </c>
      <c r="G31" s="12" t="str">
        <f>IF(TOTALCO!G555="", "",TOTALCO!G555)</f>
        <v/>
      </c>
      <c r="H31" s="12">
        <f ca="1">IF(TOTALCO!H555="", "",TOTALCO!H555)</f>
        <v>7041428.0583003089</v>
      </c>
      <c r="I31" s="12">
        <f ca="1">IF(TOTALCO!I555="", "",TOTALCO!I555)</f>
        <v>19374633.117562603</v>
      </c>
      <c r="J31" s="12" t="str">
        <f>IF(TOTALCO!J555="", "",TOTALCO!J555)</f>
        <v/>
      </c>
      <c r="K31" s="12" t="str">
        <f>IF(TOTALCO!K555="", "",TOTALCO!K555)</f>
        <v/>
      </c>
      <c r="L31" s="12">
        <f ca="1">IF(TOTALCO!L555="", "",TOTALCO!L555)</f>
        <v>3498.2885310072475</v>
      </c>
      <c r="M31" s="12" t="str">
        <f>IF(TOTALCO!M555="", "",TOTALCO!M555)</f>
        <v/>
      </c>
      <c r="N31" s="12">
        <f ca="1">IF(TOTALCO!N555="", "",TOTALCO!N555)</f>
        <v>19371134.829031594</v>
      </c>
      <c r="O31" s="12">
        <f ca="1">IF(TOTALCO!O555="", "",TOTALCO!O555)</f>
        <v>6276556.0899017621</v>
      </c>
      <c r="P31" s="12">
        <f ca="1">IF(TOTALCO!P555="", "",TOTALCO!P555)</f>
        <v>13094578.739129832</v>
      </c>
      <c r="Q31" s="12"/>
      <c r="R31" s="13"/>
    </row>
    <row r="32" spans="1:19" ht="15" x14ac:dyDescent="0.2">
      <c r="A32" s="382" t="str">
        <f>IF(TOTALCO!A556="", "",TOTALCO!A556)</f>
        <v/>
      </c>
      <c r="B32" s="4" t="str">
        <f>IF(TOTALCO!B556="", "",TOTALCO!B556)</f>
        <v/>
      </c>
      <c r="C32" s="4" t="str">
        <f>IF(TOTALCO!C556="", "",TOTALCO!C556)</f>
        <v/>
      </c>
      <c r="D32" s="12" t="str">
        <f>IF(TOTALCO!D556="", "",TOTALCO!D556)</f>
        <v/>
      </c>
      <c r="E32" s="12" t="str">
        <f>IF(TOTALCO!E556="", "",TOTALCO!E556)</f>
        <v/>
      </c>
      <c r="F32" s="12" t="str">
        <f>IF(TOTALCO!F556="", "",TOTALCO!F556)</f>
        <v/>
      </c>
      <c r="G32" s="12" t="str">
        <f>IF(TOTALCO!G556="", "",TOTALCO!G556)</f>
        <v/>
      </c>
      <c r="H32" s="12" t="str">
        <f>IF(TOTALCO!H556="", "",TOTALCO!H556)</f>
        <v/>
      </c>
      <c r="I32" s="12" t="str">
        <f>IF(TOTALCO!I556="", "",TOTALCO!I556)</f>
        <v/>
      </c>
      <c r="J32" s="12" t="str">
        <f>IF(TOTALCO!J556="", "",TOTALCO!J556)</f>
        <v/>
      </c>
      <c r="K32" s="12" t="str">
        <f>IF(TOTALCO!K556="", "",TOTALCO!K556)</f>
        <v/>
      </c>
      <c r="L32" s="12" t="str">
        <f>IF(TOTALCO!L556="", "",TOTALCO!L556)</f>
        <v/>
      </c>
      <c r="M32" s="12" t="str">
        <f>IF(TOTALCO!M556="", "",TOTALCO!M556)</f>
        <v/>
      </c>
      <c r="N32" s="12" t="str">
        <f>IF(TOTALCO!N556="", "",TOTALCO!N556)</f>
        <v/>
      </c>
      <c r="O32" s="12" t="str">
        <f>IF(TOTALCO!O556="", "",TOTALCO!O556)</f>
        <v/>
      </c>
      <c r="P32" s="12" t="str">
        <f>IF(TOTALCO!P556="", "",TOTALCO!P556)</f>
        <v/>
      </c>
      <c r="Q32" s="12"/>
      <c r="R32" s="13"/>
    </row>
    <row r="33" spans="1:18" ht="15" x14ac:dyDescent="0.2">
      <c r="A33" s="382" t="str">
        <f>IF(TOTALCO!A557="", "",TOTALCO!A557)</f>
        <v/>
      </c>
      <c r="B33" s="4" t="str">
        <f>IF(TOTALCO!B557="", "",TOTALCO!B557)</f>
        <v>DEDUCT:</v>
      </c>
      <c r="C33" s="4" t="str">
        <f>IF(TOTALCO!C557="", "",TOTALCO!C557)</f>
        <v/>
      </c>
      <c r="D33" s="12" t="str">
        <f>IF(TOTALCO!D557="", "",TOTALCO!D557)</f>
        <v/>
      </c>
      <c r="E33" s="12" t="str">
        <f>IF(TOTALCO!E557="", "",TOTALCO!E557)</f>
        <v/>
      </c>
      <c r="F33" s="12" t="str">
        <f>IF(TOTALCO!F557="", "",TOTALCO!F557)</f>
        <v/>
      </c>
      <c r="G33" s="12" t="str">
        <f>IF(TOTALCO!G557="", "",TOTALCO!G557)</f>
        <v/>
      </c>
      <c r="H33" s="12" t="str">
        <f>IF(TOTALCO!H557="", "",TOTALCO!H557)</f>
        <v/>
      </c>
      <c r="I33" s="12" t="str">
        <f>IF(TOTALCO!I557="", "",TOTALCO!I557)</f>
        <v/>
      </c>
      <c r="J33" s="12" t="str">
        <f>IF(TOTALCO!J557="", "",TOTALCO!J557)</f>
        <v/>
      </c>
      <c r="K33" s="12" t="str">
        <f>IF(TOTALCO!K557="", "",TOTALCO!K557)</f>
        <v/>
      </c>
      <c r="L33" s="12" t="str">
        <f>IF(TOTALCO!L557="", "",TOTALCO!L557)</f>
        <v/>
      </c>
      <c r="M33" s="12" t="str">
        <f>IF(TOTALCO!M557="", "",TOTALCO!M557)</f>
        <v/>
      </c>
      <c r="N33" s="12" t="str">
        <f>IF(TOTALCO!N557="", "",TOTALCO!N557)</f>
        <v/>
      </c>
      <c r="O33" s="12" t="str">
        <f>IF(TOTALCO!O557="", "",TOTALCO!O557)</f>
        <v/>
      </c>
      <c r="P33" s="12" t="str">
        <f>IF(TOTALCO!P557="", "",TOTALCO!P557)</f>
        <v/>
      </c>
      <c r="Q33" s="12"/>
      <c r="R33" s="13"/>
    </row>
    <row r="34" spans="1:18" ht="15" x14ac:dyDescent="0.2">
      <c r="A34" s="382">
        <f>IF(TOTALCO!A558="", "",TOTALCO!A558)</f>
        <v>12</v>
      </c>
      <c r="B34" s="4" t="str">
        <f>IF(TOTALCO!B558="", "",TOTALCO!B558)</f>
        <v xml:space="preserve">    RESERVE FOR DEF TAXES</v>
      </c>
      <c r="C34" s="4" t="str">
        <f>IF(TOTALCO!C558="", "",TOTALCO!C558)</f>
        <v/>
      </c>
      <c r="D34" s="12">
        <f ca="1">IF(TOTALCO!D558="", "",TOTALCO!D558)</f>
        <v>502196487</v>
      </c>
      <c r="E34" s="12" t="str">
        <f>IF(TOTALCO!E558="", "",TOTALCO!E558)</f>
        <v/>
      </c>
      <c r="F34" s="12">
        <f ca="1">IF(TOTALCO!F558="", "",TOTALCO!F558)</f>
        <v>439643556.61911047</v>
      </c>
      <c r="G34" s="12" t="str">
        <f>IF(TOTALCO!G558="", "",TOTALCO!G558)</f>
        <v/>
      </c>
      <c r="H34" s="12">
        <f ca="1">IF(TOTALCO!H558="", "",TOTALCO!H558)</f>
        <v>28594743.338706903</v>
      </c>
      <c r="I34" s="12">
        <f ca="1">IF(TOTALCO!I558="", "",TOTALCO!I558)</f>
        <v>33958187.042182602</v>
      </c>
      <c r="J34" s="12" t="str">
        <f>IF(TOTALCO!J558="", "",TOTALCO!J558)</f>
        <v/>
      </c>
      <c r="K34" s="12" t="str">
        <f>IF(TOTALCO!K558="", "",TOTALCO!K558)</f>
        <v/>
      </c>
      <c r="L34" s="12">
        <f ca="1">IF(TOTALCO!L558="", "",TOTALCO!L558)</f>
        <v>15555.226944573948</v>
      </c>
      <c r="M34" s="12" t="str">
        <f>IF(TOTALCO!M558="", "",TOTALCO!M558)</f>
        <v/>
      </c>
      <c r="N34" s="12">
        <f ca="1">IF(TOTALCO!N558="", "",TOTALCO!N558)</f>
        <v>33942631.815238029</v>
      </c>
      <c r="O34" s="12">
        <f ca="1">IF(TOTALCO!O558="", "",TOTALCO!O558)</f>
        <v>10778578.07570019</v>
      </c>
      <c r="P34" s="12">
        <f ca="1">IF(TOTALCO!P558="", "",TOTALCO!P558)</f>
        <v>23164053.739537839</v>
      </c>
      <c r="Q34" s="12"/>
      <c r="R34" s="13"/>
    </row>
    <row r="35" spans="1:18" ht="15" x14ac:dyDescent="0.2">
      <c r="A35" s="382">
        <f>IF(TOTALCO!A559="", "",TOTALCO!A559)</f>
        <v>13</v>
      </c>
      <c r="B35" s="4" t="str">
        <f>IF(TOTALCO!B559="", "",TOTALCO!B559)</f>
        <v xml:space="preserve">    RESERVE FOR ITC</v>
      </c>
      <c r="C35" s="4" t="str">
        <f>IF(TOTALCO!C559="", "",TOTALCO!C559)</f>
        <v/>
      </c>
      <c r="D35" s="12">
        <f ca="1">IF(TOTALCO!D559="", "",TOTALCO!D559)</f>
        <v>100707740</v>
      </c>
      <c r="E35" s="12" t="str">
        <f>IF(TOTALCO!E559="", "",TOTALCO!E559)</f>
        <v/>
      </c>
      <c r="F35" s="12">
        <f ca="1">IF(TOTALCO!F559="", "",TOTALCO!F559)</f>
        <v>86299724.418162271</v>
      </c>
      <c r="G35" s="12" t="str">
        <f>IF(TOTALCO!G559="", "",TOTALCO!G559)</f>
        <v/>
      </c>
      <c r="H35" s="12">
        <f ca="1">IF(TOTALCO!H559="", "",TOTALCO!H559)</f>
        <v>5223560.284217543</v>
      </c>
      <c r="I35" s="12">
        <f ca="1">IF(TOTALCO!I559="", "",TOTALCO!I559)</f>
        <v>9184455.2976201847</v>
      </c>
      <c r="J35" s="12" t="str">
        <f>IF(TOTALCO!J559="", "",TOTALCO!J559)</f>
        <v/>
      </c>
      <c r="K35" s="12" t="str">
        <f>IF(TOTALCO!K559="", "",TOTALCO!K559)</f>
        <v/>
      </c>
      <c r="L35" s="12">
        <f ca="1">IF(TOTALCO!L559="", "",TOTALCO!L559)</f>
        <v>763.04225188133717</v>
      </c>
      <c r="M35" s="12" t="str">
        <f>IF(TOTALCO!M559="", "",TOTALCO!M559)</f>
        <v/>
      </c>
      <c r="N35" s="12">
        <f ca="1">IF(TOTALCO!N559="", "",TOTALCO!N559)</f>
        <v>9183692.2553683035</v>
      </c>
      <c r="O35" s="12">
        <f ca="1">IF(TOTALCO!O559="", "",TOTALCO!O559)</f>
        <v>2865544.9948077453</v>
      </c>
      <c r="P35" s="12">
        <f ca="1">IF(TOTALCO!P559="", "",TOTALCO!P559)</f>
        <v>6318147.2605605591</v>
      </c>
      <c r="Q35" s="12"/>
      <c r="R35" s="13"/>
    </row>
    <row r="36" spans="1:18" ht="15" x14ac:dyDescent="0.2">
      <c r="A36" s="382">
        <f>IF(TOTALCO!A560="", "",TOTALCO!A560)</f>
        <v>14</v>
      </c>
      <c r="B36" s="4" t="str">
        <f>IF(TOTALCO!B560="", "",TOTALCO!B560)</f>
        <v xml:space="preserve">    CUSTOMER ADVANCES</v>
      </c>
      <c r="C36" s="4" t="str">
        <f>IF(TOTALCO!C560="", "",TOTALCO!C560)</f>
        <v/>
      </c>
      <c r="D36" s="12">
        <f ca="1">IF(TOTALCO!D560="", "",TOTALCO!D560)</f>
        <v>3147887.16</v>
      </c>
      <c r="E36" s="12" t="str">
        <f>IF(TOTALCO!E560="", "",TOTALCO!E560)</f>
        <v/>
      </c>
      <c r="F36" s="12">
        <f ca="1">IF(TOTALCO!F560="", "",TOTALCO!F560)</f>
        <v>2936188.7806725097</v>
      </c>
      <c r="G36" s="12" t="str">
        <f>IF(TOTALCO!G560="", "",TOTALCO!G560)</f>
        <v/>
      </c>
      <c r="H36" s="12">
        <f ca="1">IF(TOTALCO!H560="", "",TOTALCO!H560)</f>
        <v>211698.37932749046</v>
      </c>
      <c r="I36" s="12">
        <f ca="1">IF(TOTALCO!I560="", "",TOTALCO!I560)</f>
        <v>0</v>
      </c>
      <c r="J36" s="12" t="str">
        <f>IF(TOTALCO!J560="", "",TOTALCO!J560)</f>
        <v/>
      </c>
      <c r="K36" s="12" t="str">
        <f>IF(TOTALCO!K560="", "",TOTALCO!K560)</f>
        <v/>
      </c>
      <c r="L36" s="12">
        <f ca="1">IF(TOTALCO!L560="", "",TOTALCO!L560)</f>
        <v>0</v>
      </c>
      <c r="M36" s="12" t="str">
        <f>IF(TOTALCO!M560="", "",TOTALCO!M560)</f>
        <v/>
      </c>
      <c r="N36" s="12">
        <f ca="1">IF(TOTALCO!N560="", "",TOTALCO!N560)</f>
        <v>0</v>
      </c>
      <c r="O36" s="12">
        <f ca="1">IF(TOTALCO!O560="", "",TOTALCO!O560)</f>
        <v>0</v>
      </c>
      <c r="P36" s="12">
        <f ca="1">IF(TOTALCO!P560="", "",TOTALCO!P560)</f>
        <v>0</v>
      </c>
      <c r="Q36" s="12"/>
      <c r="R36" s="13"/>
    </row>
    <row r="37" spans="1:18" ht="15" x14ac:dyDescent="0.2">
      <c r="A37" s="382">
        <f>IF(TOTALCO!A561="", "",TOTALCO!A561)</f>
        <v>15</v>
      </c>
      <c r="B37" s="4" t="str">
        <f>IF(TOTALCO!B561="", "",TOTALCO!B561)</f>
        <v xml:space="preserve">    CUSTOMER DEPOSITS-VIRGINIA</v>
      </c>
      <c r="C37" s="4" t="str">
        <f>IF(TOTALCO!C561="", "",TOTALCO!C561)</f>
        <v/>
      </c>
      <c r="D37" s="12">
        <f>IF(TOTALCO!D561="", "",TOTALCO!D561)</f>
        <v>23057677.960000001</v>
      </c>
      <c r="E37" s="12" t="str">
        <f>IF(TOTALCO!E561="", "",TOTALCO!E561)</f>
        <v/>
      </c>
      <c r="F37" s="12">
        <f>IF(TOTALCO!F561="", "",TOTALCO!F561)</f>
        <v>0</v>
      </c>
      <c r="G37" s="12" t="str">
        <f>IF(TOTALCO!G561="", "",TOTALCO!G561)</f>
        <v/>
      </c>
      <c r="H37" s="12">
        <f ca="1">IF(TOTALCO!H561="", "",TOTALCO!H561)</f>
        <v>525361.27</v>
      </c>
      <c r="I37" s="12">
        <f ca="1">IF(TOTALCO!I561="", "",TOTALCO!I561)</f>
        <v>0</v>
      </c>
      <c r="J37" s="12" t="str">
        <f>IF(TOTALCO!J561="", "",TOTALCO!J561)</f>
        <v/>
      </c>
      <c r="K37" s="12" t="str">
        <f>IF(TOTALCO!K561="", "",TOTALCO!K561)</f>
        <v/>
      </c>
      <c r="L37" s="12">
        <f ca="1">IF(TOTALCO!L561="", "",TOTALCO!L561)</f>
        <v>0</v>
      </c>
      <c r="M37" s="12" t="str">
        <f>IF(TOTALCO!M561="", "",TOTALCO!M561)</f>
        <v/>
      </c>
      <c r="N37" s="12">
        <f ca="1">IF(TOTALCO!N561="", "",TOTALCO!N561)</f>
        <v>0</v>
      </c>
      <c r="O37" s="12">
        <f ca="1">IF(TOTALCO!O561="", "",TOTALCO!O561)</f>
        <v>0</v>
      </c>
      <c r="P37" s="12">
        <f ca="1">IF(TOTALCO!P561="", "",TOTALCO!P561)</f>
        <v>0</v>
      </c>
      <c r="Q37" s="12"/>
      <c r="R37" s="13"/>
    </row>
    <row r="38" spans="1:18" ht="15" x14ac:dyDescent="0.2">
      <c r="A38" s="382">
        <f>IF(TOTALCO!A562="", "",TOTALCO!A562)</f>
        <v>16</v>
      </c>
      <c r="B38" s="4" t="str">
        <f>IF(TOTALCO!B562="", "",TOTALCO!B562)</f>
        <v xml:space="preserve">    DEFERRED FUEL-VIRGINIA</v>
      </c>
      <c r="C38" s="4" t="str">
        <f>IF(TOTALCO!C562="", "",TOTALCO!C562)</f>
        <v/>
      </c>
      <c r="D38" s="12">
        <f ca="1">IF(TOTALCO!D562="", "",TOTALCO!D562)</f>
        <v>-2824747</v>
      </c>
      <c r="E38" s="12" t="str">
        <f>IF(TOTALCO!E562="", "",TOTALCO!E562)</f>
        <v/>
      </c>
      <c r="F38" s="12">
        <f ca="1">IF(TOTALCO!F562="", "",TOTALCO!F562)</f>
        <v>0</v>
      </c>
      <c r="G38" s="12" t="str">
        <f>IF(TOTALCO!G562="", "",TOTALCO!G562)</f>
        <v/>
      </c>
      <c r="H38" s="12">
        <f ca="1">IF(TOTALCO!H562="", "",TOTALCO!H562)</f>
        <v>-2824747</v>
      </c>
      <c r="I38" s="12">
        <f ca="1">IF(TOTALCO!I562="", "",TOTALCO!I562)</f>
        <v>0</v>
      </c>
      <c r="J38" s="12" t="str">
        <f>IF(TOTALCO!J562="", "",TOTALCO!J562)</f>
        <v/>
      </c>
      <c r="K38" s="12" t="str">
        <f>IF(TOTALCO!K562="", "",TOTALCO!K562)</f>
        <v/>
      </c>
      <c r="L38" s="12">
        <f ca="1">IF(TOTALCO!L562="", "",TOTALCO!L562)</f>
        <v>0</v>
      </c>
      <c r="M38" s="12" t="str">
        <f>IF(TOTALCO!M562="", "",TOTALCO!M562)</f>
        <v/>
      </c>
      <c r="N38" s="12">
        <f ca="1">IF(TOTALCO!N562="", "",TOTALCO!N562)</f>
        <v>0</v>
      </c>
      <c r="O38" s="12">
        <f ca="1">IF(TOTALCO!O562="", "",TOTALCO!O562)</f>
        <v>0</v>
      </c>
      <c r="P38" s="12">
        <f ca="1">IF(TOTALCO!P562="", "",TOTALCO!P562)</f>
        <v>0</v>
      </c>
      <c r="Q38" s="12"/>
      <c r="R38" s="13"/>
    </row>
    <row r="39" spans="1:18" ht="15" x14ac:dyDescent="0.2">
      <c r="A39" s="382">
        <f>IF(TOTALCO!A563="", "",TOTALCO!A563)</f>
        <v>17</v>
      </c>
      <c r="B39" s="4" t="str">
        <f>IF(TOTALCO!B563="", "",TOTALCO!B563)</f>
        <v xml:space="preserve">    OPEB UNFUNDED-VIRGINIA</v>
      </c>
      <c r="C39" s="4" t="str">
        <f>IF(TOTALCO!C563="", "",TOTALCO!C563)</f>
        <v/>
      </c>
      <c r="D39" s="12">
        <f>IF(TOTALCO!D563="", "",TOTALCO!D563)</f>
        <v>59597737.969999999</v>
      </c>
      <c r="E39" s="12" t="str">
        <f>IF(TOTALCO!E563="", "",TOTALCO!E563)</f>
        <v/>
      </c>
      <c r="F39" s="12">
        <f>IF(TOTALCO!F563="", "",TOTALCO!F563)</f>
        <v>0</v>
      </c>
      <c r="G39" s="12" t="str">
        <f>IF(TOTALCO!G563="", "",TOTALCO!G563)</f>
        <v/>
      </c>
      <c r="H39" s="12">
        <f ca="1">IF(TOTALCO!H563="", "",TOTALCO!H563)</f>
        <v>3265538.018409566</v>
      </c>
      <c r="I39" s="12">
        <f>IF(TOTALCO!I563="", "",TOTALCO!I563)</f>
        <v>0</v>
      </c>
      <c r="J39" s="12" t="str">
        <f>IF(TOTALCO!J563="", "",TOTALCO!J563)</f>
        <v/>
      </c>
      <c r="K39" s="12" t="str">
        <f>IF(TOTALCO!K563="", "",TOTALCO!K563)</f>
        <v/>
      </c>
      <c r="L39" s="12">
        <f>IF(TOTALCO!L563="", "",TOTALCO!L563)</f>
        <v>0</v>
      </c>
      <c r="M39" s="12" t="str">
        <f>IF(TOTALCO!M563="", "",TOTALCO!M563)</f>
        <v/>
      </c>
      <c r="N39" s="12">
        <f>IF(TOTALCO!N563="", "",TOTALCO!N563)</f>
        <v>0</v>
      </c>
      <c r="O39" s="12">
        <f>IF(TOTALCO!O563="", "",TOTALCO!O563)</f>
        <v>0</v>
      </c>
      <c r="P39" s="12">
        <f>IF(TOTALCO!P563="", "",TOTALCO!P563)</f>
        <v>0</v>
      </c>
      <c r="Q39" s="12"/>
      <c r="R39" s="13"/>
    </row>
    <row r="40" spans="1:18" ht="15" x14ac:dyDescent="0.2">
      <c r="A40" s="382">
        <f>IF(TOTALCO!A564="", "",TOTALCO!A564)</f>
        <v>18</v>
      </c>
      <c r="B40" s="4" t="str">
        <f>IF(TOTALCO!B564="", "",TOTALCO!B564)</f>
        <v xml:space="preserve">     TOTAL DEDUCTIONS</v>
      </c>
      <c r="C40" s="4" t="str">
        <f>IF(TOTALCO!C564="", "",TOTALCO!C564)</f>
        <v/>
      </c>
      <c r="D40" s="12">
        <f ca="1">IF(TOTALCO!D564="", "",TOTALCO!D564)</f>
        <v>685882783.09000003</v>
      </c>
      <c r="E40" s="12" t="str">
        <f>IF(TOTALCO!E564="", "",TOTALCO!E564)</f>
        <v/>
      </c>
      <c r="F40" s="12">
        <f ca="1">IF(TOTALCO!F564="", "",TOTALCO!F564)</f>
        <v>528879469.81794524</v>
      </c>
      <c r="G40" s="12" t="str">
        <f>IF(TOTALCO!G564="", "",TOTALCO!G564)</f>
        <v/>
      </c>
      <c r="H40" s="12">
        <f ca="1">IF(TOTALCO!H564="", "",TOTALCO!H564)</f>
        <v>34996154.290661506</v>
      </c>
      <c r="I40" s="12">
        <f ca="1">IF(TOTALCO!I564="", "",TOTALCO!I564)</f>
        <v>43142642.339802794</v>
      </c>
      <c r="J40" s="12" t="str">
        <f>IF(TOTALCO!J564="", "",TOTALCO!J564)</f>
        <v/>
      </c>
      <c r="K40" s="12" t="str">
        <f>IF(TOTALCO!K564="", "",TOTALCO!K564)</f>
        <v/>
      </c>
      <c r="L40" s="12">
        <f ca="1">IF(TOTALCO!L564="", "",TOTALCO!L564)</f>
        <v>16318.269196455285</v>
      </c>
      <c r="M40" s="12" t="str">
        <f>IF(TOTALCO!M564="", "",TOTALCO!M564)</f>
        <v/>
      </c>
      <c r="N40" s="12">
        <f ca="1">IF(TOTALCO!N564="", "",TOTALCO!N564)</f>
        <v>43126324.070606336</v>
      </c>
      <c r="O40" s="12">
        <f ca="1">IF(TOTALCO!O564="", "",TOTALCO!O564)</f>
        <v>13644123.070507936</v>
      </c>
      <c r="P40" s="12">
        <f ca="1">IF(TOTALCO!P564="", "",TOTALCO!P564)</f>
        <v>29482201.0000984</v>
      </c>
      <c r="Q40" s="12"/>
      <c r="R40" s="13"/>
    </row>
    <row r="41" spans="1:18" ht="15" x14ac:dyDescent="0.2">
      <c r="A41" s="382" t="str">
        <f>IF(TOTALCO!A565="", "",TOTALCO!A565)</f>
        <v/>
      </c>
      <c r="B41" s="4" t="str">
        <f>IF(TOTALCO!B565="", "",TOTALCO!B565)</f>
        <v/>
      </c>
      <c r="C41" s="4" t="str">
        <f>IF(TOTALCO!C565="", "",TOTALCO!C565)</f>
        <v/>
      </c>
      <c r="D41" s="12" t="str">
        <f>IF(TOTALCO!D565="", "",TOTALCO!D565)</f>
        <v/>
      </c>
      <c r="E41" s="12" t="str">
        <f>IF(TOTALCO!E565="", "",TOTALCO!E565)</f>
        <v/>
      </c>
      <c r="F41" s="12" t="str">
        <f>IF(TOTALCO!F565="", "",TOTALCO!F565)</f>
        <v/>
      </c>
      <c r="G41" s="12" t="str">
        <f>IF(TOTALCO!G565="", "",TOTALCO!G565)</f>
        <v/>
      </c>
      <c r="H41" s="12" t="str">
        <f>IF(TOTALCO!H565="", "",TOTALCO!H565)</f>
        <v/>
      </c>
      <c r="I41" s="12" t="str">
        <f>IF(TOTALCO!I565="", "",TOTALCO!I565)</f>
        <v/>
      </c>
      <c r="J41" s="12" t="str">
        <f>IF(TOTALCO!J565="", "",TOTALCO!J565)</f>
        <v/>
      </c>
      <c r="K41" s="12" t="str">
        <f>IF(TOTALCO!K565="", "",TOTALCO!K565)</f>
        <v/>
      </c>
      <c r="L41" s="12" t="str">
        <f>IF(TOTALCO!L565="", "",TOTALCO!L565)</f>
        <v/>
      </c>
      <c r="M41" s="12" t="str">
        <f>IF(TOTALCO!M565="", "",TOTALCO!M565)</f>
        <v/>
      </c>
      <c r="N41" s="12" t="str">
        <f>IF(TOTALCO!N565="", "",TOTALCO!N565)</f>
        <v/>
      </c>
      <c r="O41" s="12" t="str">
        <f>IF(TOTALCO!O565="", "",TOTALCO!O565)</f>
        <v/>
      </c>
      <c r="P41" s="12" t="str">
        <f>IF(TOTALCO!P565="", "",TOTALCO!P565)</f>
        <v/>
      </c>
      <c r="Q41" s="12"/>
      <c r="R41" s="13"/>
    </row>
    <row r="42" spans="1:18" ht="15" x14ac:dyDescent="0.2">
      <c r="A42" s="382">
        <f>IF(TOTALCO!A566="", "",TOTALCO!A566)</f>
        <v>19</v>
      </c>
      <c r="B42" s="4" t="str">
        <f>IF(TOTALCO!B566="", "",TOTALCO!B566)</f>
        <v>NET ORIGINAL COST RATE BASE</v>
      </c>
      <c r="C42" s="4" t="str">
        <f>IF(TOTALCO!C566="", "",TOTALCO!C566)</f>
        <v/>
      </c>
      <c r="D42" s="12">
        <f ca="1">IF(TOTALCO!D566="", "",TOTALCO!D566)</f>
        <v>3977227798.518302</v>
      </c>
      <c r="E42" s="12" t="str">
        <f>IF(TOTALCO!E566="", "",TOTALCO!E566)</f>
        <v/>
      </c>
      <c r="F42" s="12">
        <f ca="1">IF(TOTALCO!F566="", "",TOTALCO!F566)</f>
        <v>3550375898.9468842</v>
      </c>
      <c r="G42" s="12" t="str">
        <f>IF(TOTALCO!G566="", "",TOTALCO!G566)</f>
        <v/>
      </c>
      <c r="H42" s="12">
        <f ca="1">IF(TOTALCO!H566="", "",TOTALCO!H566)</f>
        <v>216540257.81030622</v>
      </c>
      <c r="I42" s="12">
        <f ca="1">IF(TOTALCO!I566="", "",TOTALCO!I566)</f>
        <v>289176158.40270245</v>
      </c>
      <c r="J42" s="12" t="str">
        <f>IF(TOTALCO!J566="", "",TOTALCO!J566)</f>
        <v/>
      </c>
      <c r="K42" s="12" t="str">
        <f>IF(TOTALCO!K566="", "",TOTALCO!K566)</f>
        <v/>
      </c>
      <c r="L42" s="12">
        <f ca="1">IF(TOTALCO!L566="", "",TOTALCO!L566)</f>
        <v>37845.191210532408</v>
      </c>
      <c r="M42" s="12" t="str">
        <f>IF(TOTALCO!M566="", "",TOTALCO!M566)</f>
        <v/>
      </c>
      <c r="N42" s="12">
        <f ca="1">IF(TOTALCO!N566="", "",TOTALCO!N566)</f>
        <v>289138313.21149194</v>
      </c>
      <c r="O42" s="12">
        <f ca="1">IF(TOTALCO!O566="", "",TOTALCO!O566)</f>
        <v>91830469.28928861</v>
      </c>
      <c r="P42" s="12">
        <f ca="1">IF(TOTALCO!P566="", "",TOTALCO!P566)</f>
        <v>197307843.92220336</v>
      </c>
      <c r="Q42" s="12"/>
      <c r="R42" s="13"/>
    </row>
    <row r="43" spans="1:18" ht="15" x14ac:dyDescent="0.2">
      <c r="A43" s="382" t="str">
        <f>IF(TOTALCO!A567="", "",TOTALCO!A567)</f>
        <v/>
      </c>
      <c r="B43" s="4" t="str">
        <f>IF(TOTALCO!B567="", "",TOTALCO!B567)</f>
        <v/>
      </c>
      <c r="C43" s="4" t="str">
        <f>IF(TOTALCO!C567="", "",TOTALCO!C567)</f>
        <v/>
      </c>
      <c r="D43" s="12" t="str">
        <f>IF(TOTALCO!D567="", "",TOTALCO!D567)</f>
        <v/>
      </c>
      <c r="E43" s="12" t="str">
        <f>IF(TOTALCO!E567="", "",TOTALCO!E567)</f>
        <v/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1:18" ht="15" x14ac:dyDescent="0.2">
      <c r="A44" s="382" t="str">
        <f>IF(TOTALCO!A568="", "",TOTALCO!A568)</f>
        <v/>
      </c>
      <c r="B44" s="4" t="str">
        <f>IF(TOTALCO!B568="", "",TOTALCO!B568)</f>
        <v>DEVELOPMENT OF RETURN</v>
      </c>
      <c r="C44" s="4" t="str">
        <f>IF(TOTALCO!C568="", "",TOTALCO!C568)</f>
        <v/>
      </c>
      <c r="D44" s="12" t="str">
        <f>IF(TOTALCO!D568="", "",TOTALCO!D568)</f>
        <v/>
      </c>
      <c r="E44" s="12" t="str">
        <f>IF(TOTALCO!E568="", "",TOTALCO!E568)</f>
        <v/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1:18" ht="15" x14ac:dyDescent="0.2">
      <c r="A45" s="382">
        <f>IF(TOTALCO!A569="", "",TOTALCO!A569)</f>
        <v>20</v>
      </c>
      <c r="B45" s="4" t="str">
        <f>IF(TOTALCO!B569="", "",TOTALCO!B569)</f>
        <v>OPERATING REVENUES</v>
      </c>
      <c r="C45" s="4" t="str">
        <f>IF(TOTALCO!C569="", "",TOTALCO!C569)</f>
        <v/>
      </c>
      <c r="D45" s="12">
        <f ca="1">IF(TOTALCO!D569="", "",TOTALCO!D569)</f>
        <v>1522035956.74</v>
      </c>
      <c r="E45" s="12" t="str">
        <f>IF(TOTALCO!E569="", "",TOTALCO!E569)</f>
        <v/>
      </c>
      <c r="F45" s="12">
        <f ca="1">IF(TOTALCO!F569="", "",TOTALCO!F569)</f>
        <v>1342076919.5654504</v>
      </c>
      <c r="G45" s="12" t="str">
        <f>IF(TOTALCO!G569="", "",TOTALCO!G569)</f>
        <v/>
      </c>
      <c r="H45" s="12">
        <f ca="1">IF(TOTALCO!H569="", "",TOTALCO!H569)</f>
        <v>75816559.35003905</v>
      </c>
      <c r="I45" s="12">
        <f ca="1">IF(TOTALCO!I569="", "",TOTALCO!I569)</f>
        <v>104142477.82451053</v>
      </c>
      <c r="J45" s="12" t="str">
        <f>IF(TOTALCO!J569="", "",TOTALCO!J569)</f>
        <v/>
      </c>
      <c r="K45" s="12" t="str">
        <f>IF(TOTALCO!K569="", "",TOTALCO!K569)</f>
        <v/>
      </c>
      <c r="L45" s="12">
        <f ca="1">IF(TOTALCO!L569="", "",TOTALCO!L569)</f>
        <v>6663.0818311375333</v>
      </c>
      <c r="M45" s="12" t="str">
        <f>IF(TOTALCO!M569="", "",TOTALCO!M569)</f>
        <v/>
      </c>
      <c r="N45" s="12">
        <f ca="1">IF(TOTALCO!N569="", "",TOTALCO!N569)</f>
        <v>104135814.74267939</v>
      </c>
      <c r="O45" s="12">
        <f ca="1">IF(TOTALCO!O569="", "",TOTALCO!O569)</f>
        <v>33654442.050709493</v>
      </c>
      <c r="P45" s="12">
        <f ca="1">IF(TOTALCO!P569="", "",TOTALCO!P569)</f>
        <v>70481372.691969886</v>
      </c>
      <c r="Q45" s="12"/>
      <c r="R45" s="13"/>
    </row>
    <row r="46" spans="1:18" ht="15" x14ac:dyDescent="0.2">
      <c r="A46" s="382" t="str">
        <f>IF(TOTALCO!A570="", "",TOTALCO!A570)</f>
        <v/>
      </c>
      <c r="B46" s="4" t="str">
        <f>IF(TOTALCO!B570="", "",TOTALCO!B570)</f>
        <v/>
      </c>
      <c r="C46" s="4" t="str">
        <f>IF(TOTALCO!C570="", "",TOTALCO!C570)</f>
        <v/>
      </c>
      <c r="D46" s="12" t="str">
        <f>IF(TOTALCO!D570="", "",TOTALCO!D570)</f>
        <v/>
      </c>
      <c r="E46" s="12" t="str">
        <f>IF(TOTALCO!E570="", "",TOTALCO!E570)</f>
        <v/>
      </c>
      <c r="F46" s="12" t="str">
        <f>IF(TOTALCO!F570="", "",TOTALCO!F570)</f>
        <v/>
      </c>
      <c r="G46" s="12" t="str">
        <f>IF(TOTALCO!G570="", "",TOTALCO!G570)</f>
        <v/>
      </c>
      <c r="H46" s="12" t="str">
        <f>IF(TOTALCO!H570="", "",TOTALCO!H570)</f>
        <v/>
      </c>
      <c r="I46" s="12" t="str">
        <f>IF(TOTALCO!I570="", "",TOTALCO!I570)</f>
        <v/>
      </c>
      <c r="J46" s="12" t="str">
        <f>IF(TOTALCO!J570="", "",TOTALCO!J570)</f>
        <v/>
      </c>
      <c r="K46" s="12" t="str">
        <f>IF(TOTALCO!K570="", "",TOTALCO!K570)</f>
        <v/>
      </c>
      <c r="L46" s="12" t="str">
        <f>IF(TOTALCO!L570="", "",TOTALCO!L570)</f>
        <v/>
      </c>
      <c r="M46" s="12" t="str">
        <f>IF(TOTALCO!M570="", "",TOTALCO!M570)</f>
        <v/>
      </c>
      <c r="N46" s="12" t="str">
        <f>IF(TOTALCO!N570="", "",TOTALCO!N570)</f>
        <v/>
      </c>
      <c r="O46" s="12" t="str">
        <f>IF(TOTALCO!O570="", "",TOTALCO!O570)</f>
        <v/>
      </c>
      <c r="P46" s="12" t="str">
        <f>IF(TOTALCO!P570="", "",TOTALCO!P570)</f>
        <v/>
      </c>
      <c r="Q46" s="12"/>
      <c r="R46" s="13"/>
    </row>
    <row r="47" spans="1:18" ht="15" x14ac:dyDescent="0.2">
      <c r="A47" s="382" t="str">
        <f>IF(TOTALCO!A571="", "",TOTALCO!A571)</f>
        <v/>
      </c>
      <c r="B47" s="4" t="str">
        <f>IF(TOTALCO!B571="", "",TOTALCO!B571)</f>
        <v>OPERATING EXPENSES</v>
      </c>
      <c r="C47" s="4" t="str">
        <f>IF(TOTALCO!C571="", "",TOTALCO!C571)</f>
        <v/>
      </c>
      <c r="D47" s="12" t="str">
        <f>IF(TOTALCO!D571="", "",TOTALCO!D571)</f>
        <v/>
      </c>
      <c r="E47" s="12" t="str">
        <f>IF(TOTALCO!E571="", "",TOTALCO!E571)</f>
        <v/>
      </c>
      <c r="F47" s="12" t="str">
        <f>IF(TOTALCO!F571="", "",TOTALCO!F571)</f>
        <v/>
      </c>
      <c r="G47" s="12" t="str">
        <f>IF(TOTALCO!G571="", "",TOTALCO!G571)</f>
        <v/>
      </c>
      <c r="H47" s="12" t="str">
        <f>IF(TOTALCO!H571="", "",TOTALCO!H571)</f>
        <v/>
      </c>
      <c r="I47" s="12" t="str">
        <f>IF(TOTALCO!I571="", "",TOTALCO!I571)</f>
        <v/>
      </c>
      <c r="J47" s="12" t="str">
        <f>IF(TOTALCO!J571="", "",TOTALCO!J571)</f>
        <v/>
      </c>
      <c r="K47" s="12" t="str">
        <f>IF(TOTALCO!K571="", "",TOTALCO!K571)</f>
        <v/>
      </c>
      <c r="L47" s="12" t="str">
        <f>IF(TOTALCO!L571="", "",TOTALCO!L571)</f>
        <v/>
      </c>
      <c r="M47" s="12" t="str">
        <f>IF(TOTALCO!M571="", "",TOTALCO!M571)</f>
        <v/>
      </c>
      <c r="N47" s="12" t="str">
        <f>IF(TOTALCO!N571="", "",TOTALCO!N571)</f>
        <v/>
      </c>
      <c r="O47" s="12" t="str">
        <f>IF(TOTALCO!O571="", "",TOTALCO!O571)</f>
        <v/>
      </c>
      <c r="P47" s="12" t="str">
        <f>IF(TOTALCO!P571="", "",TOTALCO!P571)</f>
        <v/>
      </c>
      <c r="Q47" s="12"/>
      <c r="R47" s="13"/>
    </row>
    <row r="48" spans="1:18" ht="15" x14ac:dyDescent="0.2">
      <c r="A48" s="382">
        <f>IF(TOTALCO!A572="", "",TOTALCO!A572)</f>
        <v>21</v>
      </c>
      <c r="B48" s="4" t="str">
        <f>IF(TOTALCO!B572="", "",TOTALCO!B572)</f>
        <v xml:space="preserve">    OPERATION &amp; MAINT EXPENSE</v>
      </c>
      <c r="C48" s="4" t="str">
        <f>IF(TOTALCO!C572="", "",TOTALCO!C572)</f>
        <v/>
      </c>
      <c r="D48" s="12">
        <f ca="1">IF(TOTALCO!D572="", "",TOTALCO!D572)</f>
        <v>980861389.39999998</v>
      </c>
      <c r="E48" s="12" t="str">
        <f>IF(TOTALCO!E572="", "",TOTALCO!E572)</f>
        <v/>
      </c>
      <c r="F48" s="12">
        <f ca="1">IF(TOTALCO!F572="", "",TOTALCO!F572)</f>
        <v>858787982.80655313</v>
      </c>
      <c r="G48" s="12" t="str">
        <f>IF(TOTALCO!G572="", "",TOTALCO!G572)</f>
        <v/>
      </c>
      <c r="H48" s="12">
        <f ca="1">IF(TOTALCO!H572="", "",TOTALCO!H572)</f>
        <v>49298743.593609117</v>
      </c>
      <c r="I48" s="12">
        <f ca="1">IF(TOTALCO!I572="", "",TOTALCO!I572)</f>
        <v>72774662.999837756</v>
      </c>
      <c r="J48" s="12" t="str">
        <f>IF(TOTALCO!J572="", "",TOTALCO!J572)</f>
        <v/>
      </c>
      <c r="K48" s="12" t="str">
        <f>IF(TOTALCO!K572="", "",TOTALCO!K572)</f>
        <v/>
      </c>
      <c r="L48" s="12">
        <f ca="1">IF(TOTALCO!L572="", "",TOTALCO!L572)</f>
        <v>14249.990768725833</v>
      </c>
      <c r="M48" s="12" t="str">
        <f>IF(TOTALCO!M572="", "",TOTALCO!M572)</f>
        <v/>
      </c>
      <c r="N48" s="12">
        <f ca="1">IF(TOTALCO!N572="", "",TOTALCO!N572)</f>
        <v>72760413.009069026</v>
      </c>
      <c r="O48" s="12">
        <f ca="1">IF(TOTALCO!O572="", "",TOTALCO!O572)</f>
        <v>23657671.477011081</v>
      </c>
      <c r="P48" s="12">
        <f ca="1">IF(TOTALCO!P572="", "",TOTALCO!P572)</f>
        <v>49102741.532057948</v>
      </c>
      <c r="Q48" s="12"/>
      <c r="R48" s="13"/>
    </row>
    <row r="49" spans="1:18" ht="15" x14ac:dyDescent="0.2">
      <c r="A49" s="382">
        <f>IF(TOTALCO!A573="", "",TOTALCO!A573)</f>
        <v>22</v>
      </c>
      <c r="B49" s="4" t="str">
        <f>IF(TOTALCO!B573="", "",TOTALCO!B573)</f>
        <v xml:space="preserve">    DEPRECIATION &amp; AMORT EXP</v>
      </c>
      <c r="C49" s="4" t="str">
        <f>IF(TOTALCO!C573="", "",TOTALCO!C573)</f>
        <v/>
      </c>
      <c r="D49" s="12">
        <f ca="1">IF(TOTALCO!D573="", "",TOTALCO!D573)</f>
        <v>192192743.09</v>
      </c>
      <c r="E49" s="12" t="str">
        <f>IF(TOTALCO!E573="", "",TOTALCO!E573)</f>
        <v/>
      </c>
      <c r="F49" s="12">
        <f ca="1">IF(TOTALCO!F573="", "",TOTALCO!F573)</f>
        <v>167700748.64225844</v>
      </c>
      <c r="G49" s="12" t="str">
        <f>IF(TOTALCO!G573="", "",TOTALCO!G573)</f>
        <v/>
      </c>
      <c r="H49" s="12">
        <f ca="1">IF(TOTALCO!H573="", "",TOTALCO!H573)</f>
        <v>10428735.887909818</v>
      </c>
      <c r="I49" s="12">
        <f ca="1">IF(TOTALCO!I573="", "",TOTALCO!I573)</f>
        <v>14063258.55983174</v>
      </c>
      <c r="J49" s="12" t="str">
        <f>IF(TOTALCO!J573="", "",TOTALCO!J573)</f>
        <v/>
      </c>
      <c r="K49" s="12" t="str">
        <f>IF(TOTALCO!K573="", "",TOTALCO!K573)</f>
        <v/>
      </c>
      <c r="L49" s="12">
        <f ca="1">IF(TOTALCO!L573="", "",TOTALCO!L573)</f>
        <v>3776.6514252515553</v>
      </c>
      <c r="M49" s="12" t="str">
        <f>IF(TOTALCO!M573="", "",TOTALCO!M573)</f>
        <v/>
      </c>
      <c r="N49" s="12">
        <f ca="1">IF(TOTALCO!N573="", "",TOTALCO!N573)</f>
        <v>14059481.908406489</v>
      </c>
      <c r="O49" s="12">
        <f ca="1">IF(TOTALCO!O573="", "",TOTALCO!O573)</f>
        <v>4451800.5717718694</v>
      </c>
      <c r="P49" s="12">
        <f ca="1">IF(TOTALCO!P573="", "",TOTALCO!P573)</f>
        <v>9607681.3366346192</v>
      </c>
      <c r="Q49" s="12"/>
      <c r="R49" s="13"/>
    </row>
    <row r="50" spans="1:18" ht="15" x14ac:dyDescent="0.2">
      <c r="A50" s="382">
        <f>IF(TOTALCO!A574="", "",TOTALCO!A574)</f>
        <v>23</v>
      </c>
      <c r="B50" s="4" t="str">
        <f>IF(TOTALCO!B574="", "",TOTALCO!B574)</f>
        <v xml:space="preserve">    REGULATORY CREDITS</v>
      </c>
      <c r="C50" s="4" t="str">
        <f>IF(TOTALCO!C574="", "",TOTALCO!C574)</f>
        <v/>
      </c>
      <c r="D50" s="12">
        <f ca="1">IF(TOTALCO!D574="", "",TOTALCO!D574)</f>
        <v>-6011854.4199999999</v>
      </c>
      <c r="E50" s="12" t="str">
        <f>IF(TOTALCO!E574="", "",TOTALCO!E574)</f>
        <v/>
      </c>
      <c r="F50" s="12">
        <f ca="1">IF(TOTALCO!F574="", "",TOTALCO!F574)</f>
        <v>-5207773.4701500861</v>
      </c>
      <c r="G50" s="12" t="str">
        <f>IF(TOTALCO!G574="", "",TOTALCO!G574)</f>
        <v/>
      </c>
      <c r="H50" s="12">
        <f ca="1">IF(TOTALCO!H574="", "",TOTALCO!H574)</f>
        <v>-303782.3994945992</v>
      </c>
      <c r="I50" s="12">
        <f ca="1">IF(TOTALCO!I574="", "",TOTALCO!I574)</f>
        <v>-500298.55035531416</v>
      </c>
      <c r="J50" s="12" t="str">
        <f>IF(TOTALCO!J575="", "",TOTALCO!J575)</f>
        <v/>
      </c>
      <c r="K50" s="12" t="str">
        <f>IF(TOTALCO!K575="", "",TOTALCO!K575)</f>
        <v/>
      </c>
      <c r="L50" s="12">
        <f ca="1">IF(TOTALCO!L574="", "",TOTALCO!L574)</f>
        <v>-45.73148406846969</v>
      </c>
      <c r="M50" s="12" t="str">
        <f>IF(TOTALCO!M574="", "",TOTALCO!M574)</f>
        <v/>
      </c>
      <c r="N50" s="12">
        <f ca="1">IF(TOTALCO!N574="", "",TOTALCO!N574)</f>
        <v>-500252.81887124572</v>
      </c>
      <c r="O50" s="12">
        <f ca="1">IF(TOTALCO!O574="", "",TOTALCO!O574)</f>
        <v>-156153.93622331505</v>
      </c>
      <c r="P50" s="12">
        <f ca="1">IF(TOTALCO!P574="", "",TOTALCO!P574)</f>
        <v>-344098.8826479307</v>
      </c>
      <c r="Q50" s="12"/>
      <c r="R50" s="13"/>
    </row>
    <row r="51" spans="1:18" ht="15" x14ac:dyDescent="0.2">
      <c r="A51" s="382">
        <f>IF(TOTALCO!A575="", "",TOTALCO!A575)</f>
        <v>24</v>
      </c>
      <c r="B51" s="4" t="str">
        <f>IF(TOTALCO!B575="", "",TOTALCO!B575)</f>
        <v xml:space="preserve">    TAXES OTHER THAN INC TAX</v>
      </c>
      <c r="C51" s="4" t="str">
        <f>IF(TOTALCO!C575="", "",TOTALCO!C575)</f>
        <v/>
      </c>
      <c r="D51" s="12">
        <f ca="1">IF(TOTALCO!D575="", "",TOTALCO!D575)</f>
        <v>29144073.939999998</v>
      </c>
      <c r="E51" s="12" t="str">
        <f>IF(TOTALCO!E575="", "",TOTALCO!E575)</f>
        <v/>
      </c>
      <c r="F51" s="12">
        <f ca="1">IF(TOTALCO!F575="", "",TOTALCO!F575)</f>
        <v>25846050.149582114</v>
      </c>
      <c r="G51" s="12" t="str">
        <f>IF(TOTALCO!G575="", "",TOTALCO!G575)</f>
        <v/>
      </c>
      <c r="H51" s="12">
        <f ca="1">IF(TOTALCO!H575="", "",TOTALCO!H575)</f>
        <v>1501720.9336556299</v>
      </c>
      <c r="I51" s="12">
        <f ca="1">IF(TOTALCO!I575="", "",TOTALCO!I575)</f>
        <v>1796302.8567622532</v>
      </c>
      <c r="J51" s="12" t="str">
        <f>IF(TOTALCO!J576="", "",TOTALCO!J576)</f>
        <v/>
      </c>
      <c r="K51" s="12" t="str">
        <f>IF(TOTALCO!K576="", "",TOTALCO!K576)</f>
        <v/>
      </c>
      <c r="L51" s="12">
        <f ca="1">IF(TOTALCO!L575="", "",TOTALCO!L575)</f>
        <v>465.49928022000717</v>
      </c>
      <c r="M51" s="12" t="str">
        <f>IF(TOTALCO!M575="", "",TOTALCO!M575)</f>
        <v/>
      </c>
      <c r="N51" s="12">
        <f ca="1">IF(TOTALCO!N575="", "",TOTALCO!N575)</f>
        <v>1795837.3574820333</v>
      </c>
      <c r="O51" s="12">
        <f ca="1">IF(TOTALCO!O575="", "",TOTALCO!O575)</f>
        <v>573097.75526088523</v>
      </c>
      <c r="P51" s="12">
        <f ca="1">IF(TOTALCO!P575="", "",TOTALCO!P575)</f>
        <v>1222739.6022211481</v>
      </c>
      <c r="Q51" s="12"/>
      <c r="R51" s="13"/>
    </row>
    <row r="52" spans="1:18" ht="15" x14ac:dyDescent="0.2">
      <c r="A52" s="382">
        <f>IF(TOTALCO!A576="", "",TOTALCO!A576)</f>
        <v>25</v>
      </c>
      <c r="B52" s="4" t="str">
        <f>IF(TOTALCO!B576="", "",TOTALCO!B576)</f>
        <v xml:space="preserve">    INCOME TAXES</v>
      </c>
      <c r="C52" s="4" t="str">
        <f>IF(TOTALCO!C576="", "",TOTALCO!C576)</f>
        <v/>
      </c>
      <c r="D52" s="12">
        <f ca="1">IF(TOTALCO!D576="", "",TOTALCO!D576)</f>
        <v>98561044.560000002</v>
      </c>
      <c r="E52" s="12" t="str">
        <f>IF(TOTALCO!E576="", "",TOTALCO!E576)</f>
        <v/>
      </c>
      <c r="F52" s="12">
        <f ca="1">IF(TOTALCO!F576="", "",TOTALCO!F576)</f>
        <v>89659333.980000004</v>
      </c>
      <c r="G52" s="12" t="str">
        <f>IF(TOTALCO!G576="", "",TOTALCO!G576)</f>
        <v/>
      </c>
      <c r="H52" s="12">
        <f ca="1">IF(TOTALCO!H576="", "",TOTALCO!H576)</f>
        <v>4324429.4808333945</v>
      </c>
      <c r="I52" s="12">
        <f ca="1">IF(TOTALCO!I576="", "",TOTALCO!I576)</f>
        <v>4532757.88</v>
      </c>
      <c r="J52" s="12" t="str">
        <f>IF(TOTALCO!J577="", "",TOTALCO!J577)</f>
        <v/>
      </c>
      <c r="K52" s="12" t="str">
        <f>IF(TOTALCO!K577="", "",TOTALCO!K577)</f>
        <v/>
      </c>
      <c r="L52" s="12">
        <f ca="1">IF(TOTALCO!L576="", "",TOTALCO!L576)</f>
        <v>-4836.32</v>
      </c>
      <c r="M52" s="12" t="str">
        <f>IF(TOTALCO!M576="", "",TOTALCO!M576)</f>
        <v/>
      </c>
      <c r="N52" s="12">
        <f ca="1">IF(TOTALCO!N576="", "",TOTALCO!N576)</f>
        <v>4537594.2</v>
      </c>
      <c r="O52" s="12">
        <f ca="1">IF(TOTALCO!O576="", "",TOTALCO!O576)</f>
        <v>1455234.28</v>
      </c>
      <c r="P52" s="12">
        <f ca="1">IF(TOTALCO!P576="", "",TOTALCO!P576)</f>
        <v>3082359.92</v>
      </c>
      <c r="Q52" s="12"/>
      <c r="R52" s="13"/>
    </row>
    <row r="53" spans="1:18" ht="15" x14ac:dyDescent="0.2">
      <c r="A53" s="382">
        <f>IF(TOTALCO!A577="", "",TOTALCO!A577)</f>
        <v>26</v>
      </c>
      <c r="B53" s="4" t="str">
        <f>IF(TOTALCO!B577="", "",TOTALCO!B577)</f>
        <v xml:space="preserve">    (GAIN) / LOSS DISPOSITION ALLOWANCES</v>
      </c>
      <c r="C53" s="4" t="str">
        <f>IF(TOTALCO!C577="", "",TOTALCO!C577)</f>
        <v/>
      </c>
      <c r="D53" s="12">
        <f ca="1">IF(TOTALCO!D577="", "",TOTALCO!D577)</f>
        <v>-886.52</v>
      </c>
      <c r="E53" s="12" t="str">
        <f>IF(TOTALCO!E577="", "",TOTALCO!E577)</f>
        <v/>
      </c>
      <c r="F53" s="12">
        <f ca="1">IF(TOTALCO!F577="", "",TOTALCO!F577)</f>
        <v>-767.27434829426568</v>
      </c>
      <c r="G53" s="12" t="str">
        <f>IF(TOTALCO!G577="", "",TOTALCO!G577)</f>
        <v/>
      </c>
      <c r="H53" s="12">
        <f ca="1">IF(TOTALCO!H577="", "",TOTALCO!H577)</f>
        <v>-45.059744844972002</v>
      </c>
      <c r="I53" s="12">
        <f ca="1">IF(TOTALCO!I577="", "",TOTALCO!I577)</f>
        <v>-74.185906860762316</v>
      </c>
      <c r="J53" s="12"/>
      <c r="K53" s="12"/>
      <c r="L53" s="12">
        <f ca="1">IF(TOTALCO!L577="", "",TOTALCO!L577)</f>
        <v>-6.7840627589539305E-3</v>
      </c>
      <c r="M53" s="12" t="str">
        <f>IF(TOTALCO!M577="", "",TOTALCO!M577)</f>
        <v/>
      </c>
      <c r="N53" s="12">
        <f ca="1">IF(TOTALCO!N577="", "",TOTALCO!N577)</f>
        <v>-74.179122798003363</v>
      </c>
      <c r="O53" s="12">
        <f ca="1">IF(TOTALCO!O577="", "",TOTALCO!O577)</f>
        <v>-23.145768405816746</v>
      </c>
      <c r="P53" s="12">
        <f ca="1">IF(TOTALCO!P577="", "",TOTALCO!P577)</f>
        <v>-51.033354392186617</v>
      </c>
      <c r="Q53" s="12"/>
      <c r="R53" s="13"/>
    </row>
    <row r="54" spans="1:18" ht="15" x14ac:dyDescent="0.2">
      <c r="A54" s="382">
        <f>IF(TOTALCO!A578="", "",TOTALCO!A578)</f>
        <v>27</v>
      </c>
      <c r="B54" s="4" t="str">
        <f>IF(TOTALCO!B578="", "",TOTALCO!B578)</f>
        <v xml:space="preserve">    (GAIN) / LOSS DISPOSITION PROPERTY-VA</v>
      </c>
      <c r="C54" s="4" t="str">
        <f>IF(TOTALCO!C578="", "",TOTALCO!C578)</f>
        <v/>
      </c>
      <c r="D54" s="12">
        <f>IF(TOTALCO!D578="", "",TOTALCO!D578)</f>
        <v>-44239.442779999998</v>
      </c>
      <c r="E54" s="12" t="str">
        <f>IF(TOTALCO!E578="", "",TOTALCO!E578)</f>
        <v/>
      </c>
      <c r="F54" s="12">
        <f>IF(TOTALCO!F578="", "",TOTALCO!F578)</f>
        <v>0</v>
      </c>
      <c r="G54" s="12" t="str">
        <f>IF(TOTALCO!G578="", "",TOTALCO!G578)</f>
        <v/>
      </c>
      <c r="H54" s="12">
        <f ca="1">IF(TOTALCO!H578="", "",TOTALCO!H578)</f>
        <v>-2627.5584491273084</v>
      </c>
      <c r="I54" s="12">
        <f>IF(TOTALCO!I578="", "",TOTALCO!I578)</f>
        <v>0</v>
      </c>
      <c r="J54" s="12"/>
      <c r="K54" s="12"/>
      <c r="L54" s="12">
        <f>IF(TOTALCO!L578="", "",TOTALCO!L578)</f>
        <v>0</v>
      </c>
      <c r="M54" s="12" t="str">
        <f>IF(TOTALCO!M578="", "",TOTALCO!M578)</f>
        <v/>
      </c>
      <c r="N54" s="12">
        <f>IF(TOTALCO!N578="", "",TOTALCO!N578)</f>
        <v>0</v>
      </c>
      <c r="O54" s="12">
        <f>IF(TOTALCO!O578="", "",TOTALCO!O578)</f>
        <v>0</v>
      </c>
      <c r="P54" s="12">
        <f>IF(TOTALCO!P578="", "",TOTALCO!P578)</f>
        <v>0</v>
      </c>
      <c r="Q54" s="12"/>
      <c r="R54" s="13"/>
    </row>
    <row r="55" spans="1:18" ht="15" x14ac:dyDescent="0.2">
      <c r="A55" s="382">
        <f>IF(TOTALCO!A579="", "",TOTALCO!A579)</f>
        <v>28</v>
      </c>
      <c r="B55" s="4" t="str">
        <f>IF(TOTALCO!B579="", "",TOTALCO!B579)</f>
        <v xml:space="preserve">    CHARITABLE CONTRIBUTIONS-VA</v>
      </c>
      <c r="C55" s="4" t="str">
        <f>IF(TOTALCO!C579="", "",TOTALCO!C579)</f>
        <v/>
      </c>
      <c r="D55" s="12">
        <f>IF(TOTALCO!D579="", "",TOTALCO!D579)</f>
        <v>734837.09506999992</v>
      </c>
      <c r="E55" s="12" t="str">
        <f>IF(TOTALCO!E579="", "",TOTALCO!E579)</f>
        <v/>
      </c>
      <c r="F55" s="12">
        <f>IF(TOTALCO!F579="", "",TOTALCO!F579)</f>
        <v>0</v>
      </c>
      <c r="G55" s="12" t="str">
        <f>IF(TOTALCO!G579="", "",TOTALCO!G579)</f>
        <v/>
      </c>
      <c r="H55" s="12">
        <f ca="1">IF(TOTALCO!H579="", "",TOTALCO!H579)</f>
        <v>20131.95930772278</v>
      </c>
      <c r="I55" s="12">
        <f>IF(TOTALCO!I579="", "",TOTALCO!I579)</f>
        <v>0</v>
      </c>
      <c r="J55" s="12"/>
      <c r="K55" s="12"/>
      <c r="L55" s="12">
        <f>IF(TOTALCO!L579="", "",TOTALCO!L579)</f>
        <v>0</v>
      </c>
      <c r="M55" s="12" t="str">
        <f>IF(TOTALCO!M579="", "",TOTALCO!M579)</f>
        <v/>
      </c>
      <c r="N55" s="12">
        <f>IF(TOTALCO!N579="", "",TOTALCO!N579)</f>
        <v>0</v>
      </c>
      <c r="O55" s="12">
        <f>IF(TOTALCO!O579="", "",TOTALCO!O579)</f>
        <v>0</v>
      </c>
      <c r="P55" s="12">
        <f>IF(TOTALCO!P579="", "",TOTALCO!P579)</f>
        <v>0</v>
      </c>
      <c r="Q55" s="12"/>
      <c r="R55" s="13"/>
    </row>
    <row r="56" spans="1:18" ht="15" x14ac:dyDescent="0.2">
      <c r="A56" s="382">
        <f>IF(TOTALCO!A580="", "",TOTALCO!A580)</f>
        <v>29</v>
      </c>
      <c r="B56" s="4" t="str">
        <f>IF(TOTALCO!B580="", "",TOTALCO!B580)</f>
        <v xml:space="preserve">    INTEREST ON CUSTOMER DEPOSITS-VA</v>
      </c>
      <c r="C56" s="4" t="str">
        <f>IF(TOTALCO!C580="", "",TOTALCO!C580)</f>
        <v/>
      </c>
      <c r="D56" s="12">
        <f>IF(TOTALCO!D580="", "",TOTALCO!D580)</f>
        <v>1373106</v>
      </c>
      <c r="E56" s="12" t="str">
        <f>IF(TOTALCO!E580="", "",TOTALCO!E580)</f>
        <v/>
      </c>
      <c r="F56" s="12">
        <f>IF(TOTALCO!F580="", "",TOTALCO!F580)</f>
        <v>0</v>
      </c>
      <c r="G56" s="12" t="str">
        <f>IF(TOTALCO!G580="", "",TOTALCO!G580)</f>
        <v/>
      </c>
      <c r="H56" s="12">
        <f ca="1">IF(TOTALCO!H580="", "",TOTALCO!H580)</f>
        <v>1719.4505384607828</v>
      </c>
      <c r="I56" s="12">
        <f>IF(TOTALCO!I580="", "",TOTALCO!I580)</f>
        <v>0</v>
      </c>
      <c r="J56" s="12"/>
      <c r="K56" s="12"/>
      <c r="L56" s="12">
        <f>IF(TOTALCO!L580="", "",TOTALCO!L580)</f>
        <v>0</v>
      </c>
      <c r="M56" s="12" t="str">
        <f>IF(TOTALCO!M580="", "",TOTALCO!M580)</f>
        <v/>
      </c>
      <c r="N56" s="12">
        <f>IF(TOTALCO!N580="", "",TOTALCO!N580)</f>
        <v>0</v>
      </c>
      <c r="O56" s="12">
        <f>IF(TOTALCO!O580="", "",TOTALCO!O580)</f>
        <v>0</v>
      </c>
      <c r="P56" s="12">
        <f>IF(TOTALCO!P580="", "",TOTALCO!P580)</f>
        <v>0</v>
      </c>
      <c r="Q56" s="12"/>
      <c r="R56" s="13"/>
    </row>
    <row r="57" spans="1:18" ht="15" x14ac:dyDescent="0.2">
      <c r="A57" s="382">
        <f>IF(TOTALCO!A581="", "",TOTALCO!A581)</f>
        <v>30</v>
      </c>
      <c r="B57" s="4" t="str">
        <f>IF(TOTALCO!B581="", "",TOTALCO!B581)</f>
        <v xml:space="preserve">    ACCRETION EXPENSE</v>
      </c>
      <c r="C57" s="4" t="str">
        <f>IF(TOTALCO!C581="", "",TOTALCO!C581)</f>
        <v/>
      </c>
      <c r="D57" s="12">
        <f ca="1">IF(TOTALCO!D581="", "",TOTALCO!D581)</f>
        <v>2934108.65</v>
      </c>
      <c r="E57" s="12" t="str">
        <f>IF(TOTALCO!E581="", "",TOTALCO!E581)</f>
        <v/>
      </c>
      <c r="F57" s="12">
        <f ca="1">IF(TOTALCO!F581="", "",TOTALCO!F581)</f>
        <v>2542421.2187266927</v>
      </c>
      <c r="G57" s="12" t="str">
        <f>IF(TOTALCO!G581="", "",TOTALCO!G581)</f>
        <v/>
      </c>
      <c r="H57" s="12">
        <f ca="1">IF(TOTALCO!H581="", "",TOTALCO!H581)</f>
        <v>147970.42271558015</v>
      </c>
      <c r="I57" s="12">
        <f ca="1">IF(TOTALCO!I581="", "",TOTALCO!I581)</f>
        <v>243717.00855772704</v>
      </c>
      <c r="J57" s="12" t="str">
        <f>IF(TOTALCO!J582="", "",TOTALCO!J582)</f>
        <v/>
      </c>
      <c r="K57" s="12" t="str">
        <f>IF(TOTALCO!K582="", "",TOTALCO!K582)</f>
        <v/>
      </c>
      <c r="L57" s="12">
        <f ca="1">IF(TOTALCO!L581="", "",TOTALCO!L581)</f>
        <v>22.274729384982912</v>
      </c>
      <c r="M57" s="12" t="str">
        <f>IF(TOTALCO!M581="", "",TOTALCO!M581)</f>
        <v/>
      </c>
      <c r="N57" s="12">
        <f ca="1">IF(TOTALCO!N581="", "",TOTALCO!N581)</f>
        <v>243694.73382834205</v>
      </c>
      <c r="O57" s="12">
        <f ca="1">IF(TOTALCO!O581="", "",TOTALCO!O581)</f>
        <v>76079.552451402837</v>
      </c>
      <c r="P57" s="12">
        <f ca="1">IF(TOTALCO!P581="", "",TOTALCO!P581)</f>
        <v>167615.1813769392</v>
      </c>
      <c r="Q57" s="12"/>
      <c r="R57" s="13"/>
    </row>
    <row r="58" spans="1:18" ht="15" x14ac:dyDescent="0.2">
      <c r="A58" s="382">
        <f>IF(TOTALCO!A582="", "",TOTALCO!A582)</f>
        <v>31</v>
      </c>
      <c r="B58" s="4" t="str">
        <f>IF(TOTALCO!B582="", "",TOTALCO!B582)</f>
        <v xml:space="preserve">     TOTAL OPERATING EXPENSES</v>
      </c>
      <c r="C58" s="4" t="str">
        <f>IF(TOTALCO!C582="", "",TOTALCO!C582)</f>
        <v/>
      </c>
      <c r="D58" s="12">
        <f ca="1">IF(TOTALCO!D582="", "",TOTALCO!D582)</f>
        <v>1299744322.3522899</v>
      </c>
      <c r="E58" s="12" t="str">
        <f>IF(TOTALCO!E582="", "",TOTALCO!E582)</f>
        <v/>
      </c>
      <c r="F58" s="12">
        <f ca="1">IF(TOTALCO!F582="", "",TOTALCO!F582)</f>
        <v>1139327996.0526218</v>
      </c>
      <c r="G58" s="12" t="str">
        <f>IF(TOTALCO!G582="", "",TOTALCO!G582)</f>
        <v/>
      </c>
      <c r="H58" s="12">
        <f ca="1">IF(TOTALCO!H582="", "",TOTALCO!H582)</f>
        <v>65416996.710881166</v>
      </c>
      <c r="I58" s="12">
        <f ca="1">IF(TOTALCO!I582="", "",TOTALCO!I582)</f>
        <v>92910326.568727314</v>
      </c>
      <c r="J58" s="12" t="str">
        <f>IF(TOTALCO!J583="", "",TOTALCO!J583)</f>
        <v/>
      </c>
      <c r="K58" s="12" t="str">
        <f>IF(TOTALCO!K583="", "",TOTALCO!K583)</f>
        <v/>
      </c>
      <c r="L58" s="12">
        <f ca="1">IF(TOTALCO!L582="", "",TOTALCO!L582)</f>
        <v>13632.357935451146</v>
      </c>
      <c r="M58" s="12" t="str">
        <f>IF(TOTALCO!M582="", "",TOTALCO!M582)</f>
        <v/>
      </c>
      <c r="N58" s="12">
        <f ca="1">IF(TOTALCO!N582="", "",TOTALCO!N582)</f>
        <v>92896694.210791856</v>
      </c>
      <c r="O58" s="12">
        <f ca="1">IF(TOTALCO!O582="", "",TOTALCO!O582)</f>
        <v>30057706.554503523</v>
      </c>
      <c r="P58" s="12">
        <f ca="1">IF(TOTALCO!P582="", "",TOTALCO!P582)</f>
        <v>62838987.656288333</v>
      </c>
      <c r="Q58" s="12"/>
      <c r="R58" s="13"/>
    </row>
    <row r="59" spans="1:18" ht="15" x14ac:dyDescent="0.2">
      <c r="A59" s="382" t="str">
        <f>IF(TOTALCO!A583="", "",TOTALCO!A583)</f>
        <v/>
      </c>
      <c r="B59" s="4" t="str">
        <f>IF(TOTALCO!B583="", "",TOTALCO!B583)</f>
        <v/>
      </c>
      <c r="C59" s="4" t="str">
        <f>IF(TOTALCO!C583="", "",TOTALCO!C583)</f>
        <v/>
      </c>
      <c r="D59" s="12" t="str">
        <f>IF(TOTALCO!D583="", "",TOTALCO!D583)</f>
        <v/>
      </c>
      <c r="E59" s="12" t="str">
        <f>IF(TOTALCO!E583="", "",TOTALCO!E583)</f>
        <v/>
      </c>
      <c r="F59" s="12" t="str">
        <f>IF(TOTALCO!F583="", "",TOTALCO!F583)</f>
        <v/>
      </c>
      <c r="G59" s="12" t="str">
        <f>IF(TOTALCO!G583="", "",TOTALCO!G583)</f>
        <v/>
      </c>
      <c r="H59" s="12" t="str">
        <f>IF(TOTALCO!H583="", "",TOTALCO!H583)</f>
        <v/>
      </c>
      <c r="I59" s="12" t="str">
        <f>IF(TOTALCO!I583="", "",TOTALCO!I583)</f>
        <v/>
      </c>
      <c r="J59" s="12" t="str">
        <f>IF(TOTALCO!J584="", "",TOTALCO!J584)</f>
        <v/>
      </c>
      <c r="K59" s="12" t="str">
        <f>IF(TOTALCO!K584="", "",TOTALCO!K584)</f>
        <v/>
      </c>
      <c r="L59" s="12" t="str">
        <f>IF(TOTALCO!L583="", "",TOTALCO!L583)</f>
        <v/>
      </c>
      <c r="M59" s="12" t="str">
        <f>IF(TOTALCO!M583="", "",TOTALCO!M583)</f>
        <v/>
      </c>
      <c r="N59" s="12" t="str">
        <f>IF(TOTALCO!N583="", "",TOTALCO!N583)</f>
        <v/>
      </c>
      <c r="O59" s="12" t="str">
        <f>IF(TOTALCO!O583="", "",TOTALCO!O583)</f>
        <v/>
      </c>
      <c r="P59" s="12" t="str">
        <f>IF(TOTALCO!P583="", "",TOTALCO!P583)</f>
        <v/>
      </c>
      <c r="Q59" s="12"/>
      <c r="R59" s="13"/>
    </row>
    <row r="60" spans="1:18" ht="15" x14ac:dyDescent="0.2">
      <c r="A60" s="382">
        <f>IF(TOTALCO!A584="", "",TOTALCO!A584)</f>
        <v>32</v>
      </c>
      <c r="B60" s="4" t="str">
        <f>IF(TOTALCO!B584="", "",TOTALCO!B584)</f>
        <v>RETURN</v>
      </c>
      <c r="C60" s="4" t="str">
        <f>IF(TOTALCO!C584="", "",TOTALCO!C584)</f>
        <v/>
      </c>
      <c r="D60" s="12">
        <f ca="1">IF(TOTALCO!D584="", "",TOTALCO!D584)</f>
        <v>222291634.38771009</v>
      </c>
      <c r="E60" s="12" t="str">
        <f>IF(TOTALCO!E584="", "",TOTALCO!E584)</f>
        <v/>
      </c>
      <c r="F60" s="12">
        <f ca="1">IF(TOTALCO!F584="", "",TOTALCO!F584)</f>
        <v>202748923.51282859</v>
      </c>
      <c r="G60" s="12" t="str">
        <f>IF(TOTALCO!G584="", "",TOTALCO!G584)</f>
        <v/>
      </c>
      <c r="H60" s="12">
        <f ca="1">IF(TOTALCO!H584="", "",TOTALCO!H584)</f>
        <v>10399562.639157884</v>
      </c>
      <c r="I60" s="12">
        <f ca="1">IF(TOTALCO!I584="", "",TOTALCO!I584)</f>
        <v>11232151.25578321</v>
      </c>
      <c r="J60" s="12" t="str">
        <f>IF(TOTALCO!J585="", "",TOTALCO!J585)</f>
        <v/>
      </c>
      <c r="K60" s="12" t="str">
        <f>IF(TOTALCO!K585="", "",TOTALCO!K585)</f>
        <v/>
      </c>
      <c r="L60" s="12">
        <f ca="1">IF(TOTALCO!L584="", "",TOTALCO!L584)</f>
        <v>-6969.2761043136124</v>
      </c>
      <c r="M60" s="12" t="str">
        <f>IF(TOTALCO!M584="", "",TOTALCO!M584)</f>
        <v/>
      </c>
      <c r="N60" s="12">
        <f ca="1">IF(TOTALCO!N584="", "",TOTALCO!N584)</f>
        <v>11239120.531887524</v>
      </c>
      <c r="O60" s="12">
        <f ca="1">IF(TOTALCO!O584="", "",TOTALCO!O584)</f>
        <v>3596735.4962059706</v>
      </c>
      <c r="P60" s="12">
        <f ca="1">IF(TOTALCO!P584="", "",TOTALCO!P584)</f>
        <v>7642385.0356815532</v>
      </c>
      <c r="Q60" s="12"/>
      <c r="R60" s="13"/>
    </row>
    <row r="61" spans="1:18" ht="15" x14ac:dyDescent="0.2">
      <c r="A61" s="382">
        <f>IF(TOTALCO!A585="", "",TOTALCO!A585)</f>
        <v>33</v>
      </c>
      <c r="B61" s="4" t="str">
        <f>IF(TOTALCO!B585="", "",TOTALCO!B585)</f>
        <v>RATE OF RETURN</v>
      </c>
      <c r="C61" s="4" t="str">
        <f>IF(TOTALCO!C585="", "",TOTALCO!C585)</f>
        <v/>
      </c>
      <c r="D61" s="22">
        <f ca="1">IF(TOTALCO!D585="", "",TOTALCO!D585)</f>
        <v>5.5891099441305277E-2</v>
      </c>
      <c r="E61" s="22" t="str">
        <f>IF(TOTALCO!E585="", "",TOTALCO!E585)</f>
        <v/>
      </c>
      <c r="F61" s="22">
        <f ca="1">IF(TOTALCO!F585="", "",TOTALCO!F585)</f>
        <v>5.7106326001415277E-2</v>
      </c>
      <c r="G61" s="22" t="str">
        <f>IF(TOTALCO!G585="", "",TOTALCO!G585)</f>
        <v/>
      </c>
      <c r="H61" s="22">
        <f ca="1">IF(TOTALCO!H585="", "",TOTALCO!H585)</f>
        <v>4.8026001004709794E-2</v>
      </c>
      <c r="I61" s="22">
        <f ca="1">IF(TOTALCO!I585="", "",TOTALCO!I585)</f>
        <v>3.8841899407701108E-2</v>
      </c>
      <c r="J61" s="22" t="str">
        <f>IF(TOTALCO!J586="", "",TOTALCO!J586)</f>
        <v/>
      </c>
      <c r="K61" s="22" t="str">
        <f>IF(TOTALCO!K586="", "",TOTALCO!K586)</f>
        <v/>
      </c>
      <c r="L61" s="22">
        <f ca="1">IF(TOTALCO!L585="", "",TOTALCO!L585)</f>
        <v>-0.18415222334440329</v>
      </c>
      <c r="M61" s="22" t="str">
        <f>IF(TOTALCO!M585="", "",TOTALCO!M585)</f>
        <v/>
      </c>
      <c r="N61" s="22">
        <f ca="1">IF(TOTALCO!N585="", "",TOTALCO!N585)</f>
        <v>3.8871087013870077E-2</v>
      </c>
      <c r="O61" s="22">
        <f ca="1">IF(TOTALCO!O585="", "",TOTALCO!O585)</f>
        <v>3.916712529122951E-2</v>
      </c>
      <c r="P61" s="22">
        <f ca="1">IF(TOTALCO!P585="", "",TOTALCO!P585)</f>
        <v>3.8733305700177204E-2</v>
      </c>
      <c r="Q61" s="22"/>
      <c r="R61" s="13"/>
    </row>
    <row r="62" spans="1:18" ht="15" x14ac:dyDescent="0.2">
      <c r="A62" s="382" t="str">
        <f>IF(TOTALCO!A587="", "",TOTALCO!A587)</f>
        <v/>
      </c>
      <c r="B62" s="4" t="str">
        <f>IF(TOTALCO!B587="", "",TOTALCO!B587)</f>
        <v/>
      </c>
      <c r="C62" s="4" t="str">
        <f>IF(TOTALCO!C587="", "",TOTALCO!C587)</f>
        <v/>
      </c>
      <c r="D62" s="12" t="str">
        <f>IF(TOTALCO!D587="", "",TOTALCO!D587)</f>
        <v/>
      </c>
      <c r="E62" s="12" t="str">
        <f>IF(TOTALCO!E587="", "",TOTALCO!E587)</f>
        <v/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12"/>
      <c r="R62" s="13"/>
    </row>
    <row r="63" spans="1:18" ht="15" x14ac:dyDescent="0.2">
      <c r="A63" s="382" t="str">
        <f>IF(TOTALCO!A588="", "",TOTALCO!A588)</f>
        <v/>
      </c>
      <c r="B63" s="4" t="str">
        <f>IF(TOTALCO!B588="", "",TOTALCO!B588)</f>
        <v/>
      </c>
      <c r="C63" s="4" t="str">
        <f>IF(TOTALCO!C588="", "",TOTALCO!C588)</f>
        <v/>
      </c>
      <c r="D63" s="12" t="str">
        <f>IF(TOTALCO!D588="", "",TOTALCO!D588)</f>
        <v/>
      </c>
      <c r="E63" s="12" t="str">
        <f>IF(TOTALCO!E588="", "",TOTALCO!E588)</f>
        <v/>
      </c>
      <c r="F63" s="12" t="str">
        <f>IF(TOTALCO!F588="", "",TOTALCO!F588)</f>
        <v/>
      </c>
      <c r="G63" s="12" t="str">
        <f>IF(TOTALCO!G588="", "",TOTALCO!G588)</f>
        <v/>
      </c>
      <c r="H63" s="12" t="str">
        <f>IF(TOTALCO!H588="", "",TOTALCO!H588)</f>
        <v/>
      </c>
      <c r="I63" s="12" t="str">
        <f>IF(TOTALCO!I588="", "",TOTALCO!I588)</f>
        <v/>
      </c>
      <c r="J63" s="12" t="str">
        <f>IF(TOTALCO!J588="", "",TOTALCO!J588)</f>
        <v/>
      </c>
      <c r="K63" s="12" t="str">
        <f>IF(TOTALCO!K588="", "",TOTALCO!K588)</f>
        <v/>
      </c>
      <c r="L63" s="12" t="str">
        <f>IF(TOTALCO!L588="", "",TOTALCO!L588)</f>
        <v/>
      </c>
      <c r="M63" s="12" t="str">
        <f>IF(TOTALCO!M588="", "",TOTALCO!M588)</f>
        <v/>
      </c>
      <c r="N63" s="12" t="str">
        <f>IF(TOTALCO!N588="", "",TOTALCO!N588)</f>
        <v/>
      </c>
      <c r="O63" s="12" t="str">
        <f>IF(TOTALCO!O588="", "",TOTALCO!O588)</f>
        <v/>
      </c>
      <c r="P63" s="12" t="str">
        <f>IF(TOTALCO!P588="", "",TOTALCO!P588)</f>
        <v/>
      </c>
      <c r="Q63" s="12"/>
      <c r="R63" s="13"/>
    </row>
    <row r="64" spans="1:18" ht="15" x14ac:dyDescent="0.2">
      <c r="A64" s="382" t="str">
        <f>IF(TOTALCO!A589="", "",TOTALCO!A589)</f>
        <v/>
      </c>
      <c r="B64" s="4" t="str">
        <f>IF(TOTALCO!B589="", "",TOTALCO!B589)</f>
        <v/>
      </c>
      <c r="C64" s="4" t="str">
        <f>IF(TOTALCO!C589="", "",TOTALCO!C589)</f>
        <v/>
      </c>
      <c r="D64" s="12" t="str">
        <f>IF(TOTALCO!D589="", "",TOTALCO!D589)</f>
        <v/>
      </c>
      <c r="E64" s="12" t="str">
        <f>IF(TOTALCO!E589="", "",TOTALCO!E589)</f>
        <v/>
      </c>
      <c r="F64" s="12" t="str">
        <f>IF(TOTALCO!F589="", "",TOTALCO!F589)</f>
        <v/>
      </c>
      <c r="G64" s="12" t="str">
        <f>IF(TOTALCO!G589="", "",TOTALCO!G589)</f>
        <v/>
      </c>
      <c r="H64" s="12" t="str">
        <f>IF(TOTALCO!H589="", "",TOTALCO!H589)</f>
        <v/>
      </c>
      <c r="I64" s="12" t="str">
        <f>IF(TOTALCO!I589="", "",TOTALCO!I589)</f>
        <v/>
      </c>
      <c r="J64" s="12" t="str">
        <f>IF(TOTALCO!J589="", "",TOTALCO!J589)</f>
        <v/>
      </c>
      <c r="K64" s="12" t="str">
        <f>IF(TOTALCO!K589="", "",TOTALCO!K589)</f>
        <v/>
      </c>
      <c r="L64" s="12" t="str">
        <f>IF(TOTALCO!L589="", "",TOTALCO!L589)</f>
        <v/>
      </c>
      <c r="M64" s="12" t="str">
        <f>IF(TOTALCO!M589="", "",TOTALCO!M589)</f>
        <v/>
      </c>
      <c r="N64" s="12" t="str">
        <f>IF(TOTALCO!N589="", "",TOTALCO!N589)</f>
        <v/>
      </c>
      <c r="O64" s="12" t="str">
        <f>IF(TOTALCO!O589="", "",TOTALCO!O589)</f>
        <v/>
      </c>
      <c r="P64" s="12" t="str">
        <f>IF(TOTALCO!P589="", "",TOTALCO!P589)</f>
        <v/>
      </c>
      <c r="Q64" s="12"/>
      <c r="R64" s="13"/>
    </row>
    <row r="65" spans="1:18" ht="15" x14ac:dyDescent="0.2">
      <c r="A65" s="382" t="str">
        <f>IF(TOTALCO!A590="", "",TOTALCO!A590)</f>
        <v/>
      </c>
      <c r="B65" s="4" t="str">
        <f>IF(TOTALCO!B590="", "",TOTALCO!B590)</f>
        <v>ELECTRIC PLANT IN SERVICE</v>
      </c>
      <c r="C65" s="4" t="str">
        <f>IF(TOTALCO!C590="", "",TOTALCO!C590)</f>
        <v/>
      </c>
      <c r="D65" s="12" t="str">
        <f>IF(TOTALCO!D590="", "",TOTALCO!D590)</f>
        <v/>
      </c>
      <c r="E65" s="12" t="str">
        <f>IF(TOTALCO!E590="", "",TOTALCO!E590)</f>
        <v/>
      </c>
      <c r="F65" s="12" t="str">
        <f>IF(TOTALCO!F590="", "",TOTALCO!F590)</f>
        <v/>
      </c>
      <c r="G65" s="12" t="str">
        <f>IF(TOTALCO!G590="", "",TOTALCO!G590)</f>
        <v/>
      </c>
      <c r="H65" s="12" t="str">
        <f>IF(TOTALCO!H590="", "",TOTALCO!H590)</f>
        <v/>
      </c>
      <c r="I65" s="12" t="str">
        <f>IF(TOTALCO!I590="", "",TOTALCO!I590)</f>
        <v/>
      </c>
      <c r="J65" s="12" t="str">
        <f>IF(TOTALCO!J590="", "",TOTALCO!J590)</f>
        <v/>
      </c>
      <c r="K65" s="12" t="str">
        <f>IF(TOTALCO!K590="", "",TOTALCO!K590)</f>
        <v/>
      </c>
      <c r="L65" s="12" t="str">
        <f>IF(TOTALCO!L590="", "",TOTALCO!L590)</f>
        <v/>
      </c>
      <c r="M65" s="12" t="str">
        <f>IF(TOTALCO!M590="", "",TOTALCO!M590)</f>
        <v/>
      </c>
      <c r="N65" s="12" t="str">
        <f>IF(TOTALCO!N590="", "",TOTALCO!N590)</f>
        <v/>
      </c>
      <c r="O65" s="12" t="str">
        <f>IF(TOTALCO!O590="", "",TOTALCO!O590)</f>
        <v/>
      </c>
      <c r="P65" s="12" t="str">
        <f>IF(TOTALCO!P590="", "",TOTALCO!P590)</f>
        <v/>
      </c>
      <c r="Q65" s="12"/>
      <c r="R65" s="13"/>
    </row>
    <row r="66" spans="1:18" ht="15" x14ac:dyDescent="0.2">
      <c r="A66" s="382" t="str">
        <f>IF(TOTALCO!A591="", "",TOTALCO!A591)</f>
        <v/>
      </c>
      <c r="B66" s="4" t="str">
        <f>IF(TOTALCO!B591="", "",TOTALCO!B591)</f>
        <v/>
      </c>
      <c r="C66" s="4" t="str">
        <f>IF(TOTALCO!C591="", "",TOTALCO!C591)</f>
        <v/>
      </c>
      <c r="D66" s="12" t="str">
        <f>IF(TOTALCO!D591="", "",TOTALCO!D591)</f>
        <v/>
      </c>
      <c r="E66" s="12" t="str">
        <f>IF(TOTALCO!E591="", "",TOTALCO!E591)</f>
        <v/>
      </c>
      <c r="F66" s="12" t="str">
        <f>IF(TOTALCO!F591="", "",TOTALCO!F591)</f>
        <v/>
      </c>
      <c r="G66" s="12" t="str">
        <f>IF(TOTALCO!G591="", "",TOTALCO!G591)</f>
        <v/>
      </c>
      <c r="H66" s="12" t="str">
        <f>IF(TOTALCO!H591="", "",TOTALCO!H591)</f>
        <v/>
      </c>
      <c r="I66" s="12" t="str">
        <f>IF(TOTALCO!I591="", "",TOTALCO!I591)</f>
        <v/>
      </c>
      <c r="J66" s="12" t="str">
        <f>IF(TOTALCO!J591="", "",TOTALCO!J591)</f>
        <v/>
      </c>
      <c r="K66" s="12" t="str">
        <f>IF(TOTALCO!K591="", "",TOTALCO!K591)</f>
        <v/>
      </c>
      <c r="L66" s="12" t="str">
        <f>IF(TOTALCO!L591="", "",TOTALCO!L591)</f>
        <v/>
      </c>
      <c r="M66" s="12" t="str">
        <f>IF(TOTALCO!M591="", "",TOTALCO!M591)</f>
        <v/>
      </c>
      <c r="N66" s="12" t="str">
        <f>IF(TOTALCO!N591="", "",TOTALCO!N591)</f>
        <v/>
      </c>
      <c r="O66" s="12" t="str">
        <f>IF(TOTALCO!O591="", "",TOTALCO!O591)</f>
        <v/>
      </c>
      <c r="P66" s="12" t="str">
        <f>IF(TOTALCO!P591="", "",TOTALCO!P591)</f>
        <v/>
      </c>
      <c r="Q66" s="12"/>
      <c r="R66" s="13"/>
    </row>
    <row r="67" spans="1:18" ht="15" x14ac:dyDescent="0.2">
      <c r="A67" s="382" t="str">
        <f>IF(TOTALCO!A592="", "",TOTALCO!A592)</f>
        <v/>
      </c>
      <c r="B67" s="4" t="str">
        <f>IF(TOTALCO!B592="", "",TOTALCO!B592)</f>
        <v>INTANGIBLE PLANT</v>
      </c>
      <c r="C67" s="4" t="str">
        <f>IF(TOTALCO!C592="", "",TOTALCO!C592)</f>
        <v/>
      </c>
      <c r="D67" s="12" t="str">
        <f>IF(TOTALCO!D592="", "",TOTALCO!D592)</f>
        <v/>
      </c>
      <c r="E67" s="12" t="str">
        <f>IF(TOTALCO!E592="", "",TOTALCO!E592)</f>
        <v/>
      </c>
      <c r="F67" s="12" t="str">
        <f>IF(TOTALCO!F592="", "",TOTALCO!F592)</f>
        <v/>
      </c>
      <c r="G67" s="12" t="str">
        <f>IF(TOTALCO!G592="", "",TOTALCO!G592)</f>
        <v/>
      </c>
      <c r="H67" s="12" t="str">
        <f>IF(TOTALCO!H592="", "",TOTALCO!H592)</f>
        <v/>
      </c>
      <c r="I67" s="12" t="str">
        <f>IF(TOTALCO!I592="", "",TOTALCO!I592)</f>
        <v/>
      </c>
      <c r="J67" s="12" t="str">
        <f>IF(TOTALCO!J592="", "",TOTALCO!J592)</f>
        <v/>
      </c>
      <c r="K67" s="12" t="str">
        <f>IF(TOTALCO!K592="", "",TOTALCO!K592)</f>
        <v/>
      </c>
      <c r="L67" s="12" t="str">
        <f>IF(TOTALCO!L592="", "",TOTALCO!L592)</f>
        <v/>
      </c>
      <c r="M67" s="12" t="str">
        <f>IF(TOTALCO!M592="", "",TOTALCO!M592)</f>
        <v/>
      </c>
      <c r="N67" s="12" t="str">
        <f>IF(TOTALCO!N592="", "",TOTALCO!N592)</f>
        <v/>
      </c>
      <c r="O67" s="12" t="str">
        <f>IF(TOTALCO!O592="", "",TOTALCO!O592)</f>
        <v/>
      </c>
      <c r="P67" s="12" t="str">
        <f>IF(TOTALCO!P592="", "",TOTALCO!P592)</f>
        <v/>
      </c>
      <c r="Q67" s="12"/>
      <c r="R67" s="13"/>
    </row>
    <row r="68" spans="1:18" ht="15" x14ac:dyDescent="0.2">
      <c r="A68" s="382">
        <f>IF(TOTALCO!A593="", "",TOTALCO!A593)</f>
        <v>1</v>
      </c>
      <c r="B68" s="4" t="str">
        <f>IF(TOTALCO!B593="", "",TOTALCO!B593)</f>
        <v xml:space="preserve"> 301-ORGANIZATION</v>
      </c>
      <c r="C68" s="4" t="str">
        <f>IF(TOTALCO!C593="", "",TOTALCO!C593)</f>
        <v>PTDGPLT</v>
      </c>
      <c r="D68" s="12">
        <f ca="1">IF(TOTALCO!D593="", "",TOTALCO!D593)</f>
        <v>44455.58</v>
      </c>
      <c r="E68" s="12" t="str">
        <f>IF(TOTALCO!E593="", "",TOTALCO!E593)</f>
        <v/>
      </c>
      <c r="F68" s="12">
        <f ca="1">IF(TOTALCO!F593="", "",TOTALCO!F593)</f>
        <v>38707.20384349145</v>
      </c>
      <c r="G68" s="12" t="str">
        <f>IF(TOTALCO!G593="", "",TOTALCO!G593)</f>
        <v/>
      </c>
      <c r="H68" s="12">
        <f ca="1">IF(TOTALCO!H593="", "",TOTALCO!H593)</f>
        <v>2640.4184492252903</v>
      </c>
      <c r="I68" s="12">
        <f ca="1">IF(TOTALCO!I593="", "",TOTALCO!I593)</f>
        <v>3107.957707283264</v>
      </c>
      <c r="J68" s="12" t="str">
        <f>IF(TOTALCO!J593="", "",TOTALCO!J593)</f>
        <v/>
      </c>
      <c r="K68" s="12" t="str">
        <f>IF(TOTALCO!K593="", "",TOTALCO!K593)</f>
        <v/>
      </c>
      <c r="L68" s="12">
        <f ca="1">IF(TOTALCO!L593="", "",TOTALCO!L593)</f>
        <v>1.401789247742923</v>
      </c>
      <c r="M68" s="12" t="str">
        <f>IF(TOTALCO!M593="", "",TOTALCO!M593)</f>
        <v/>
      </c>
      <c r="N68" s="12">
        <f ca="1">IF(TOTALCO!N593="", "",TOTALCO!N593)</f>
        <v>3106.5559180355212</v>
      </c>
      <c r="O68" s="12">
        <f ca="1">IF(TOTALCO!O593="", "",TOTALCO!O593)</f>
        <v>986.36626332576793</v>
      </c>
      <c r="P68" s="12">
        <f ca="1">IF(TOTALCO!P593="", "",TOTALCO!P593)</f>
        <v>2120.1896547097531</v>
      </c>
      <c r="Q68" s="12"/>
      <c r="R68" s="13"/>
    </row>
    <row r="69" spans="1:18" ht="15" x14ac:dyDescent="0.2">
      <c r="A69" s="382">
        <f>IF(TOTALCO!A594="", "",TOTALCO!A594)</f>
        <v>2</v>
      </c>
      <c r="B69" s="4" t="str">
        <f>IF(TOTALCO!B594="", "",TOTALCO!B594)</f>
        <v xml:space="preserve"> 302-FRANCHISE</v>
      </c>
      <c r="C69" s="4" t="str">
        <f>IF(TOTALCO!C594="", "",TOTALCO!C594)</f>
        <v>KURETPLT</v>
      </c>
      <c r="D69" s="12">
        <f ca="1">IF(TOTALCO!D594="", "",TOTALCO!D594)</f>
        <v>55918.829999999994</v>
      </c>
      <c r="E69" s="12" t="str">
        <f>IF(TOTALCO!E594="", "",TOTALCO!E594)</f>
        <v/>
      </c>
      <c r="F69" s="12">
        <f ca="1">IF(TOTALCO!F594="", "",TOTALCO!F594)</f>
        <v>55918.829999999994</v>
      </c>
      <c r="G69" s="12" t="str">
        <f>IF(TOTALCO!G594="", "",TOTALCO!G594)</f>
        <v/>
      </c>
      <c r="H69" s="12">
        <f ca="1">IF(TOTALCO!H594="", "",TOTALCO!H594)</f>
        <v>0</v>
      </c>
      <c r="I69" s="12">
        <f ca="1">IF(TOTALCO!I594="", "",TOTALCO!I594)</f>
        <v>0</v>
      </c>
      <c r="J69" s="12" t="str">
        <f>IF(TOTALCO!J594="", "",TOTALCO!J594)</f>
        <v/>
      </c>
      <c r="K69" s="12" t="str">
        <f>IF(TOTALCO!K594="", "",TOTALCO!K594)</f>
        <v/>
      </c>
      <c r="L69" s="12">
        <f ca="1">IF(TOTALCO!L594="", "",TOTALCO!L594)</f>
        <v>0</v>
      </c>
      <c r="M69" s="12" t="str">
        <f>IF(TOTALCO!M594="", "",TOTALCO!M594)</f>
        <v/>
      </c>
      <c r="N69" s="12">
        <f ca="1">IF(TOTALCO!N594="", "",TOTALCO!N594)</f>
        <v>0</v>
      </c>
      <c r="O69" s="12">
        <f ca="1">IF(TOTALCO!O594="", "",TOTALCO!O594)</f>
        <v>0</v>
      </c>
      <c r="P69" s="12">
        <f ca="1">IF(TOTALCO!P594="", "",TOTALCO!P594)</f>
        <v>0</v>
      </c>
      <c r="Q69" s="12"/>
      <c r="R69" s="13"/>
    </row>
    <row r="70" spans="1:18" ht="15" x14ac:dyDescent="0.2">
      <c r="A70" s="382">
        <f>IF(TOTALCO!A595="", "",TOTALCO!A595)</f>
        <v>3</v>
      </c>
      <c r="B70" s="4" t="str">
        <f>IF(TOTALCO!B595="", "",TOTALCO!B595)</f>
        <v xml:space="preserve"> 303-SOFTWARE</v>
      </c>
      <c r="C70" s="4" t="str">
        <f>IF(TOTALCO!C595="", "",TOTALCO!C595)</f>
        <v>PTDGPLT</v>
      </c>
      <c r="D70" s="12">
        <f ca="1">IF(TOTALCO!D595="", "",TOTALCO!D595)</f>
        <v>60103758.670000002</v>
      </c>
      <c r="E70" s="12" t="str">
        <f>IF(TOTALCO!E595="", "",TOTALCO!E595)</f>
        <v/>
      </c>
      <c r="F70" s="12">
        <f ca="1">IF(TOTALCO!F595="", "",TOTALCO!F595)</f>
        <v>52331978.0913826</v>
      </c>
      <c r="G70" s="12" t="str">
        <f>IF(TOTALCO!G595="", "",TOTALCO!G595)</f>
        <v/>
      </c>
      <c r="H70" s="12">
        <f ca="1">IF(TOTALCO!H595="", "",TOTALCO!H595)</f>
        <v>3569834.7262605163</v>
      </c>
      <c r="I70" s="12">
        <f ca="1">IF(TOTALCO!I595="", "",TOTALCO!I595)</f>
        <v>4201945.8523568874</v>
      </c>
      <c r="J70" s="12" t="str">
        <f>IF(TOTALCO!J595="", "",TOTALCO!J595)</f>
        <v/>
      </c>
      <c r="K70" s="12" t="str">
        <f>IF(TOTALCO!K595="", "",TOTALCO!K595)</f>
        <v/>
      </c>
      <c r="L70" s="12">
        <f ca="1">IF(TOTALCO!L595="", "",TOTALCO!L595)</f>
        <v>1895.2132140114129</v>
      </c>
      <c r="M70" s="12" t="str">
        <f>IF(TOTALCO!M595="", "",TOTALCO!M595)</f>
        <v/>
      </c>
      <c r="N70" s="12">
        <f ca="1">IF(TOTALCO!N595="", "",TOTALCO!N595)</f>
        <v>4200050.6391428756</v>
      </c>
      <c r="O70" s="12">
        <f ca="1">IF(TOTALCO!O595="", "",TOTALCO!O595)</f>
        <v>1333563.072423341</v>
      </c>
      <c r="P70" s="12">
        <f ca="1">IF(TOTALCO!P595="", "",TOTALCO!P595)</f>
        <v>2866487.5667195348</v>
      </c>
      <c r="Q70" s="12"/>
      <c r="R70" s="13"/>
    </row>
    <row r="71" spans="1:18" ht="15" x14ac:dyDescent="0.2">
      <c r="A71" s="382">
        <f>IF(TOTALCO!A596="", "",TOTALCO!A596)</f>
        <v>4</v>
      </c>
      <c r="B71" s="4" t="str">
        <f>IF(TOTALCO!B596="", "",TOTALCO!B596)</f>
        <v>TOTAL INTANGIBLE PLANT</v>
      </c>
      <c r="C71" s="4" t="str">
        <f>IF(TOTALCO!C596="", "",TOTALCO!C596)</f>
        <v/>
      </c>
      <c r="D71" s="12">
        <f ca="1">IF(TOTALCO!D596="", "",TOTALCO!D596)</f>
        <v>60204133.080000013</v>
      </c>
      <c r="E71" s="12" t="str">
        <f>IF(TOTALCO!E596="", "",TOTALCO!E596)</f>
        <v/>
      </c>
      <c r="F71" s="12">
        <f ca="1">IF(TOTALCO!F596="", "",TOTALCO!F596)</f>
        <v>52426604.125226095</v>
      </c>
      <c r="G71" s="12" t="str">
        <f>IF(TOTALCO!G596="", "",TOTALCO!G596)</f>
        <v/>
      </c>
      <c r="H71" s="12">
        <f ca="1">IF(TOTALCO!H596="", "",TOTALCO!H596)</f>
        <v>3572475.1447097417</v>
      </c>
      <c r="I71" s="12">
        <f ca="1">IF(TOTALCO!I596="", "",TOTALCO!I596)</f>
        <v>4205053.8100641705</v>
      </c>
      <c r="J71" s="12" t="str">
        <f>IF(TOTALCO!J596="", "",TOTALCO!J596)</f>
        <v/>
      </c>
      <c r="K71" s="12" t="str">
        <f>IF(TOTALCO!K596="", "",TOTALCO!K596)</f>
        <v/>
      </c>
      <c r="L71" s="12">
        <f ca="1">IF(TOTALCO!L596="", "",TOTALCO!L596)</f>
        <v>1896.6150032591559</v>
      </c>
      <c r="M71" s="12" t="str">
        <f>IF(TOTALCO!M596="", "",TOTALCO!M596)</f>
        <v/>
      </c>
      <c r="N71" s="12">
        <f ca="1">IF(TOTALCO!N596="", "",TOTALCO!N596)</f>
        <v>4203157.1950609116</v>
      </c>
      <c r="O71" s="12">
        <f ca="1">IF(TOTALCO!O596="", "",TOTALCO!O596)</f>
        <v>1334549.4386866668</v>
      </c>
      <c r="P71" s="12">
        <f ca="1">IF(TOTALCO!P596="", "",TOTALCO!P596)</f>
        <v>2868607.7563742446</v>
      </c>
      <c r="Q71" s="12"/>
      <c r="R71" s="13"/>
    </row>
    <row r="72" spans="1:18" ht="15" x14ac:dyDescent="0.2">
      <c r="A72" s="382" t="str">
        <f>IF(TOTALCO!A597="", "",TOTALCO!A597)</f>
        <v/>
      </c>
      <c r="B72" s="4" t="str">
        <f>IF(TOTALCO!B597="", "",TOTALCO!B597)</f>
        <v/>
      </c>
      <c r="C72" s="4" t="str">
        <f>IF(TOTALCO!C597="", "",TOTALCO!C597)</f>
        <v/>
      </c>
      <c r="D72" s="12" t="str">
        <f>IF(TOTALCO!D597="", "",TOTALCO!D597)</f>
        <v/>
      </c>
      <c r="E72" s="12" t="str">
        <f>IF(TOTALCO!E597="", "",TOTALCO!E597)</f>
        <v/>
      </c>
      <c r="F72" s="12" t="str">
        <f>IF(TOTALCO!F597="", "",TOTALCO!F597)</f>
        <v/>
      </c>
      <c r="G72" s="12" t="str">
        <f>IF(TOTALCO!G597="", "",TOTALCO!G597)</f>
        <v/>
      </c>
      <c r="H72" s="12" t="str">
        <f>IF(TOTALCO!H597="", "",TOTALCO!H597)</f>
        <v/>
      </c>
      <c r="I72" s="12" t="str">
        <f>IF(TOTALCO!I597="", "",TOTALCO!I597)</f>
        <v/>
      </c>
      <c r="J72" s="12" t="str">
        <f>IF(TOTALCO!J597="", "",TOTALCO!J597)</f>
        <v/>
      </c>
      <c r="K72" s="12" t="str">
        <f>IF(TOTALCO!K597="", "",TOTALCO!K597)</f>
        <v/>
      </c>
      <c r="L72" s="12" t="str">
        <f>IF(TOTALCO!L597="", "",TOTALCO!L597)</f>
        <v/>
      </c>
      <c r="M72" s="12" t="str">
        <f>IF(TOTALCO!M597="", "",TOTALCO!M597)</f>
        <v/>
      </c>
      <c r="N72" s="12" t="str">
        <f>IF(TOTALCO!N597="", "",TOTALCO!N597)</f>
        <v/>
      </c>
      <c r="O72" s="12" t="str">
        <f>IF(TOTALCO!O597="", "",TOTALCO!O597)</f>
        <v/>
      </c>
      <c r="P72" s="12" t="str">
        <f>IF(TOTALCO!P597="", "",TOTALCO!P597)</f>
        <v/>
      </c>
      <c r="Q72" s="12"/>
      <c r="R72" s="13"/>
    </row>
    <row r="73" spans="1:18" ht="15" x14ac:dyDescent="0.2">
      <c r="A73" s="382" t="str">
        <f>IF(TOTALCO!A598="", "",TOTALCO!A598)</f>
        <v/>
      </c>
      <c r="B73" s="4" t="str">
        <f>IF(TOTALCO!B598="", "",TOTALCO!B598)</f>
        <v>PRODUCTION PLANT</v>
      </c>
      <c r="C73" s="4" t="str">
        <f>IF(TOTALCO!C598="", "",TOTALCO!C598)</f>
        <v/>
      </c>
      <c r="D73" s="12" t="str">
        <f>IF(TOTALCO!D598="", "",TOTALCO!D598)</f>
        <v/>
      </c>
      <c r="E73" s="12" t="str">
        <f>IF(TOTALCO!E598="", "",TOTALCO!E598)</f>
        <v/>
      </c>
      <c r="F73" s="12" t="str">
        <f>IF(TOTALCO!F598="", "",TOTALCO!F598)</f>
        <v/>
      </c>
      <c r="G73" s="12" t="str">
        <f>IF(TOTALCO!G598="", "",TOTALCO!G598)</f>
        <v/>
      </c>
      <c r="H73" s="12" t="str">
        <f>IF(TOTALCO!H598="", "",TOTALCO!H598)</f>
        <v/>
      </c>
      <c r="I73" s="12" t="str">
        <f>IF(TOTALCO!I598="", "",TOTALCO!I598)</f>
        <v/>
      </c>
      <c r="J73" s="12" t="str">
        <f>IF(TOTALCO!J598="", "",TOTALCO!J598)</f>
        <v/>
      </c>
      <c r="K73" s="12" t="str">
        <f>IF(TOTALCO!K598="", "",TOTALCO!K598)</f>
        <v/>
      </c>
      <c r="L73" s="12" t="str">
        <f>IF(TOTALCO!L598="", "",TOTALCO!L598)</f>
        <v/>
      </c>
      <c r="M73" s="12" t="str">
        <f>IF(TOTALCO!M598="", "",TOTALCO!M598)</f>
        <v/>
      </c>
      <c r="N73" s="12" t="str">
        <f>IF(TOTALCO!N598="", "",TOTALCO!N598)</f>
        <v/>
      </c>
      <c r="O73" s="12" t="str">
        <f>IF(TOTALCO!O598="", "",TOTALCO!O598)</f>
        <v/>
      </c>
      <c r="P73" s="12" t="str">
        <f>IF(TOTALCO!P598="", "",TOTALCO!P598)</f>
        <v/>
      </c>
      <c r="Q73" s="12"/>
      <c r="R73" s="13"/>
    </row>
    <row r="74" spans="1:18" ht="15" x14ac:dyDescent="0.2">
      <c r="A74" s="382" t="str">
        <f>IF(TOTALCO!A599="", "",TOTALCO!A599)</f>
        <v/>
      </c>
      <c r="B74" s="4" t="str">
        <f>IF(TOTALCO!B599="", "",TOTALCO!B599)</f>
        <v>STEAM PRODUCTION PLANT</v>
      </c>
      <c r="C74" s="4" t="str">
        <f>IF(TOTALCO!C599="", "",TOTALCO!C599)</f>
        <v/>
      </c>
      <c r="D74" s="12" t="str">
        <f>IF(TOTALCO!D599="", "",TOTALCO!D599)</f>
        <v/>
      </c>
      <c r="E74" s="12" t="str">
        <f>IF(TOTALCO!E599="", "",TOTALCO!E599)</f>
        <v/>
      </c>
      <c r="F74" s="12" t="str">
        <f>IF(TOTALCO!F599="", "",TOTALCO!F599)</f>
        <v/>
      </c>
      <c r="G74" s="12" t="str">
        <f>IF(TOTALCO!G599="", "",TOTALCO!G599)</f>
        <v/>
      </c>
      <c r="H74" s="12" t="str">
        <f>IF(TOTALCO!H599="", "",TOTALCO!H599)</f>
        <v/>
      </c>
      <c r="I74" s="12" t="str">
        <f>IF(TOTALCO!I599="", "",TOTALCO!I599)</f>
        <v/>
      </c>
      <c r="J74" s="12" t="str">
        <f>IF(TOTALCO!J599="", "",TOTALCO!J599)</f>
        <v/>
      </c>
      <c r="K74" s="12" t="str">
        <f>IF(TOTALCO!K599="", "",TOTALCO!K599)</f>
        <v/>
      </c>
      <c r="L74" s="12" t="str">
        <f>IF(TOTALCO!L599="", "",TOTALCO!L599)</f>
        <v/>
      </c>
      <c r="M74" s="12" t="str">
        <f>IF(TOTALCO!M599="", "",TOTALCO!M599)</f>
        <v/>
      </c>
      <c r="N74" s="12" t="str">
        <f>IF(TOTALCO!N599="", "",TOTALCO!N599)</f>
        <v/>
      </c>
      <c r="O74" s="12" t="str">
        <f>IF(TOTALCO!O599="", "",TOTALCO!O599)</f>
        <v/>
      </c>
      <c r="P74" s="12" t="str">
        <f>IF(TOTALCO!P599="", "",TOTALCO!P599)</f>
        <v/>
      </c>
      <c r="Q74" s="12"/>
      <c r="R74" s="13"/>
    </row>
    <row r="75" spans="1:18" ht="15" x14ac:dyDescent="0.2">
      <c r="A75" s="382">
        <f>IF(TOTALCO!A600="", "",TOTALCO!A600)</f>
        <v>5</v>
      </c>
      <c r="B75" s="4" t="str">
        <f>IF(TOTALCO!B600="", "",TOTALCO!B600)</f>
        <v xml:space="preserve"> 310-LAND</v>
      </c>
      <c r="C75" s="4" t="str">
        <f>IF(TOTALCO!C600="", "",TOTALCO!C600)</f>
        <v>DEMPROD</v>
      </c>
      <c r="D75" s="12">
        <f ca="1">IF(TOTALCO!D600="", "",TOTALCO!D600)</f>
        <v>10881103.859999999</v>
      </c>
      <c r="E75" s="12" t="str">
        <f>IF(TOTALCO!E600="", "",TOTALCO!E600)</f>
        <v/>
      </c>
      <c r="F75" s="12">
        <f ca="1">IF(TOTALCO!F600="", "",TOTALCO!F600)</f>
        <v>9417488.4637726378</v>
      </c>
      <c r="G75" s="12" t="str">
        <f>IF(TOTALCO!G600="", "",TOTALCO!G600)</f>
        <v/>
      </c>
      <c r="H75" s="12">
        <f ca="1">IF(TOTALCO!H600="", "",TOTALCO!H600)</f>
        <v>553061.14195194689</v>
      </c>
      <c r="I75" s="12">
        <f ca="1">IF(TOTALCO!I600="", "",TOTALCO!I600)</f>
        <v>910554.25427541544</v>
      </c>
      <c r="J75" s="12" t="str">
        <f>IF(TOTALCO!J600="", "",TOTALCO!J600)</f>
        <v/>
      </c>
      <c r="K75" s="12" t="str">
        <f>IF(TOTALCO!K600="", "",TOTALCO!K600)</f>
        <v/>
      </c>
      <c r="L75" s="12">
        <f ca="1">IF(TOTALCO!L600="", "",TOTALCO!L600)</f>
        <v>83.267260155366884</v>
      </c>
      <c r="M75" s="12" t="str">
        <f>IF(TOTALCO!M600="", "",TOTALCO!M600)</f>
        <v/>
      </c>
      <c r="N75" s="12">
        <f ca="1">IF(TOTALCO!N600="", "",TOTALCO!N600)</f>
        <v>910470.98701526003</v>
      </c>
      <c r="O75" s="12">
        <f ca="1">IF(TOTALCO!O600="", "",TOTALCO!O600)</f>
        <v>284090.0486657928</v>
      </c>
      <c r="P75" s="12">
        <f ca="1">IF(TOTALCO!P600="", "",TOTALCO!P600)</f>
        <v>626380.93834946724</v>
      </c>
      <c r="Q75" s="12"/>
      <c r="R75" s="13"/>
    </row>
    <row r="76" spans="1:18" ht="15" x14ac:dyDescent="0.2">
      <c r="A76" s="382">
        <f>IF(TOTALCO!A601="", "",TOTALCO!A601)</f>
        <v>6</v>
      </c>
      <c r="B76" s="4" t="str">
        <f>IF(TOTALCO!B601="", "",TOTALCO!B601)</f>
        <v xml:space="preserve"> 311-STRUCTURES AND IMPROVEMENTS</v>
      </c>
      <c r="C76" s="4" t="str">
        <f>IF(TOTALCO!C601="", "",TOTALCO!C601)</f>
        <v>DEMPROD</v>
      </c>
      <c r="D76" s="12">
        <f ca="1">IF(TOTALCO!D601="", "",TOTALCO!D601)</f>
        <v>331497470.49000001</v>
      </c>
      <c r="E76" s="12" t="str">
        <f>IF(TOTALCO!E601="", "",TOTALCO!E601)</f>
        <v/>
      </c>
      <c r="F76" s="12">
        <f ca="1">IF(TOTALCO!F601="", "",TOTALCO!F601)</f>
        <v>286907803.13068211</v>
      </c>
      <c r="G76" s="12" t="str">
        <f>IF(TOTALCO!G601="", "",TOTALCO!G601)</f>
        <v/>
      </c>
      <c r="H76" s="12">
        <f ca="1">IF(TOTALCO!H601="", "",TOTALCO!H601)</f>
        <v>16849243.600858454</v>
      </c>
      <c r="I76" s="12">
        <f ca="1">IF(TOTALCO!I601="", "",TOTALCO!I601)</f>
        <v>27740423.758459419</v>
      </c>
      <c r="J76" s="12" t="str">
        <f>IF(TOTALCO!J601="", "",TOTALCO!J601)</f>
        <v/>
      </c>
      <c r="K76" s="12" t="str">
        <f>IF(TOTALCO!K601="", "",TOTALCO!K601)</f>
        <v/>
      </c>
      <c r="L76" s="12">
        <f ca="1">IF(TOTALCO!L601="", "",TOTALCO!L601)</f>
        <v>2536.7725987441213</v>
      </c>
      <c r="M76" s="12" t="str">
        <f>IF(TOTALCO!M601="", "",TOTALCO!M601)</f>
        <v/>
      </c>
      <c r="N76" s="12">
        <f ca="1">IF(TOTALCO!N601="", "",TOTALCO!N601)</f>
        <v>27737886.985860676</v>
      </c>
      <c r="O76" s="12">
        <f ca="1">IF(TOTALCO!O601="", "",TOTALCO!O601)</f>
        <v>8654924.5127866399</v>
      </c>
      <c r="P76" s="12">
        <f ca="1">IF(TOTALCO!P601="", "",TOTALCO!P601)</f>
        <v>19082962.473074038</v>
      </c>
      <c r="Q76" s="12"/>
      <c r="R76" s="13"/>
    </row>
    <row r="77" spans="1:18" ht="15" x14ac:dyDescent="0.2">
      <c r="A77" s="382">
        <f>IF(TOTALCO!A602="", "",TOTALCO!A602)</f>
        <v>7</v>
      </c>
      <c r="B77" s="4" t="str">
        <f>IF(TOTALCO!B602="", "",TOTALCO!B602)</f>
        <v xml:space="preserve"> 312-BOILER PLANT EQUIPMENT</v>
      </c>
      <c r="C77" s="4" t="str">
        <f>IF(TOTALCO!C602="", "",TOTALCO!C602)</f>
        <v>DEMPROD</v>
      </c>
      <c r="D77" s="12">
        <f ca="1">IF(TOTALCO!D602="", "",TOTALCO!D602)</f>
        <v>2633157904.7700009</v>
      </c>
      <c r="E77" s="12" t="str">
        <f>IF(TOTALCO!E602="", "",TOTALCO!E602)</f>
        <v/>
      </c>
      <c r="F77" s="12">
        <f ca="1">IF(TOTALCO!F602="", "",TOTALCO!F602)</f>
        <v>2278972290.910861</v>
      </c>
      <c r="G77" s="12" t="str">
        <f>IF(TOTALCO!G602="", "",TOTALCO!G602)</f>
        <v/>
      </c>
      <c r="H77" s="12">
        <f ca="1">IF(TOTALCO!H602="", "",TOTALCO!H602)</f>
        <v>133837277.58590592</v>
      </c>
      <c r="I77" s="12">
        <f ca="1">IF(TOTALCO!I602="", "",TOTALCO!I602)</f>
        <v>220348336.27323392</v>
      </c>
      <c r="J77" s="12" t="str">
        <f>IF(TOTALCO!J602="", "",TOTALCO!J602)</f>
        <v/>
      </c>
      <c r="K77" s="12" t="str">
        <f>IF(TOTALCO!K602="", "",TOTALCO!K602)</f>
        <v/>
      </c>
      <c r="L77" s="12">
        <f ca="1">IF(TOTALCO!L602="", "",TOTALCO!L602)</f>
        <v>20150.147182460998</v>
      </c>
      <c r="M77" s="12" t="str">
        <f>IF(TOTALCO!M602="", "",TOTALCO!M602)</f>
        <v/>
      </c>
      <c r="N77" s="12">
        <f ca="1">IF(TOTALCO!N602="", "",TOTALCO!N602)</f>
        <v>220328186.12605146</v>
      </c>
      <c r="O77" s="12">
        <f ca="1">IF(TOTALCO!O602="", "",TOTALCO!O602)</f>
        <v>68747984.297874957</v>
      </c>
      <c r="P77" s="12">
        <f ca="1">IF(TOTALCO!P602="", "",TOTALCO!P602)</f>
        <v>151580201.8281765</v>
      </c>
      <c r="Q77" s="12"/>
      <c r="R77" s="13"/>
    </row>
    <row r="78" spans="1:18" ht="15" x14ac:dyDescent="0.2">
      <c r="A78" s="382">
        <f>IF(TOTALCO!A603="", "",TOTALCO!A603)</f>
        <v>8</v>
      </c>
      <c r="B78" s="4" t="str">
        <f>IF(TOTALCO!B603="", "",TOTALCO!B603)</f>
        <v xml:space="preserve"> 314-TURBOGENERATOR UNITS</v>
      </c>
      <c r="C78" s="4" t="str">
        <f>IF(TOTALCO!C603="", "",TOTALCO!C603)</f>
        <v>DEMPROD</v>
      </c>
      <c r="D78" s="12">
        <f ca="1">IF(TOTALCO!D603="", "",TOTALCO!D603)</f>
        <v>316044024.84999985</v>
      </c>
      <c r="E78" s="12" t="str">
        <f>IF(TOTALCO!E603="", "",TOTALCO!E603)</f>
        <v/>
      </c>
      <c r="F78" s="12">
        <f ca="1">IF(TOTALCO!F603="", "",TOTALCO!F603)</f>
        <v>273532997.78807062</v>
      </c>
      <c r="G78" s="12" t="str">
        <f>IF(TOTALCO!G603="", "",TOTALCO!G603)</f>
        <v/>
      </c>
      <c r="H78" s="12">
        <f ca="1">IF(TOTALCO!H603="", "",TOTALCO!H603)</f>
        <v>16063780.98578598</v>
      </c>
      <c r="I78" s="12">
        <f ca="1">IF(TOTALCO!I603="", "",TOTALCO!I603)</f>
        <v>26447246.076143283</v>
      </c>
      <c r="J78" s="12" t="str">
        <f>IF(TOTALCO!J603="", "",TOTALCO!J603)</f>
        <v/>
      </c>
      <c r="K78" s="12" t="str">
        <f>IF(TOTALCO!K603="", "",TOTALCO!K603)</f>
        <v/>
      </c>
      <c r="L78" s="12">
        <f ca="1">IF(TOTALCO!L603="", "",TOTALCO!L603)</f>
        <v>2418.515655794336</v>
      </c>
      <c r="M78" s="12" t="str">
        <f>IF(TOTALCO!M603="", "",TOTALCO!M603)</f>
        <v/>
      </c>
      <c r="N78" s="12">
        <f ca="1">IF(TOTALCO!N603="", "",TOTALCO!N603)</f>
        <v>26444827.56048749</v>
      </c>
      <c r="O78" s="12">
        <f ca="1">IF(TOTALCO!O603="", "",TOTALCO!O603)</f>
        <v>8251457.1642154614</v>
      </c>
      <c r="P78" s="12">
        <f ca="1">IF(TOTALCO!P603="", "",TOTALCO!P603)</f>
        <v>18193370.39627203</v>
      </c>
      <c r="Q78" s="12"/>
      <c r="R78" s="13"/>
    </row>
    <row r="79" spans="1:18" ht="15" x14ac:dyDescent="0.2">
      <c r="A79" s="382">
        <f>IF(TOTALCO!A604="", "",TOTALCO!A604)</f>
        <v>9</v>
      </c>
      <c r="B79" s="4" t="str">
        <f>IF(TOTALCO!B604="", "",TOTALCO!B604)</f>
        <v xml:space="preserve"> 315-ACCESSORY ELECTRIC EQUIP</v>
      </c>
      <c r="C79" s="4" t="str">
        <f>IF(TOTALCO!C604="", "",TOTALCO!C604)</f>
        <v>DEMPROD</v>
      </c>
      <c r="D79" s="12">
        <f ca="1">IF(TOTALCO!D604="", "",TOTALCO!D604)</f>
        <v>209742018.53999999</v>
      </c>
      <c r="E79" s="12" t="str">
        <f>IF(TOTALCO!E604="", "",TOTALCO!E604)</f>
        <v/>
      </c>
      <c r="F79" s="12">
        <f ca="1">IF(TOTALCO!F604="", "",TOTALCO!F604)</f>
        <v>181529655.9414365</v>
      </c>
      <c r="G79" s="12" t="str">
        <f>IF(TOTALCO!G604="", "",TOTALCO!G604)</f>
        <v/>
      </c>
      <c r="H79" s="12">
        <f ca="1">IF(TOTALCO!H604="", "",TOTALCO!H604)</f>
        <v>10660697.828229241</v>
      </c>
      <c r="I79" s="12">
        <f ca="1">IF(TOTALCO!I604="", "",TOTALCO!I604)</f>
        <v>17551664.770334255</v>
      </c>
      <c r="J79" s="12" t="str">
        <f>IF(TOTALCO!J604="", "",TOTALCO!J604)</f>
        <v/>
      </c>
      <c r="K79" s="12" t="str">
        <f>IF(TOTALCO!K604="", "",TOTALCO!K604)</f>
        <v/>
      </c>
      <c r="L79" s="12">
        <f ca="1">IF(TOTALCO!L604="", "",TOTALCO!L604)</f>
        <v>1605.0433345723038</v>
      </c>
      <c r="M79" s="12" t="str">
        <f>IF(TOTALCO!M604="", "",TOTALCO!M604)</f>
        <v/>
      </c>
      <c r="N79" s="12">
        <f ca="1">IF(TOTALCO!N604="", "",TOTALCO!N604)</f>
        <v>17550059.726999681</v>
      </c>
      <c r="O79" s="12">
        <f ca="1">IF(TOTALCO!O604="", "",TOTALCO!O604)</f>
        <v>5476063.9197032917</v>
      </c>
      <c r="P79" s="12">
        <f ca="1">IF(TOTALCO!P604="", "",TOTALCO!P604)</f>
        <v>12073995.80729639</v>
      </c>
      <c r="Q79" s="12"/>
      <c r="R79" s="13"/>
    </row>
    <row r="80" spans="1:18" ht="15" x14ac:dyDescent="0.2">
      <c r="A80" s="382">
        <f>IF(TOTALCO!A605="", "",TOTALCO!A605)</f>
        <v>10</v>
      </c>
      <c r="B80" s="4" t="str">
        <f>IF(TOTALCO!B605="", "",TOTALCO!B605)</f>
        <v xml:space="preserve"> 316-MISC POWER PLANT EQUIP</v>
      </c>
      <c r="C80" s="4" t="str">
        <f>IF(TOTALCO!C605="", "",TOTALCO!C605)</f>
        <v>DEMPROD</v>
      </c>
      <c r="D80" s="12">
        <f ca="1">IF(TOTALCO!D605="", "",TOTALCO!D605)</f>
        <v>30545307.669999998</v>
      </c>
      <c r="E80" s="12" t="str">
        <f>IF(TOTALCO!E605="", "",TOTALCO!E605)</f>
        <v/>
      </c>
      <c r="F80" s="12">
        <f ca="1">IF(TOTALCO!F605="", "",TOTALCO!F605)</f>
        <v>26436663.623998422</v>
      </c>
      <c r="G80" s="12" t="str">
        <f>IF(TOTALCO!G605="", "",TOTALCO!G605)</f>
        <v/>
      </c>
      <c r="H80" s="12">
        <f ca="1">IF(TOTALCO!H605="", "",TOTALCO!H605)</f>
        <v>1552546.7782129745</v>
      </c>
      <c r="I80" s="12">
        <f ca="1">IF(TOTALCO!I605="", "",TOTALCO!I605)</f>
        <v>2556097.2677885988</v>
      </c>
      <c r="J80" s="12" t="str">
        <f>IF(TOTALCO!J605="", "",TOTALCO!J605)</f>
        <v/>
      </c>
      <c r="K80" s="12" t="str">
        <f>IF(TOTALCO!K605="", "",TOTALCO!K605)</f>
        <v/>
      </c>
      <c r="L80" s="12">
        <f ca="1">IF(TOTALCO!L605="", "",TOTALCO!L605)</f>
        <v>233.74688018864418</v>
      </c>
      <c r="M80" s="12" t="str">
        <f>IF(TOTALCO!M605="", "",TOTALCO!M605)</f>
        <v/>
      </c>
      <c r="N80" s="12">
        <f ca="1">IF(TOTALCO!N605="", "",TOTALCO!N605)</f>
        <v>2555863.5209084102</v>
      </c>
      <c r="O80" s="12">
        <f ca="1">IF(TOTALCO!O605="", "",TOTALCO!O605)</f>
        <v>797494.26658647065</v>
      </c>
      <c r="P80" s="12">
        <f ca="1">IF(TOTALCO!P605="", "",TOTALCO!P605)</f>
        <v>1758369.2543219395</v>
      </c>
      <c r="Q80" s="12"/>
      <c r="R80" s="13"/>
    </row>
    <row r="81" spans="1:18" ht="15" x14ac:dyDescent="0.2">
      <c r="A81" s="382">
        <f>IF(TOTALCO!A606="", "",TOTALCO!A606)</f>
        <v>11</v>
      </c>
      <c r="B81" s="4" t="str">
        <f>IF(TOTALCO!B606="", "",TOTALCO!B606)</f>
        <v xml:space="preserve"> 317-ARO COST STEAM EQUIP</v>
      </c>
      <c r="C81" s="4" t="str">
        <f>IF(TOTALCO!C606="", "",TOTALCO!C606)</f>
        <v>DEMPROD</v>
      </c>
      <c r="D81" s="12">
        <f ca="1">IF(TOTALCO!D606="", "",TOTALCO!D606)</f>
        <v>56489771.460000001</v>
      </c>
      <c r="E81" s="12" t="str">
        <f>IF(TOTALCO!E606="", "",TOTALCO!E606)</f>
        <v/>
      </c>
      <c r="F81" s="12">
        <f ca="1">IF(TOTALCO!F606="", "",TOTALCO!F606)</f>
        <v>48891342.081694163</v>
      </c>
      <c r="G81" s="12" t="str">
        <f>IF(TOTALCO!G606="", "",TOTALCO!G606)</f>
        <v/>
      </c>
      <c r="H81" s="12">
        <f ca="1">IF(TOTALCO!H606="", "",TOTALCO!H606)</f>
        <v>2871243.3880097251</v>
      </c>
      <c r="I81" s="12">
        <f ca="1">IF(TOTALCO!I606="", "",TOTALCO!I606)</f>
        <v>4727185.9902961124</v>
      </c>
      <c r="J81" s="12" t="str">
        <f>IF(TOTALCO!J606="", "",TOTALCO!J606)</f>
        <v/>
      </c>
      <c r="K81" s="12" t="str">
        <f>IF(TOTALCO!K606="", "",TOTALCO!K606)</f>
        <v/>
      </c>
      <c r="L81" s="12">
        <f ca="1">IF(TOTALCO!L606="", "",TOTALCO!L606)</f>
        <v>432.28596627668253</v>
      </c>
      <c r="M81" s="12" t="str">
        <f>IF(TOTALCO!M606="", "",TOTALCO!M606)</f>
        <v/>
      </c>
      <c r="N81" s="12">
        <f ca="1">IF(TOTALCO!N606="", "",TOTALCO!N606)</f>
        <v>4726753.7043298353</v>
      </c>
      <c r="O81" s="12">
        <f ca="1">IF(TOTALCO!O606="", "",TOTALCO!O606)</f>
        <v>1474867.0842289815</v>
      </c>
      <c r="P81" s="12">
        <f ca="1">IF(TOTALCO!P606="", "",TOTALCO!P606)</f>
        <v>3251886.620100854</v>
      </c>
      <c r="Q81" s="12"/>
      <c r="R81" s="13"/>
    </row>
    <row r="82" spans="1:18" ht="15" x14ac:dyDescent="0.2">
      <c r="A82" s="382">
        <f>IF(TOTALCO!A607="", "",TOTALCO!A607)</f>
        <v>12</v>
      </c>
      <c r="B82" s="4" t="str">
        <f>IF(TOTALCO!B607="", "",TOTALCO!B607)</f>
        <v xml:space="preserve"> FERC-AFUDC PRE</v>
      </c>
      <c r="C82" s="4" t="str">
        <f>IF(TOTALCO!C607="", "",TOTALCO!C607)</f>
        <v>DEMFERC</v>
      </c>
      <c r="D82" s="12">
        <f ca="1">IF(TOTALCO!D607="", "",TOTALCO!D607)</f>
        <v>17109215.93</v>
      </c>
      <c r="E82" s="12" t="str">
        <f>IF(TOTALCO!E607="", "",TOTALCO!E607)</f>
        <v/>
      </c>
      <c r="F82" s="12">
        <f ca="1">IF(TOTALCO!F607="", "",TOTALCO!F607)</f>
        <v>0</v>
      </c>
      <c r="G82" s="12" t="str">
        <f>IF(TOTALCO!G607="", "",TOTALCO!G607)</f>
        <v/>
      </c>
      <c r="H82" s="12">
        <f ca="1">IF(TOTALCO!H607="", "",TOTALCO!H607)</f>
        <v>6465483.27355529</v>
      </c>
      <c r="I82" s="12">
        <f ca="1">IF(TOTALCO!I607="", "",TOTALCO!I607)</f>
        <v>10643732.65644471</v>
      </c>
      <c r="J82" s="12" t="str">
        <f>IF(TOTALCO!J607="", "",TOTALCO!J607)</f>
        <v/>
      </c>
      <c r="K82" s="12" t="str">
        <f>IF(TOTALCO!K607="", "",TOTALCO!K607)</f>
        <v/>
      </c>
      <c r="L82" s="12">
        <f ca="1">IF(TOTALCO!L607="", "",TOTALCO!L607)</f>
        <v>0</v>
      </c>
      <c r="M82" s="12" t="str">
        <f>IF(TOTALCO!M607="", "",TOTALCO!M607)</f>
        <v/>
      </c>
      <c r="N82" s="12">
        <f ca="1">IF(TOTALCO!N607="", "",TOTALCO!N607)</f>
        <v>10643732.65644471</v>
      </c>
      <c r="O82" s="12">
        <f ca="1">IF(TOTALCO!O607="", "",TOTALCO!O607)</f>
        <v>3321114.6444849707</v>
      </c>
      <c r="P82" s="12">
        <f ca="1">IF(TOTALCO!P607="", "",TOTALCO!P607)</f>
        <v>7322618.011959739</v>
      </c>
      <c r="Q82" s="12"/>
      <c r="R82" s="13"/>
    </row>
    <row r="83" spans="1:18" ht="15" x14ac:dyDescent="0.2">
      <c r="A83" s="382">
        <f>IF(TOTALCO!A608="", "",TOTALCO!A608)</f>
        <v>13</v>
      </c>
      <c r="B83" s="4" t="str">
        <f>IF(TOTALCO!B608="", "",TOTALCO!B608)</f>
        <v xml:space="preserve"> FERC-AFUDC POST</v>
      </c>
      <c r="C83" s="4" t="str">
        <f>IF(TOTALCO!C608="", "",TOTALCO!C608)</f>
        <v>DEMFERCP</v>
      </c>
      <c r="D83" s="12">
        <f ca="1">IF(TOTALCO!D608="", "",TOTALCO!D608)</f>
        <v>22166665.119999997</v>
      </c>
      <c r="E83" s="12" t="str">
        <f>IF(TOTALCO!E608="", "",TOTALCO!E608)</f>
        <v/>
      </c>
      <c r="F83" s="12">
        <f ca="1">IF(TOTALCO!F608="", "",TOTALCO!F608)</f>
        <v>0</v>
      </c>
      <c r="G83" s="12" t="str">
        <f>IF(TOTALCO!G608="", "",TOTALCO!G608)</f>
        <v/>
      </c>
      <c r="H83" s="12">
        <f ca="1">IF(TOTALCO!H608="", "",TOTALCO!H608)</f>
        <v>0</v>
      </c>
      <c r="I83" s="12">
        <f ca="1">IF(TOTALCO!I608="", "",TOTALCO!I608)</f>
        <v>22166665.119999997</v>
      </c>
      <c r="J83" s="12" t="str">
        <f>IF(TOTALCO!J608="", "",TOTALCO!J608)</f>
        <v/>
      </c>
      <c r="K83" s="12" t="str">
        <f>IF(TOTALCO!K608="", "",TOTALCO!K608)</f>
        <v/>
      </c>
      <c r="L83" s="12">
        <f ca="1">IF(TOTALCO!L608="", "",TOTALCO!L608)</f>
        <v>0</v>
      </c>
      <c r="M83" s="12" t="str">
        <f>IF(TOTALCO!M608="", "",TOTALCO!M608)</f>
        <v/>
      </c>
      <c r="N83" s="12">
        <f ca="1">IF(TOTALCO!N608="", "",TOTALCO!N608)</f>
        <v>22166665.119999997</v>
      </c>
      <c r="O83" s="12">
        <f ca="1">IF(TOTALCO!O608="", "",TOTALCO!O608)</f>
        <v>6916561.9360846076</v>
      </c>
      <c r="P83" s="12">
        <f ca="1">IF(TOTALCO!P608="", "",TOTALCO!P608)</f>
        <v>15250103.183915388</v>
      </c>
      <c r="Q83" s="12"/>
      <c r="R83" s="13"/>
    </row>
    <row r="84" spans="1:18" ht="15" x14ac:dyDescent="0.2">
      <c r="A84" s="382">
        <f>IF(TOTALCO!A609="", "",TOTALCO!A609)</f>
        <v>14</v>
      </c>
      <c r="B84" s="4" t="str">
        <f>IF(TOTALCO!B609="", "",TOTALCO!B609)</f>
        <v>TOTAL STEAM PROD PLANT</v>
      </c>
      <c r="C84" s="4" t="str">
        <f>IF(TOTALCO!C609="", "",TOTALCO!C609)</f>
        <v/>
      </c>
      <c r="D84" s="12">
        <f ca="1">IF(TOTALCO!D609="", "",TOTALCO!D609)</f>
        <v>3627633482.6900005</v>
      </c>
      <c r="E84" s="12" t="str">
        <f>IF(TOTALCO!E609="", "",TOTALCO!E609)</f>
        <v/>
      </c>
      <c r="F84" s="12">
        <f ca="1">IF(TOTALCO!F609="", "",TOTALCO!F609)</f>
        <v>3105688241.9405155</v>
      </c>
      <c r="G84" s="12" t="str">
        <f>IF(TOTALCO!G609="", "",TOTALCO!G609)</f>
        <v/>
      </c>
      <c r="H84" s="12">
        <f ca="1">IF(TOTALCO!H609="", "",TOTALCO!H609)</f>
        <v>188853334.58250955</v>
      </c>
      <c r="I84" s="12">
        <f ca="1">IF(TOTALCO!I609="", "",TOTALCO!I609)</f>
        <v>333091906.16697574</v>
      </c>
      <c r="J84" s="12" t="str">
        <f>IF(TOTALCO!J609="", "",TOTALCO!J609)</f>
        <v/>
      </c>
      <c r="K84" s="12" t="str">
        <f>IF(TOTALCO!K609="", "",TOTALCO!K609)</f>
        <v/>
      </c>
      <c r="L84" s="12">
        <f ca="1">IF(TOTALCO!L609="", "",TOTALCO!L609)</f>
        <v>27459.77887819245</v>
      </c>
      <c r="M84" s="12" t="str">
        <f>IF(TOTALCO!M609="", "",TOTALCO!M609)</f>
        <v/>
      </c>
      <c r="N84" s="12">
        <f ca="1">IF(TOTALCO!N609="", "",TOTALCO!N609)</f>
        <v>333064446.38809752</v>
      </c>
      <c r="O84" s="12">
        <f ca="1">IF(TOTALCO!O609="", "",TOTALCO!O609)</f>
        <v>103924557.87463117</v>
      </c>
      <c r="P84" s="12">
        <f ca="1">IF(TOTALCO!P609="", "",TOTALCO!P609)</f>
        <v>229139888.51346633</v>
      </c>
      <c r="Q84" s="12"/>
      <c r="R84" s="13"/>
    </row>
    <row r="85" spans="1:18" ht="15" x14ac:dyDescent="0.2">
      <c r="A85" s="382" t="str">
        <f>IF(TOTALCO!A610="", "",TOTALCO!A610)</f>
        <v/>
      </c>
      <c r="B85" s="4" t="str">
        <f>IF(TOTALCO!B610="", "",TOTALCO!B610)</f>
        <v/>
      </c>
      <c r="C85" s="4" t="str">
        <f>IF(TOTALCO!C610="", "",TOTALCO!C610)</f>
        <v/>
      </c>
      <c r="D85" s="12" t="str">
        <f>IF(TOTALCO!D610="", "",TOTALCO!D610)</f>
        <v/>
      </c>
      <c r="E85" s="12" t="str">
        <f>IF(TOTALCO!E610="", "",TOTALCO!E610)</f>
        <v/>
      </c>
      <c r="F85" s="12" t="str">
        <f>IF(TOTALCO!F610="", "",TOTALCO!F610)</f>
        <v/>
      </c>
      <c r="G85" s="12" t="str">
        <f>IF(TOTALCO!G610="", "",TOTALCO!G610)</f>
        <v/>
      </c>
      <c r="H85" s="12" t="str">
        <f>IF(TOTALCO!H610="", "",TOTALCO!H610)</f>
        <v/>
      </c>
      <c r="I85" s="12" t="str">
        <f>IF(TOTALCO!I610="", "",TOTALCO!I610)</f>
        <v/>
      </c>
      <c r="J85" s="12" t="str">
        <f>IF(TOTALCO!J610="", "",TOTALCO!J610)</f>
        <v/>
      </c>
      <c r="K85" s="12" t="str">
        <f>IF(TOTALCO!K610="", "",TOTALCO!K610)</f>
        <v/>
      </c>
      <c r="L85" s="12" t="str">
        <f>IF(TOTALCO!L610="", "",TOTALCO!L610)</f>
        <v/>
      </c>
      <c r="M85" s="12" t="str">
        <f>IF(TOTALCO!M610="", "",TOTALCO!M610)</f>
        <v/>
      </c>
      <c r="N85" s="12" t="str">
        <f>IF(TOTALCO!N610="", "",TOTALCO!N610)</f>
        <v/>
      </c>
      <c r="O85" s="12" t="str">
        <f>IF(TOTALCO!O610="", "",TOTALCO!O610)</f>
        <v/>
      </c>
      <c r="P85" s="12" t="str">
        <f>IF(TOTALCO!P610="", "",TOTALCO!P610)</f>
        <v/>
      </c>
      <c r="Q85" s="12"/>
      <c r="R85" s="13"/>
    </row>
    <row r="86" spans="1:18" ht="15" x14ac:dyDescent="0.2">
      <c r="A86" s="382" t="str">
        <f>IF(TOTALCO!A611="", "",TOTALCO!A611)</f>
        <v/>
      </c>
      <c r="B86" s="4" t="str">
        <f>IF(TOTALCO!B611="", "",TOTALCO!B611)</f>
        <v>HYDRAULIC PRODUCTION PLANT</v>
      </c>
      <c r="C86" s="4" t="str">
        <f>IF(TOTALCO!C611="", "",TOTALCO!C611)</f>
        <v/>
      </c>
      <c r="D86" s="12" t="str">
        <f>IF(TOTALCO!D611="", "",TOTALCO!D611)</f>
        <v/>
      </c>
      <c r="E86" s="12" t="str">
        <f>IF(TOTALCO!E611="", "",TOTALCO!E611)</f>
        <v/>
      </c>
      <c r="F86" s="12" t="str">
        <f>IF(TOTALCO!F611="", "",TOTALCO!F611)</f>
        <v/>
      </c>
      <c r="G86" s="12" t="str">
        <f>IF(TOTALCO!G611="", "",TOTALCO!G611)</f>
        <v/>
      </c>
      <c r="H86" s="12" t="str">
        <f>IF(TOTALCO!H611="", "",TOTALCO!H611)</f>
        <v/>
      </c>
      <c r="I86" s="12" t="str">
        <f>IF(TOTALCO!I611="", "",TOTALCO!I611)</f>
        <v/>
      </c>
      <c r="J86" s="12" t="str">
        <f>IF(TOTALCO!J611="", "",TOTALCO!J611)</f>
        <v/>
      </c>
      <c r="K86" s="12" t="str">
        <f>IF(TOTALCO!K611="", "",TOTALCO!K611)</f>
        <v/>
      </c>
      <c r="L86" s="12" t="str">
        <f>IF(TOTALCO!L611="", "",TOTALCO!L611)</f>
        <v/>
      </c>
      <c r="M86" s="12" t="str">
        <f>IF(TOTALCO!M611="", "",TOTALCO!M611)</f>
        <v/>
      </c>
      <c r="N86" s="12" t="str">
        <f>IF(TOTALCO!N611="", "",TOTALCO!N611)</f>
        <v/>
      </c>
      <c r="O86" s="12" t="str">
        <f>IF(TOTALCO!O611="", "",TOTALCO!O611)</f>
        <v/>
      </c>
      <c r="P86" s="12" t="str">
        <f>IF(TOTALCO!P611="", "",TOTALCO!P611)</f>
        <v/>
      </c>
      <c r="Q86" s="12"/>
      <c r="R86" s="13"/>
    </row>
    <row r="87" spans="1:18" ht="15" x14ac:dyDescent="0.2">
      <c r="A87" s="382">
        <f>IF(TOTALCO!A612="", "",TOTALCO!A612)</f>
        <v>15</v>
      </c>
      <c r="B87" s="4" t="str">
        <f>IF(TOTALCO!B612="", "",TOTALCO!B612)</f>
        <v xml:space="preserve"> 330-LAND RIGHTS</v>
      </c>
      <c r="C87" s="4" t="str">
        <f>IF(TOTALCO!C612="", "",TOTALCO!C612)</f>
        <v>DEMPROD</v>
      </c>
      <c r="D87" s="12">
        <f ca="1">IF(TOTALCO!D612="", "",TOTALCO!D612)</f>
        <v>879311.46999999986</v>
      </c>
      <c r="E87" s="12" t="str">
        <f>IF(TOTALCO!E612="", "",TOTALCO!E612)</f>
        <v/>
      </c>
      <c r="F87" s="12">
        <f ca="1">IF(TOTALCO!F612="", "",TOTALCO!F612)</f>
        <v>761035.43641646288</v>
      </c>
      <c r="G87" s="12" t="str">
        <f>IF(TOTALCO!G612="", "",TOTALCO!G612)</f>
        <v/>
      </c>
      <c r="H87" s="12">
        <f ca="1">IF(TOTALCO!H612="", "",TOTALCO!H612)</f>
        <v>44693.35207040704</v>
      </c>
      <c r="I87" s="12">
        <f ca="1">IF(TOTALCO!I612="", "",TOTALCO!I612)</f>
        <v>73582.681513129981</v>
      </c>
      <c r="J87" s="12" t="str">
        <f>IF(TOTALCO!J612="", "",TOTALCO!J612)</f>
        <v/>
      </c>
      <c r="K87" s="12" t="str">
        <f>IF(TOTALCO!K612="", "",TOTALCO!K612)</f>
        <v/>
      </c>
      <c r="L87" s="12">
        <f ca="1">IF(TOTALCO!L612="", "",TOTALCO!L612)</f>
        <v>6.7288997395975683</v>
      </c>
      <c r="M87" s="12" t="str">
        <f>IF(TOTALCO!M612="", "",TOTALCO!M612)</f>
        <v/>
      </c>
      <c r="N87" s="12">
        <f ca="1">IF(TOTALCO!N612="", "",TOTALCO!N612)</f>
        <v>73575.952613390386</v>
      </c>
      <c r="O87" s="12">
        <f ca="1">IF(TOTALCO!O612="", "",TOTALCO!O612)</f>
        <v>22957.564004419844</v>
      </c>
      <c r="P87" s="12">
        <f ca="1">IF(TOTALCO!P612="", "",TOTALCO!P612)</f>
        <v>50618.388608970541</v>
      </c>
      <c r="Q87" s="12"/>
      <c r="R87" s="13"/>
    </row>
    <row r="88" spans="1:18" ht="15" x14ac:dyDescent="0.2">
      <c r="A88" s="382">
        <f>IF(TOTALCO!A613="", "",TOTALCO!A613)</f>
        <v>16</v>
      </c>
      <c r="B88" s="4" t="str">
        <f>IF(TOTALCO!B613="", "",TOTALCO!B613)</f>
        <v xml:space="preserve"> 331-STRUCTURES AND IMPROVEMENTS</v>
      </c>
      <c r="C88" s="4" t="str">
        <f>IF(TOTALCO!C613="", "",TOTALCO!C613)</f>
        <v>DEMPROD</v>
      </c>
      <c r="D88" s="12">
        <f ca="1">IF(TOTALCO!D613="", "",TOTALCO!D613)</f>
        <v>616526.69000000018</v>
      </c>
      <c r="E88" s="12" t="str">
        <f>IF(TOTALCO!E613="", "",TOTALCO!E613)</f>
        <v/>
      </c>
      <c r="F88" s="12">
        <f ca="1">IF(TOTALCO!F613="", "",TOTALCO!F613)</f>
        <v>533597.79167505621</v>
      </c>
      <c r="G88" s="12" t="str">
        <f>IF(TOTALCO!G613="", "",TOTALCO!G613)</f>
        <v/>
      </c>
      <c r="H88" s="12">
        <f ca="1">IF(TOTALCO!H613="", "",TOTALCO!H613)</f>
        <v>31336.614336411083</v>
      </c>
      <c r="I88" s="12">
        <f ca="1">IF(TOTALCO!I613="", "",TOTALCO!I613)</f>
        <v>51592.283988532792</v>
      </c>
      <c r="J88" s="12" t="str">
        <f>IF(TOTALCO!J613="", "",TOTALCO!J613)</f>
        <v/>
      </c>
      <c r="K88" s="12" t="str">
        <f>IF(TOTALCO!K613="", "",TOTALCO!K613)</f>
        <v/>
      </c>
      <c r="L88" s="12">
        <f ca="1">IF(TOTALCO!L613="", "",TOTALCO!L613)</f>
        <v>4.7179485601341593</v>
      </c>
      <c r="M88" s="12" t="str">
        <f>IF(TOTALCO!M613="", "",TOTALCO!M613)</f>
        <v/>
      </c>
      <c r="N88" s="12">
        <f ca="1">IF(TOTALCO!N613="", "",TOTALCO!N613)</f>
        <v>51587.566039972655</v>
      </c>
      <c r="O88" s="12">
        <f ca="1">IF(TOTALCO!O613="", "",TOTALCO!O613)</f>
        <v>16096.629498200578</v>
      </c>
      <c r="P88" s="12">
        <f ca="1">IF(TOTALCO!P613="", "",TOTALCO!P613)</f>
        <v>35490.936541772076</v>
      </c>
      <c r="Q88" s="12"/>
      <c r="R88" s="13"/>
    </row>
    <row r="89" spans="1:18" ht="15" x14ac:dyDescent="0.2">
      <c r="A89" s="382">
        <f>IF(TOTALCO!A614="", "",TOTALCO!A614)</f>
        <v>17</v>
      </c>
      <c r="B89" s="4" t="str">
        <f>IF(TOTALCO!B614="", "",TOTALCO!B614)</f>
        <v xml:space="preserve"> 332-RESERVOIRS, DAMS, AND WATER</v>
      </c>
      <c r="C89" s="4" t="str">
        <f>IF(TOTALCO!C614="", "",TOTALCO!C614)</f>
        <v>DEMPROD</v>
      </c>
      <c r="D89" s="12">
        <f ca="1">IF(TOTALCO!D614="", "",TOTALCO!D614)</f>
        <v>21558917.790000007</v>
      </c>
      <c r="E89" s="12" t="str">
        <f>IF(TOTALCO!E614="", "",TOTALCO!E614)</f>
        <v/>
      </c>
      <c r="F89" s="12">
        <f ca="1">IF(TOTALCO!F614="", "",TOTALCO!F614)</f>
        <v>18659031.490831457</v>
      </c>
      <c r="G89" s="12" t="str">
        <f>IF(TOTALCO!G614="", "",TOTALCO!G614)</f>
        <v/>
      </c>
      <c r="H89" s="12">
        <f ca="1">IF(TOTALCO!H614="", "",TOTALCO!H614)</f>
        <v>1095789.5306943192</v>
      </c>
      <c r="I89" s="12">
        <f ca="1">IF(TOTALCO!I614="", "",TOTALCO!I614)</f>
        <v>1804096.7684742273</v>
      </c>
      <c r="J89" s="12" t="str">
        <f>IF(TOTALCO!J614="", "",TOTALCO!J614)</f>
        <v/>
      </c>
      <c r="K89" s="12" t="str">
        <f>IF(TOTALCO!K614="", "",TOTALCO!K614)</f>
        <v/>
      </c>
      <c r="L89" s="12">
        <f ca="1">IF(TOTALCO!L614="", "",TOTALCO!L614)</f>
        <v>164.97885135415828</v>
      </c>
      <c r="M89" s="12" t="str">
        <f>IF(TOTALCO!M614="", "",TOTALCO!M614)</f>
        <v/>
      </c>
      <c r="N89" s="12">
        <f ca="1">IF(TOTALCO!N614="", "",TOTALCO!N614)</f>
        <v>1803931.7896228731</v>
      </c>
      <c r="O89" s="12">
        <f ca="1">IF(TOTALCO!O614="", "",TOTALCO!O614)</f>
        <v>562872.48820938356</v>
      </c>
      <c r="P89" s="12">
        <f ca="1">IF(TOTALCO!P614="", "",TOTALCO!P614)</f>
        <v>1241059.3014134895</v>
      </c>
      <c r="Q89" s="12"/>
      <c r="R89" s="13"/>
    </row>
    <row r="90" spans="1:18" ht="15" x14ac:dyDescent="0.2">
      <c r="A90" s="382">
        <f>IF(TOTALCO!A615="", "",TOTALCO!A615)</f>
        <v>18</v>
      </c>
      <c r="B90" s="4" t="str">
        <f>IF(TOTALCO!B615="", "",TOTALCO!B615)</f>
        <v xml:space="preserve"> 333-WATER WHEEL, TURBINES, GEN</v>
      </c>
      <c r="C90" s="4" t="str">
        <f>IF(TOTALCO!C615="", "",TOTALCO!C615)</f>
        <v>DEMPROD</v>
      </c>
      <c r="D90" s="12">
        <f ca="1">IF(TOTALCO!D615="", "",TOTALCO!D615)</f>
        <v>4533221.9000000004</v>
      </c>
      <c r="E90" s="12" t="str">
        <f>IF(TOTALCO!E615="", "",TOTALCO!E615)</f>
        <v/>
      </c>
      <c r="F90" s="12">
        <f ca="1">IF(TOTALCO!F615="", "",TOTALCO!F615)</f>
        <v>3923459.0071242531</v>
      </c>
      <c r="G90" s="12" t="str">
        <f>IF(TOTALCO!G615="", "",TOTALCO!G615)</f>
        <v/>
      </c>
      <c r="H90" s="12">
        <f ca="1">IF(TOTALCO!H615="", "",TOTALCO!H615)</f>
        <v>230413.10082078149</v>
      </c>
      <c r="I90" s="12">
        <f ca="1">IF(TOTALCO!I615="", "",TOTALCO!I615)</f>
        <v>379349.79205496545</v>
      </c>
      <c r="J90" s="12" t="str">
        <f>IF(TOTALCO!J615="", "",TOTALCO!J615)</f>
        <v/>
      </c>
      <c r="K90" s="12" t="str">
        <f>IF(TOTALCO!K615="", "",TOTALCO!K615)</f>
        <v/>
      </c>
      <c r="L90" s="12">
        <f ca="1">IF(TOTALCO!L615="", "",TOTALCO!L615)</f>
        <v>34.69031930454404</v>
      </c>
      <c r="M90" s="12" t="str">
        <f>IF(TOTALCO!M615="", "",TOTALCO!M615)</f>
        <v/>
      </c>
      <c r="N90" s="12">
        <f ca="1">IF(TOTALCO!N615="", "",TOTALCO!N615)</f>
        <v>379315.10173566092</v>
      </c>
      <c r="O90" s="12">
        <f ca="1">IF(TOTALCO!O615="", "",TOTALCO!O615)</f>
        <v>118355.93582725327</v>
      </c>
      <c r="P90" s="12">
        <f ca="1">IF(TOTALCO!P615="", "",TOTALCO!P615)</f>
        <v>260959.16590840768</v>
      </c>
      <c r="Q90" s="12"/>
      <c r="R90" s="13"/>
    </row>
    <row r="91" spans="1:18" ht="15" x14ac:dyDescent="0.2">
      <c r="A91" s="382">
        <f>IF(TOTALCO!A616="", "",TOTALCO!A616)</f>
        <v>19</v>
      </c>
      <c r="B91" s="4" t="str">
        <f>IF(TOTALCO!B616="", "",TOTALCO!B616)</f>
        <v xml:space="preserve"> 334-ACCESSORY ELECTRIC EQUIP</v>
      </c>
      <c r="C91" s="4" t="str">
        <f>IF(TOTALCO!C616="", "",TOTALCO!C616)</f>
        <v>DEMPROD</v>
      </c>
      <c r="D91" s="12">
        <f ca="1">IF(TOTALCO!D616="", "",TOTALCO!D616)</f>
        <v>578333.27999999991</v>
      </c>
      <c r="E91" s="12" t="str">
        <f>IF(TOTALCO!E616="", "",TOTALCO!E616)</f>
        <v/>
      </c>
      <c r="F91" s="12">
        <f ca="1">IF(TOTALCO!F616="", "",TOTALCO!F616)</f>
        <v>500541.77064125455</v>
      </c>
      <c r="G91" s="12" t="str">
        <f>IF(TOTALCO!G616="", "",TOTALCO!G616)</f>
        <v/>
      </c>
      <c r="H91" s="12">
        <f ca="1">IF(TOTALCO!H616="", "",TOTALCO!H616)</f>
        <v>29395.332346879648</v>
      </c>
      <c r="I91" s="12">
        <f ca="1">IF(TOTALCO!I616="", "",TOTALCO!I616)</f>
        <v>48396.177011865686</v>
      </c>
      <c r="J91" s="12" t="str">
        <f>IF(TOTALCO!J616="", "",TOTALCO!J616)</f>
        <v/>
      </c>
      <c r="K91" s="12" t="str">
        <f>IF(TOTALCO!K616="", "",TOTALCO!K616)</f>
        <v/>
      </c>
      <c r="L91" s="12">
        <f ca="1">IF(TOTALCO!L616="", "",TOTALCO!L616)</f>
        <v>4.4256748489731477</v>
      </c>
      <c r="M91" s="12" t="str">
        <f>IF(TOTALCO!M616="", "",TOTALCO!M616)</f>
        <v/>
      </c>
      <c r="N91" s="12">
        <f ca="1">IF(TOTALCO!N616="", "",TOTALCO!N616)</f>
        <v>48391.751337016714</v>
      </c>
      <c r="O91" s="12">
        <f ca="1">IF(TOTALCO!O616="", "",TOTALCO!O616)</f>
        <v>15099.454225800173</v>
      </c>
      <c r="P91" s="12">
        <f ca="1">IF(TOTALCO!P616="", "",TOTALCO!P616)</f>
        <v>33292.29711121654</v>
      </c>
      <c r="Q91" s="12"/>
      <c r="R91" s="13"/>
    </row>
    <row r="92" spans="1:18" ht="15" x14ac:dyDescent="0.2">
      <c r="A92" s="382">
        <f>IF(TOTALCO!A617="", "",TOTALCO!A617)</f>
        <v>20</v>
      </c>
      <c r="B92" s="4" t="str">
        <f>IF(TOTALCO!B617="", "",TOTALCO!B617)</f>
        <v xml:space="preserve"> 335-MISC POWER PLANT EQUIP</v>
      </c>
      <c r="C92" s="4" t="str">
        <f>IF(TOTALCO!C617="", "",TOTALCO!C617)</f>
        <v>DEMPROD</v>
      </c>
      <c r="D92" s="12">
        <f ca="1">IF(TOTALCO!D617="", "",TOTALCO!D617)</f>
        <v>296203.86</v>
      </c>
      <c r="E92" s="12" t="str">
        <f>IF(TOTALCO!E617="", "",TOTALCO!E617)</f>
        <v/>
      </c>
      <c r="F92" s="12">
        <f ca="1">IF(TOTALCO!F617="", "",TOTALCO!F617)</f>
        <v>256361.53007686898</v>
      </c>
      <c r="G92" s="12" t="str">
        <f>IF(TOTALCO!G617="", "",TOTALCO!G617)</f>
        <v/>
      </c>
      <c r="H92" s="12">
        <f ca="1">IF(TOTALCO!H617="", "",TOTALCO!H617)</f>
        <v>15055.351660081902</v>
      </c>
      <c r="I92" s="12">
        <f ca="1">IF(TOTALCO!I617="", "",TOTALCO!I617)</f>
        <v>24786.978263049092</v>
      </c>
      <c r="J92" s="12" t="str">
        <f>IF(TOTALCO!J617="", "",TOTALCO!J617)</f>
        <v/>
      </c>
      <c r="K92" s="12" t="str">
        <f>IF(TOTALCO!K617="", "",TOTALCO!K617)</f>
        <v/>
      </c>
      <c r="L92" s="12">
        <f ca="1">IF(TOTALCO!L617="", "",TOTALCO!L617)</f>
        <v>2.2666895001628879</v>
      </c>
      <c r="M92" s="12" t="str">
        <f>IF(TOTALCO!M617="", "",TOTALCO!M617)</f>
        <v/>
      </c>
      <c r="N92" s="12">
        <f ca="1">IF(TOTALCO!N617="", "",TOTALCO!N617)</f>
        <v>24784.711573548928</v>
      </c>
      <c r="O92" s="12">
        <f ca="1">IF(TOTALCO!O617="", "",TOTALCO!O617)</f>
        <v>7733.4588553771673</v>
      </c>
      <c r="P92" s="12">
        <f ca="1">IF(TOTALCO!P617="", "",TOTALCO!P617)</f>
        <v>17051.25271817176</v>
      </c>
      <c r="Q92" s="12"/>
      <c r="R92" s="13"/>
    </row>
    <row r="93" spans="1:18" ht="15" x14ac:dyDescent="0.2">
      <c r="A93" s="382">
        <f>IF(TOTALCO!A618="", "",TOTALCO!A618)</f>
        <v>21</v>
      </c>
      <c r="B93" s="4" t="str">
        <f>IF(TOTALCO!B618="", "",TOTALCO!B618)</f>
        <v xml:space="preserve"> 336-ROADS, RAILROADS, AND BRIDGES</v>
      </c>
      <c r="C93" s="4" t="str">
        <f>IF(TOTALCO!C618="", "",TOTALCO!C618)</f>
        <v>DEMPROD</v>
      </c>
      <c r="D93" s="12">
        <f ca="1">IF(TOTALCO!D618="", "",TOTALCO!D618)</f>
        <v>176359.59</v>
      </c>
      <c r="E93" s="12" t="str">
        <f>IF(TOTALCO!E618="", "",TOTALCO!E618)</f>
        <v/>
      </c>
      <c r="F93" s="12">
        <f ca="1">IF(TOTALCO!F618="", "",TOTALCO!F618)</f>
        <v>152637.49208443565</v>
      </c>
      <c r="G93" s="12" t="str">
        <f>IF(TOTALCO!G618="", "",TOTALCO!G618)</f>
        <v/>
      </c>
      <c r="H93" s="12">
        <f ca="1">IF(TOTALCO!H618="", "",TOTALCO!H618)</f>
        <v>8963.9468104091011</v>
      </c>
      <c r="I93" s="12">
        <f ca="1">IF(TOTALCO!I618="", "",TOTALCO!I618)</f>
        <v>14758.151105155246</v>
      </c>
      <c r="J93" s="12" t="str">
        <f>IF(TOTALCO!J618="", "",TOTALCO!J618)</f>
        <v/>
      </c>
      <c r="K93" s="12" t="str">
        <f>IF(TOTALCO!K618="", "",TOTALCO!K618)</f>
        <v/>
      </c>
      <c r="L93" s="12">
        <f ca="1">IF(TOTALCO!L618="", "",TOTALCO!L618)</f>
        <v>1.349585487866471</v>
      </c>
      <c r="M93" s="12" t="str">
        <f>IF(TOTALCO!M618="", "",TOTALCO!M618)</f>
        <v/>
      </c>
      <c r="N93" s="12">
        <f ca="1">IF(TOTALCO!N618="", "",TOTALCO!N618)</f>
        <v>14756.80151966738</v>
      </c>
      <c r="O93" s="12">
        <f ca="1">IF(TOTALCO!O618="", "",TOTALCO!O618)</f>
        <v>4604.496487710142</v>
      </c>
      <c r="P93" s="12">
        <f ca="1">IF(TOTALCO!P618="", "",TOTALCO!P618)</f>
        <v>10152.305031957238</v>
      </c>
      <c r="Q93" s="12"/>
      <c r="R93" s="13"/>
    </row>
    <row r="94" spans="1:18" ht="15" x14ac:dyDescent="0.2">
      <c r="A94" s="382">
        <f>IF(TOTALCO!A619="", "",TOTALCO!A619)</f>
        <v>22</v>
      </c>
      <c r="B94" s="4" t="str">
        <f>IF(TOTALCO!B619="", "",TOTALCO!B619)</f>
        <v xml:space="preserve"> 337-ARO COST HYDRO PROD EQUIP</v>
      </c>
      <c r="C94" s="4" t="str">
        <f>IF(TOTALCO!C619="", "",TOTALCO!C619)</f>
        <v>DEMPROD</v>
      </c>
      <c r="D94" s="12">
        <f ca="1">IF(TOTALCO!D619="", "",TOTALCO!D619)</f>
        <v>57608.88</v>
      </c>
      <c r="E94" s="12" t="str">
        <f>IF(TOTALCO!E619="", "",TOTALCO!E619)</f>
        <v/>
      </c>
      <c r="F94" s="12">
        <f ca="1">IF(TOTALCO!F619="", "",TOTALCO!F619)</f>
        <v>49859.919525743979</v>
      </c>
      <c r="G94" s="12" t="str">
        <f>IF(TOTALCO!G619="", "",TOTALCO!G619)</f>
        <v/>
      </c>
      <c r="H94" s="12">
        <f ca="1">IF(TOTALCO!H619="", "",TOTALCO!H619)</f>
        <v>2928.1250661063605</v>
      </c>
      <c r="I94" s="12">
        <f ca="1">IF(TOTALCO!I619="", "",TOTALCO!I619)</f>
        <v>4820.8354081496554</v>
      </c>
      <c r="J94" s="12" t="str">
        <f>IF(TOTALCO!J619="", "",TOTALCO!J619)</f>
        <v/>
      </c>
      <c r="K94" s="12" t="str">
        <f>IF(TOTALCO!K619="", "",TOTALCO!K619)</f>
        <v/>
      </c>
      <c r="L94" s="12">
        <f ca="1">IF(TOTALCO!L619="", "",TOTALCO!L619)</f>
        <v>0.44084990456283657</v>
      </c>
      <c r="M94" s="12" t="str">
        <f>IF(TOTALCO!M619="", "",TOTALCO!M619)</f>
        <v/>
      </c>
      <c r="N94" s="12">
        <f ca="1">IF(TOTALCO!N619="", "",TOTALCO!N619)</f>
        <v>4820.3945582450924</v>
      </c>
      <c r="O94" s="12">
        <f ca="1">IF(TOTALCO!O619="", "",TOTALCO!O619)</f>
        <v>1504.0854065317062</v>
      </c>
      <c r="P94" s="12">
        <f ca="1">IF(TOTALCO!P619="", "",TOTALCO!P619)</f>
        <v>3316.3091517133867</v>
      </c>
      <c r="Q94" s="12"/>
      <c r="R94" s="13"/>
    </row>
    <row r="95" spans="1:18" ht="15" x14ac:dyDescent="0.2">
      <c r="A95" s="382">
        <f>IF(TOTALCO!A620="", "",TOTALCO!A620)</f>
        <v>23</v>
      </c>
      <c r="B95" s="4" t="str">
        <f>IF(TOTALCO!B620="", "",TOTALCO!B620)</f>
        <v xml:space="preserve"> FERC-AFUDC PRE</v>
      </c>
      <c r="C95" s="4" t="str">
        <f>IF(TOTALCO!C620="", "",TOTALCO!C620)</f>
        <v>DEMFERC</v>
      </c>
      <c r="D95" s="12">
        <f ca="1">IF(TOTALCO!D620="", "",TOTALCO!D620)</f>
        <v>820</v>
      </c>
      <c r="E95" s="12" t="str">
        <f>IF(TOTALCO!E620="", "",TOTALCO!E620)</f>
        <v/>
      </c>
      <c r="F95" s="12">
        <f ca="1">IF(TOTALCO!F620="", "",TOTALCO!F620)</f>
        <v>0</v>
      </c>
      <c r="G95" s="12" t="str">
        <f>IF(TOTALCO!G620="", "",TOTALCO!G620)</f>
        <v/>
      </c>
      <c r="H95" s="12">
        <f ca="1">IF(TOTALCO!H620="", "",TOTALCO!H620)</f>
        <v>309.87371402678519</v>
      </c>
      <c r="I95" s="12">
        <f ca="1">IF(TOTALCO!I620="", "",TOTALCO!I620)</f>
        <v>510.12628597321481</v>
      </c>
      <c r="J95" s="12" t="str">
        <f>IF(TOTALCO!J620="", "",TOTALCO!J620)</f>
        <v/>
      </c>
      <c r="K95" s="12" t="str">
        <f>IF(TOTALCO!K620="", "",TOTALCO!K620)</f>
        <v/>
      </c>
      <c r="L95" s="12">
        <f ca="1">IF(TOTALCO!L620="", "",TOTALCO!L620)</f>
        <v>0</v>
      </c>
      <c r="M95" s="12" t="str">
        <f>IF(TOTALCO!M620="", "",TOTALCO!M620)</f>
        <v/>
      </c>
      <c r="N95" s="12">
        <f ca="1">IF(TOTALCO!N620="", "",TOTALCO!N620)</f>
        <v>510.12628597321481</v>
      </c>
      <c r="O95" s="12">
        <f ca="1">IF(TOTALCO!O620="", "",TOTALCO!O620)</f>
        <v>159.1723442862455</v>
      </c>
      <c r="P95" s="12">
        <f ca="1">IF(TOTALCO!P620="", "",TOTALCO!P620)</f>
        <v>350.9539416869693</v>
      </c>
      <c r="Q95" s="12"/>
      <c r="R95" s="13"/>
    </row>
    <row r="96" spans="1:18" ht="15" x14ac:dyDescent="0.2">
      <c r="A96" s="382">
        <f>IF(TOTALCO!A621="", "",TOTALCO!A621)</f>
        <v>24</v>
      </c>
      <c r="B96" s="4" t="str">
        <f>IF(TOTALCO!B621="", "",TOTALCO!B621)</f>
        <v xml:space="preserve"> FERC-AFUDC POST</v>
      </c>
      <c r="C96" s="4" t="str">
        <f>IF(TOTALCO!C621="", "",TOTALCO!C621)</f>
        <v>DEMFERCP</v>
      </c>
      <c r="D96" s="12">
        <f ca="1">IF(TOTALCO!D621="", "",TOTALCO!D621)</f>
        <v>59166.54</v>
      </c>
      <c r="E96" s="12" t="str">
        <f>IF(TOTALCO!E621="", "",TOTALCO!E621)</f>
        <v/>
      </c>
      <c r="F96" s="12">
        <f ca="1">IF(TOTALCO!F621="", "",TOTALCO!F621)</f>
        <v>0</v>
      </c>
      <c r="G96" s="12" t="str">
        <f>IF(TOTALCO!G621="", "",TOTALCO!G621)</f>
        <v/>
      </c>
      <c r="H96" s="12">
        <f ca="1">IF(TOTALCO!H621="", "",TOTALCO!H621)</f>
        <v>0</v>
      </c>
      <c r="I96" s="12">
        <f ca="1">IF(TOTALCO!I621="", "",TOTALCO!I621)</f>
        <v>59166.54</v>
      </c>
      <c r="J96" s="12" t="str">
        <f>IF(TOTALCO!J621="", "",TOTALCO!J621)</f>
        <v/>
      </c>
      <c r="K96" s="12" t="str">
        <f>IF(TOTALCO!K621="", "",TOTALCO!K621)</f>
        <v/>
      </c>
      <c r="L96" s="12">
        <f ca="1">IF(TOTALCO!L621="", "",TOTALCO!L621)</f>
        <v>0</v>
      </c>
      <c r="M96" s="12" t="str">
        <f>IF(TOTALCO!M621="", "",TOTALCO!M621)</f>
        <v/>
      </c>
      <c r="N96" s="12">
        <f ca="1">IF(TOTALCO!N621="", "",TOTALCO!N621)</f>
        <v>59166.54</v>
      </c>
      <c r="O96" s="12">
        <f ca="1">IF(TOTALCO!O621="", "",TOTALCO!O621)</f>
        <v>18461.461669513752</v>
      </c>
      <c r="P96" s="12">
        <f ca="1">IF(TOTALCO!P621="", "",TOTALCO!P621)</f>
        <v>40705.078330486249</v>
      </c>
      <c r="Q96" s="12"/>
      <c r="R96" s="13"/>
    </row>
    <row r="97" spans="1:18" ht="15" x14ac:dyDescent="0.2">
      <c r="A97" s="382">
        <f>IF(TOTALCO!A622="", "",TOTALCO!A622)</f>
        <v>25</v>
      </c>
      <c r="B97" s="4" t="str">
        <f>IF(TOTALCO!B622="", "",TOTALCO!B622)</f>
        <v xml:space="preserve"> TOTAL HYDRAULIC PROD PLANT</v>
      </c>
      <c r="C97" s="4" t="str">
        <f>IF(TOTALCO!C622="", "",TOTALCO!C622)</f>
        <v/>
      </c>
      <c r="D97" s="12">
        <f ca="1">IF(TOTALCO!D622="", "",TOTALCO!D622)</f>
        <v>28756470.000000004</v>
      </c>
      <c r="E97" s="12" t="str">
        <f>IF(TOTALCO!E622="", "",TOTALCO!E622)</f>
        <v/>
      </c>
      <c r="F97" s="12">
        <f ca="1">IF(TOTALCO!F622="", "",TOTALCO!F622)</f>
        <v>24836524.438375533</v>
      </c>
      <c r="G97" s="12" t="str">
        <f>IF(TOTALCO!G622="", "",TOTALCO!G622)</f>
        <v/>
      </c>
      <c r="H97" s="12">
        <f ca="1">IF(TOTALCO!H622="", "",TOTALCO!H622)</f>
        <v>1458885.2275194228</v>
      </c>
      <c r="I97" s="12">
        <f ca="1">IF(TOTALCO!I622="", "",TOTALCO!I622)</f>
        <v>2461060.3341050483</v>
      </c>
      <c r="J97" s="12" t="str">
        <f>IF(TOTALCO!J622="", "",TOTALCO!J622)</f>
        <v/>
      </c>
      <c r="K97" s="12" t="str">
        <f>IF(TOTALCO!K622="", "",TOTALCO!K622)</f>
        <v/>
      </c>
      <c r="L97" s="12">
        <f ca="1">IF(TOTALCO!L622="", "",TOTALCO!L622)</f>
        <v>219.59881869999941</v>
      </c>
      <c r="M97" s="12" t="str">
        <f>IF(TOTALCO!M622="", "",TOTALCO!M622)</f>
        <v/>
      </c>
      <c r="N97" s="12">
        <f ca="1">IF(TOTALCO!N622="", "",TOTALCO!N622)</f>
        <v>2460840.7352863485</v>
      </c>
      <c r="O97" s="12">
        <f ca="1">IF(TOTALCO!O622="", "",TOTALCO!O622)</f>
        <v>767844.74652847636</v>
      </c>
      <c r="P97" s="12">
        <f ca="1">IF(TOTALCO!P622="", "",TOTALCO!P622)</f>
        <v>1692995.988757872</v>
      </c>
      <c r="Q97" s="12"/>
      <c r="R97" s="13"/>
    </row>
    <row r="98" spans="1:18" ht="15" x14ac:dyDescent="0.2">
      <c r="A98" s="382" t="str">
        <f>IF(TOTALCO!A623="", "",TOTALCO!A623)</f>
        <v/>
      </c>
      <c r="B98" s="4" t="str">
        <f>IF(TOTALCO!B623="", "",TOTALCO!B623)</f>
        <v/>
      </c>
      <c r="C98" s="4" t="str">
        <f>IF(TOTALCO!C623="", "",TOTALCO!C623)</f>
        <v/>
      </c>
      <c r="D98" s="12" t="str">
        <f>IF(TOTALCO!D623="", "",TOTALCO!D623)</f>
        <v/>
      </c>
      <c r="E98" s="12" t="str">
        <f>IF(TOTALCO!E623="", "",TOTALCO!E623)</f>
        <v/>
      </c>
      <c r="F98" s="12" t="str">
        <f>IF(TOTALCO!F623="", "",TOTALCO!F623)</f>
        <v/>
      </c>
      <c r="G98" s="12" t="str">
        <f>IF(TOTALCO!G623="", "",TOTALCO!G623)</f>
        <v/>
      </c>
      <c r="H98" s="12" t="str">
        <f>IF(TOTALCO!H623="", "",TOTALCO!H623)</f>
        <v/>
      </c>
      <c r="I98" s="12" t="str">
        <f>IF(TOTALCO!I623="", "",TOTALCO!I623)</f>
        <v/>
      </c>
      <c r="J98" s="12" t="str">
        <f>IF(TOTALCO!J623="", "",TOTALCO!J623)</f>
        <v/>
      </c>
      <c r="K98" s="12" t="str">
        <f>IF(TOTALCO!K623="", "",TOTALCO!K623)</f>
        <v/>
      </c>
      <c r="L98" s="12" t="str">
        <f>IF(TOTALCO!L623="", "",TOTALCO!L623)</f>
        <v/>
      </c>
      <c r="M98" s="12" t="str">
        <f>IF(TOTALCO!M623="", "",TOTALCO!M623)</f>
        <v/>
      </c>
      <c r="N98" s="12" t="str">
        <f>IF(TOTALCO!N623="", "",TOTALCO!N623)</f>
        <v/>
      </c>
      <c r="O98" s="12" t="str">
        <f>IF(TOTALCO!O623="", "",TOTALCO!O623)</f>
        <v/>
      </c>
      <c r="P98" s="12" t="str">
        <f>IF(TOTALCO!P623="", "",TOTALCO!P623)</f>
        <v/>
      </c>
      <c r="Q98" s="12"/>
      <c r="R98" s="13"/>
    </row>
    <row r="99" spans="1:18" ht="15" x14ac:dyDescent="0.2">
      <c r="A99" s="382" t="str">
        <f>IF(TOTALCO!A624="", "",TOTALCO!A624)</f>
        <v/>
      </c>
      <c r="B99" s="4" t="str">
        <f>IF(TOTALCO!B624="", "",TOTALCO!B624)</f>
        <v>OTHER PRODUCTION PLANT</v>
      </c>
      <c r="C99" s="4" t="str">
        <f>IF(TOTALCO!C624="", "",TOTALCO!C624)</f>
        <v/>
      </c>
      <c r="D99" s="12" t="str">
        <f>IF(TOTALCO!D624="", "",TOTALCO!D624)</f>
        <v/>
      </c>
      <c r="E99" s="12" t="str">
        <f>IF(TOTALCO!E624="", "",TOTALCO!E624)</f>
        <v/>
      </c>
      <c r="F99" s="12" t="str">
        <f>IF(TOTALCO!F624="", "",TOTALCO!F624)</f>
        <v/>
      </c>
      <c r="G99" s="12" t="str">
        <f>IF(TOTALCO!G624="", "",TOTALCO!G624)</f>
        <v/>
      </c>
      <c r="H99" s="12" t="str">
        <f>IF(TOTALCO!H624="", "",TOTALCO!H624)</f>
        <v/>
      </c>
      <c r="I99" s="12" t="str">
        <f>IF(TOTALCO!I624="", "",TOTALCO!I624)</f>
        <v/>
      </c>
      <c r="J99" s="12" t="str">
        <f>IF(TOTALCO!J624="", "",TOTALCO!J624)</f>
        <v/>
      </c>
      <c r="K99" s="12" t="str">
        <f>IF(TOTALCO!K624="", "",TOTALCO!K624)</f>
        <v/>
      </c>
      <c r="L99" s="12" t="str">
        <f>IF(TOTALCO!L624="", "",TOTALCO!L624)</f>
        <v/>
      </c>
      <c r="M99" s="12" t="str">
        <f>IF(TOTALCO!M624="", "",TOTALCO!M624)</f>
        <v/>
      </c>
      <c r="N99" s="12" t="str">
        <f>IF(TOTALCO!N624="", "",TOTALCO!N624)</f>
        <v/>
      </c>
      <c r="O99" s="12" t="str">
        <f>IF(TOTALCO!O624="", "",TOTALCO!O624)</f>
        <v/>
      </c>
      <c r="P99" s="12" t="str">
        <f>IF(TOTALCO!P624="", "",TOTALCO!P624)</f>
        <v/>
      </c>
      <c r="Q99" s="12"/>
      <c r="R99" s="13"/>
    </row>
    <row r="100" spans="1:18" ht="15" x14ac:dyDescent="0.2">
      <c r="A100" s="382">
        <f>IF(TOTALCO!A625="", "",TOTALCO!A625)</f>
        <v>26</v>
      </c>
      <c r="B100" s="4" t="str">
        <f>IF(TOTALCO!B625="", "",TOTALCO!B625)</f>
        <v xml:space="preserve"> 340-LAND &amp; LAND RIGHTS</v>
      </c>
      <c r="C100" s="4" t="str">
        <f>IF(TOTALCO!C625="", "",TOTALCO!C625)</f>
        <v>DEMPROD</v>
      </c>
      <c r="D100" s="12">
        <f ca="1">IF(TOTALCO!D625="", "",TOTALCO!D625)</f>
        <v>294923.71999999997</v>
      </c>
      <c r="E100" s="12" t="str">
        <f>IF(TOTALCO!E625="", "",TOTALCO!E625)</f>
        <v/>
      </c>
      <c r="F100" s="12">
        <f ca="1">IF(TOTALCO!F625="", "",TOTALCO!F625)</f>
        <v>255253.58148662237</v>
      </c>
      <c r="G100" s="12" t="str">
        <f>IF(TOTALCO!G625="", "",TOTALCO!G625)</f>
        <v/>
      </c>
      <c r="H100" s="12">
        <f ca="1">IF(TOTALCO!H625="", "",TOTALCO!H625)</f>
        <v>14990.285128288098</v>
      </c>
      <c r="I100" s="12">
        <f ca="1">IF(TOTALCO!I625="", "",TOTALCO!I625)</f>
        <v>24679.8533850895</v>
      </c>
      <c r="J100" s="12" t="str">
        <f>IF(TOTALCO!J625="", "",TOTALCO!J625)</f>
        <v/>
      </c>
      <c r="K100" s="12" t="str">
        <f>IF(TOTALCO!K625="", "",TOTALCO!K625)</f>
        <v/>
      </c>
      <c r="L100" s="12">
        <f ca="1">IF(TOTALCO!L625="", "",TOTALCO!L625)</f>
        <v>2.2568932743583408</v>
      </c>
      <c r="M100" s="12" t="str">
        <f>IF(TOTALCO!M625="", "",TOTALCO!M625)</f>
        <v/>
      </c>
      <c r="N100" s="12">
        <f ca="1">IF(TOTALCO!N625="", "",TOTALCO!N625)</f>
        <v>24677.59649181514</v>
      </c>
      <c r="O100" s="12">
        <f ca="1">IF(TOTALCO!O625="", "",TOTALCO!O625)</f>
        <v>7700.036232123296</v>
      </c>
      <c r="P100" s="12">
        <f ca="1">IF(TOTALCO!P625="", "",TOTALCO!P625)</f>
        <v>16977.560259691843</v>
      </c>
      <c r="Q100" s="12"/>
      <c r="R100" s="13"/>
    </row>
    <row r="101" spans="1:18" ht="15" x14ac:dyDescent="0.2">
      <c r="A101" s="382">
        <f>IF(TOTALCO!A626="", "",TOTALCO!A626)</f>
        <v>27</v>
      </c>
      <c r="B101" s="4" t="str">
        <f>IF(TOTALCO!B626="", "",TOTALCO!B626)</f>
        <v xml:space="preserve"> 341-STRUCTURES AND IMPROVEMENTS</v>
      </c>
      <c r="C101" s="4" t="str">
        <f>IF(TOTALCO!C626="", "",TOTALCO!C626)</f>
        <v>DEMPROD</v>
      </c>
      <c r="D101" s="12">
        <f ca="1">IF(TOTALCO!D626="", "",TOTALCO!D626)</f>
        <v>35819882.469999999</v>
      </c>
      <c r="E101" s="12" t="str">
        <f>IF(TOTALCO!E626="", "",TOTALCO!E626)</f>
        <v/>
      </c>
      <c r="F101" s="12">
        <f ca="1">IF(TOTALCO!F626="", "",TOTALCO!F626)</f>
        <v>31001756.280903354</v>
      </c>
      <c r="G101" s="12" t="str">
        <f>IF(TOTALCO!G626="", "",TOTALCO!G626)</f>
        <v/>
      </c>
      <c r="H101" s="12">
        <f ca="1">IF(TOTALCO!H626="", "",TOTALCO!H626)</f>
        <v>1820641.1186155817</v>
      </c>
      <c r="I101" s="12">
        <f ca="1">IF(TOTALCO!I626="", "",TOTALCO!I626)</f>
        <v>2997485.0704810638</v>
      </c>
      <c r="J101" s="12" t="str">
        <f>IF(TOTALCO!J626="", "",TOTALCO!J626)</f>
        <v/>
      </c>
      <c r="K101" s="12" t="str">
        <f>IF(TOTALCO!K626="", "",TOTALCO!K626)</f>
        <v/>
      </c>
      <c r="L101" s="12">
        <f ca="1">IF(TOTALCO!L626="", "",TOTALCO!L626)</f>
        <v>274.11037618421886</v>
      </c>
      <c r="M101" s="12" t="str">
        <f>IF(TOTALCO!M626="", "",TOTALCO!M626)</f>
        <v/>
      </c>
      <c r="N101" s="12">
        <f ca="1">IF(TOTALCO!N626="", "",TOTALCO!N626)</f>
        <v>2997210.9601048795</v>
      </c>
      <c r="O101" s="12">
        <f ca="1">IF(TOTALCO!O626="", "",TOTALCO!O626)</f>
        <v>935205.86560280097</v>
      </c>
      <c r="P101" s="12">
        <f ca="1">IF(TOTALCO!P626="", "",TOTALCO!P626)</f>
        <v>2062005.0945020786</v>
      </c>
      <c r="Q101" s="12"/>
      <c r="R101" s="13"/>
    </row>
    <row r="102" spans="1:18" ht="15" x14ac:dyDescent="0.2">
      <c r="A102" s="382">
        <f>IF(TOTALCO!A627="", "",TOTALCO!A627)</f>
        <v>28</v>
      </c>
      <c r="B102" s="4" t="str">
        <f>IF(TOTALCO!B627="", "",TOTALCO!B627)</f>
        <v xml:space="preserve"> 342-FUEL HOLDERS, PRODUCERS, ACC</v>
      </c>
      <c r="C102" s="4" t="str">
        <f>IF(TOTALCO!C627="", "",TOTALCO!C627)</f>
        <v>DEMPROD</v>
      </c>
      <c r="D102" s="12">
        <f ca="1">IF(TOTALCO!D627="", "",TOTALCO!D627)</f>
        <v>22685927.640000001</v>
      </c>
      <c r="E102" s="12" t="str">
        <f>IF(TOTALCO!E627="", "",TOTALCO!E627)</f>
        <v/>
      </c>
      <c r="F102" s="12">
        <f ca="1">IF(TOTALCO!F627="", "",TOTALCO!F627)</f>
        <v>19634447.441041227</v>
      </c>
      <c r="G102" s="12" t="str">
        <f>IF(TOTALCO!G627="", "",TOTALCO!G627)</f>
        <v/>
      </c>
      <c r="H102" s="12">
        <f ca="1">IF(TOTALCO!H627="", "",TOTALCO!H627)</f>
        <v>1153072.8139578328</v>
      </c>
      <c r="I102" s="12">
        <f ca="1">IF(TOTALCO!I627="", "",TOTALCO!I627)</f>
        <v>1898407.3850009402</v>
      </c>
      <c r="J102" s="12" t="str">
        <f>IF(TOTALCO!J627="", "",TOTALCO!J627)</f>
        <v/>
      </c>
      <c r="K102" s="12" t="str">
        <f>IF(TOTALCO!K627="", "",TOTALCO!K627)</f>
        <v/>
      </c>
      <c r="L102" s="12">
        <f ca="1">IF(TOTALCO!L627="", "",TOTALCO!L627)</f>
        <v>173.60325413397061</v>
      </c>
      <c r="M102" s="12" t="str">
        <f>IF(TOTALCO!M627="", "",TOTALCO!M627)</f>
        <v/>
      </c>
      <c r="N102" s="12">
        <f ca="1">IF(TOTALCO!N627="", "",TOTALCO!N627)</f>
        <v>1898233.7817468061</v>
      </c>
      <c r="O102" s="12">
        <f ca="1">IF(TOTALCO!O627="", "",TOTALCO!O627)</f>
        <v>592297.10240779328</v>
      </c>
      <c r="P102" s="12">
        <f ca="1">IF(TOTALCO!P627="", "",TOTALCO!P627)</f>
        <v>1305936.6793390128</v>
      </c>
      <c r="Q102" s="12"/>
      <c r="R102" s="13"/>
    </row>
    <row r="103" spans="1:18" ht="15" x14ac:dyDescent="0.2">
      <c r="A103" s="382">
        <f>IF(TOTALCO!A628="", "",TOTALCO!A628)</f>
        <v>29</v>
      </c>
      <c r="B103" s="4" t="str">
        <f>IF(TOTALCO!B628="", "",TOTALCO!B628)</f>
        <v xml:space="preserve"> 343-PRIME MOVERS</v>
      </c>
      <c r="C103" s="4" t="str">
        <f>IF(TOTALCO!C628="", "",TOTALCO!C628)</f>
        <v>DEMPROD</v>
      </c>
      <c r="D103" s="12">
        <f ca="1">IF(TOTALCO!D628="", "",TOTALCO!D628)</f>
        <v>363401097.91000003</v>
      </c>
      <c r="E103" s="12" t="str">
        <f>IF(TOTALCO!E628="", "",TOTALCO!E628)</f>
        <v/>
      </c>
      <c r="F103" s="12">
        <f ca="1">IF(TOTALCO!F628="", "",TOTALCO!F628)</f>
        <v>314520079.15029091</v>
      </c>
      <c r="G103" s="12" t="str">
        <f>IF(TOTALCO!G628="", "",TOTALCO!G628)</f>
        <v/>
      </c>
      <c r="H103" s="12">
        <f ca="1">IF(TOTALCO!H628="", "",TOTALCO!H628)</f>
        <v>18470830.605296314</v>
      </c>
      <c r="I103" s="12">
        <f ca="1">IF(TOTALCO!I628="", "",TOTALCO!I628)</f>
        <v>30410188.154412791</v>
      </c>
      <c r="J103" s="12" t="str">
        <f>IF(TOTALCO!J628="", "",TOTALCO!J628)</f>
        <v/>
      </c>
      <c r="K103" s="12" t="str">
        <f>IF(TOTALCO!K628="", "",TOTALCO!K628)</f>
        <v/>
      </c>
      <c r="L103" s="12">
        <f ca="1">IF(TOTALCO!L628="", "",TOTALCO!L628)</f>
        <v>2780.9139724926704</v>
      </c>
      <c r="M103" s="12" t="str">
        <f>IF(TOTALCO!M628="", "",TOTALCO!M628)</f>
        <v/>
      </c>
      <c r="N103" s="12">
        <f ca="1">IF(TOTALCO!N628="", "",TOTALCO!N628)</f>
        <v>30407407.240440298</v>
      </c>
      <c r="O103" s="12">
        <f ca="1">IF(TOTALCO!O628="", "",TOTALCO!O628)</f>
        <v>9487882.5640080273</v>
      </c>
      <c r="P103" s="12">
        <f ca="1">IF(TOTALCO!P628="", "",TOTALCO!P628)</f>
        <v>20919524.676432271</v>
      </c>
      <c r="Q103" s="12"/>
      <c r="R103" s="13"/>
    </row>
    <row r="104" spans="1:18" ht="15" x14ac:dyDescent="0.2">
      <c r="A104" s="382">
        <f>IF(TOTALCO!A629="", "",TOTALCO!A629)</f>
        <v>30</v>
      </c>
      <c r="B104" s="4" t="str">
        <f>IF(TOTALCO!B629="", "",TOTALCO!B629)</f>
        <v xml:space="preserve"> 344-GENERATORS</v>
      </c>
      <c r="C104" s="4" t="str">
        <f>IF(TOTALCO!C629="", "",TOTALCO!C629)</f>
        <v>DEMPROD</v>
      </c>
      <c r="D104" s="12">
        <f ca="1">IF(TOTALCO!D629="", "",TOTALCO!D629)</f>
        <v>59091568.579999998</v>
      </c>
      <c r="E104" s="12" t="str">
        <f>IF(TOTALCO!E629="", "",TOTALCO!E629)</f>
        <v/>
      </c>
      <c r="F104" s="12">
        <f ca="1">IF(TOTALCO!F629="", "",TOTALCO!F629)</f>
        <v>51143171.921564549</v>
      </c>
      <c r="G104" s="12" t="str">
        <f>IF(TOTALCO!G629="", "",TOTALCO!G629)</f>
        <v/>
      </c>
      <c r="H104" s="12">
        <f ca="1">IF(TOTALCO!H629="", "",TOTALCO!H629)</f>
        <v>3003486.6700175568</v>
      </c>
      <c r="I104" s="12">
        <f ca="1">IF(TOTALCO!I629="", "",TOTALCO!I629)</f>
        <v>4944909.9884178909</v>
      </c>
      <c r="J104" s="12" t="str">
        <f>IF(TOTALCO!J629="", "",TOTALCO!J629)</f>
        <v/>
      </c>
      <c r="K104" s="12" t="str">
        <f>IF(TOTALCO!K629="", "",TOTALCO!K629)</f>
        <v/>
      </c>
      <c r="L104" s="12">
        <f ca="1">IF(TOTALCO!L629="", "",TOTALCO!L629)</f>
        <v>452.19612616946057</v>
      </c>
      <c r="M104" s="12" t="str">
        <f>IF(TOTALCO!M629="", "",TOTALCO!M629)</f>
        <v/>
      </c>
      <c r="N104" s="12">
        <f ca="1">IF(TOTALCO!N629="", "",TOTALCO!N629)</f>
        <v>4944457.7922917213</v>
      </c>
      <c r="O104" s="12">
        <f ca="1">IF(TOTALCO!O629="", "",TOTALCO!O629)</f>
        <v>1542796.2833203059</v>
      </c>
      <c r="P104" s="12">
        <f ca="1">IF(TOTALCO!P629="", "",TOTALCO!P629)</f>
        <v>3401661.5089714159</v>
      </c>
      <c r="Q104" s="12"/>
      <c r="R104" s="13"/>
    </row>
    <row r="105" spans="1:18" ht="15" x14ac:dyDescent="0.2">
      <c r="A105" s="382">
        <f>IF(TOTALCO!A630="", "",TOTALCO!A630)</f>
        <v>31</v>
      </c>
      <c r="B105" s="4" t="str">
        <f>IF(TOTALCO!B630="", "",TOTALCO!B630)</f>
        <v xml:space="preserve"> 345-ACCESSORY ELECTRIC EQUIP</v>
      </c>
      <c r="C105" s="4" t="str">
        <f>IF(TOTALCO!C630="", "",TOTALCO!C630)</f>
        <v>DEMPROD</v>
      </c>
      <c r="D105" s="12">
        <f ca="1">IF(TOTALCO!D630="", "",TOTALCO!D630)</f>
        <v>44623313.05999998</v>
      </c>
      <c r="E105" s="12" t="str">
        <f>IF(TOTALCO!E630="", "",TOTALCO!E630)</f>
        <v/>
      </c>
      <c r="F105" s="12">
        <f ca="1">IF(TOTALCO!F630="", "",TOTALCO!F630)</f>
        <v>38621038.946490191</v>
      </c>
      <c r="G105" s="12" t="str">
        <f>IF(TOTALCO!G630="", "",TOTALCO!G630)</f>
        <v/>
      </c>
      <c r="H105" s="12">
        <f ca="1">IF(TOTALCO!H630="", "",TOTALCO!H630)</f>
        <v>2268098.9719587895</v>
      </c>
      <c r="I105" s="12">
        <f ca="1">IF(TOTALCO!I630="", "",TOTALCO!I630)</f>
        <v>3734175.1415510061</v>
      </c>
      <c r="J105" s="12" t="str">
        <f>IF(TOTALCO!J630="", "",TOTALCO!J630)</f>
        <v/>
      </c>
      <c r="K105" s="12" t="str">
        <f>IF(TOTALCO!K630="", "",TOTALCO!K630)</f>
        <v/>
      </c>
      <c r="L105" s="12">
        <f ca="1">IF(TOTALCO!L630="", "",TOTALCO!L630)</f>
        <v>341.47831556139562</v>
      </c>
      <c r="M105" s="12" t="str">
        <f>IF(TOTALCO!M630="", "",TOTALCO!M630)</f>
        <v/>
      </c>
      <c r="N105" s="12">
        <f ca="1">IF(TOTALCO!N630="", "",TOTALCO!N630)</f>
        <v>3733833.6632354446</v>
      </c>
      <c r="O105" s="12">
        <f ca="1">IF(TOTALCO!O630="", "",TOTALCO!O630)</f>
        <v>1165050.8387707188</v>
      </c>
      <c r="P105" s="12">
        <f ca="1">IF(TOTALCO!P630="", "",TOTALCO!P630)</f>
        <v>2568782.8244647258</v>
      </c>
      <c r="Q105" s="12"/>
      <c r="R105" s="13"/>
    </row>
    <row r="106" spans="1:18" ht="15" x14ac:dyDescent="0.2">
      <c r="A106" s="382">
        <f>IF(TOTALCO!A631="", "",TOTALCO!A631)</f>
        <v>32</v>
      </c>
      <c r="B106" s="4" t="str">
        <f>IF(TOTALCO!B631="", "",TOTALCO!B631)</f>
        <v xml:space="preserve"> 346-MISC POWER PLANT EQUIP</v>
      </c>
      <c r="C106" s="4" t="str">
        <f>IF(TOTALCO!C631="", "",TOTALCO!C631)</f>
        <v>DEMPROD</v>
      </c>
      <c r="D106" s="12">
        <f ca="1">IF(TOTALCO!D631="", "",TOTALCO!D631)</f>
        <v>5356925.4699999988</v>
      </c>
      <c r="E106" s="12" t="str">
        <f>IF(TOTALCO!E631="", "",TOTALCO!E631)</f>
        <v/>
      </c>
      <c r="F106" s="12">
        <f ca="1">IF(TOTALCO!F631="", "",TOTALCO!F631)</f>
        <v>4636366.3525416255</v>
      </c>
      <c r="G106" s="12" t="str">
        <f>IF(TOTALCO!G631="", "",TOTALCO!G631)</f>
        <v/>
      </c>
      <c r="H106" s="12">
        <f ca="1">IF(TOTALCO!H631="", "",TOTALCO!H631)</f>
        <v>272280.03297357267</v>
      </c>
      <c r="I106" s="12">
        <f ca="1">IF(TOTALCO!I631="", "",TOTALCO!I631)</f>
        <v>448279.08448480046</v>
      </c>
      <c r="J106" s="12" t="str">
        <f>IF(TOTALCO!J631="", "",TOTALCO!J631)</f>
        <v/>
      </c>
      <c r="K106" s="12" t="str">
        <f>IF(TOTALCO!K631="", "",TOTALCO!K631)</f>
        <v/>
      </c>
      <c r="L106" s="12">
        <f ca="1">IF(TOTALCO!L631="", "",TOTALCO!L631)</f>
        <v>40.993681567836902</v>
      </c>
      <c r="M106" s="12" t="str">
        <f>IF(TOTALCO!M631="", "",TOTALCO!M631)</f>
        <v/>
      </c>
      <c r="N106" s="12">
        <f ca="1">IF(TOTALCO!N631="", "",TOTALCO!N631)</f>
        <v>448238.09080323263</v>
      </c>
      <c r="O106" s="12">
        <f ca="1">IF(TOTALCO!O631="", "",TOTALCO!O631)</f>
        <v>139861.65714912355</v>
      </c>
      <c r="P106" s="12">
        <f ca="1">IF(TOTALCO!P631="", "",TOTALCO!P631)</f>
        <v>308376.43365410907</v>
      </c>
      <c r="Q106" s="12"/>
      <c r="R106" s="13"/>
    </row>
    <row r="107" spans="1:18" ht="15" x14ac:dyDescent="0.2">
      <c r="A107" s="382">
        <f>IF(TOTALCO!A632="", "",TOTALCO!A632)</f>
        <v>33</v>
      </c>
      <c r="B107" s="4" t="str">
        <f>IF(TOTALCO!B632="", "",TOTALCO!B632)</f>
        <v xml:space="preserve"> 347-ARO COST OTHER PROD EQUIP</v>
      </c>
      <c r="C107" s="4" t="str">
        <f>IF(TOTALCO!C632="", "",TOTALCO!C632)</f>
        <v>DEMPROD</v>
      </c>
      <c r="D107" s="12">
        <f ca="1">IF(TOTALCO!D632="", "",TOTALCO!D632)</f>
        <v>17790.809999999998</v>
      </c>
      <c r="E107" s="12" t="str">
        <f>IF(TOTALCO!E632="", "",TOTALCO!E632)</f>
        <v/>
      </c>
      <c r="F107" s="12">
        <f ca="1">IF(TOTALCO!F632="", "",TOTALCO!F632)</f>
        <v>15397.771227244848</v>
      </c>
      <c r="G107" s="12" t="str">
        <f>IF(TOTALCO!G632="", "",TOTALCO!G632)</f>
        <v/>
      </c>
      <c r="H107" s="12">
        <f ca="1">IF(TOTALCO!H632="", "",TOTALCO!H632)</f>
        <v>904.26539636486064</v>
      </c>
      <c r="I107" s="12">
        <f ca="1">IF(TOTALCO!I632="", "",TOTALCO!I632)</f>
        <v>1488.7733763902886</v>
      </c>
      <c r="J107" s="12" t="str">
        <f>IF(TOTALCO!J632="", "",TOTALCO!J632)</f>
        <v/>
      </c>
      <c r="K107" s="12" t="str">
        <f>IF(TOTALCO!K632="", "",TOTALCO!K632)</f>
        <v/>
      </c>
      <c r="L107" s="12">
        <f ca="1">IF(TOTALCO!L632="", "",TOTALCO!L632)</f>
        <v>0.13614354055478178</v>
      </c>
      <c r="M107" s="12" t="str">
        <f>IF(TOTALCO!M632="", "",TOTALCO!M632)</f>
        <v/>
      </c>
      <c r="N107" s="12">
        <f ca="1">IF(TOTALCO!N632="", "",TOTALCO!N632)</f>
        <v>1488.6372328497339</v>
      </c>
      <c r="O107" s="12">
        <f ca="1">IF(TOTALCO!O632="", "",TOTALCO!O632)</f>
        <v>464.49258675708228</v>
      </c>
      <c r="P107" s="12">
        <f ca="1">IF(TOTALCO!P632="", "",TOTALCO!P632)</f>
        <v>1024.1446460926516</v>
      </c>
      <c r="Q107" s="12"/>
      <c r="R107" s="13"/>
    </row>
    <row r="108" spans="1:18" ht="15" x14ac:dyDescent="0.2">
      <c r="A108" s="382">
        <f>IF(TOTALCO!A633="", "",TOTALCO!A633)</f>
        <v>34</v>
      </c>
      <c r="B108" s="4" t="str">
        <f>IF(TOTALCO!B633="", "",TOTALCO!B633)</f>
        <v xml:space="preserve"> FERC-AFUDC PRE</v>
      </c>
      <c r="C108" s="4" t="str">
        <f>IF(TOTALCO!C633="", "",TOTALCO!C633)</f>
        <v>DEMFERC</v>
      </c>
      <c r="D108" s="12">
        <f ca="1">IF(TOTALCO!D633="", "",TOTALCO!D633)</f>
        <v>2004.8500000000001</v>
      </c>
      <c r="E108" s="12" t="str">
        <f>IF(TOTALCO!E633="", "",TOTALCO!E633)</f>
        <v/>
      </c>
      <c r="F108" s="12">
        <f ca="1">IF(TOTALCO!F633="", "",TOTALCO!F633)</f>
        <v>0</v>
      </c>
      <c r="G108" s="12" t="str">
        <f>IF(TOTALCO!G633="", "",TOTALCO!G633)</f>
        <v/>
      </c>
      <c r="H108" s="12">
        <f ca="1">IF(TOTALCO!H633="", "",TOTALCO!H633)</f>
        <v>757.62233605682968</v>
      </c>
      <c r="I108" s="12">
        <f ca="1">IF(TOTALCO!I633="", "",TOTALCO!I633)</f>
        <v>1247.2276639431705</v>
      </c>
      <c r="J108" s="12" t="str">
        <f>IF(TOTALCO!J633="", "",TOTALCO!J633)</f>
        <v/>
      </c>
      <c r="K108" s="12" t="str">
        <f>IF(TOTALCO!K633="", "",TOTALCO!K633)</f>
        <v/>
      </c>
      <c r="L108" s="12">
        <f ca="1">IF(TOTALCO!L633="", "",TOTALCO!L633)</f>
        <v>0</v>
      </c>
      <c r="M108" s="12" t="str">
        <f>IF(TOTALCO!M633="", "",TOTALCO!M633)</f>
        <v/>
      </c>
      <c r="N108" s="12">
        <f ca="1">IF(TOTALCO!N633="", "",TOTALCO!N633)</f>
        <v>1247.2276639431705</v>
      </c>
      <c r="O108" s="12">
        <f ca="1">IF(TOTALCO!O633="", "",TOTALCO!O633)</f>
        <v>389.16667614912109</v>
      </c>
      <c r="P108" s="12">
        <f ca="1">IF(TOTALCO!P633="", "",TOTALCO!P633)</f>
        <v>858.06098779404931</v>
      </c>
      <c r="Q108" s="12"/>
      <c r="R108" s="13"/>
    </row>
    <row r="109" spans="1:18" ht="15" x14ac:dyDescent="0.2">
      <c r="A109" s="382">
        <f>IF(TOTALCO!A634="", "",TOTALCO!A634)</f>
        <v>35</v>
      </c>
      <c r="B109" s="4" t="str">
        <f>IF(TOTALCO!B634="", "",TOTALCO!B634)</f>
        <v xml:space="preserve"> FERC-AFUDC POST</v>
      </c>
      <c r="C109" s="4" t="str">
        <f>IF(TOTALCO!C634="", "",TOTALCO!C634)</f>
        <v>DEMFERCP</v>
      </c>
      <c r="D109" s="12">
        <f ca="1">IF(TOTALCO!D634="", "",TOTALCO!D634)</f>
        <v>2089710.4699999997</v>
      </c>
      <c r="E109" s="12" t="str">
        <f>IF(TOTALCO!E634="", "",TOTALCO!E634)</f>
        <v/>
      </c>
      <c r="F109" s="12">
        <f ca="1">IF(TOTALCO!F634="", "",TOTALCO!F634)</f>
        <v>0</v>
      </c>
      <c r="G109" s="12" t="str">
        <f>IF(TOTALCO!G634="", "",TOTALCO!G634)</f>
        <v/>
      </c>
      <c r="H109" s="12">
        <f ca="1">IF(TOTALCO!H634="", "",TOTALCO!H634)</f>
        <v>0</v>
      </c>
      <c r="I109" s="12">
        <f ca="1">IF(TOTALCO!I634="", "",TOTALCO!I634)</f>
        <v>2089710.4699999997</v>
      </c>
      <c r="J109" s="12" t="str">
        <f>IF(TOTALCO!J634="", "",TOTALCO!J634)</f>
        <v/>
      </c>
      <c r="K109" s="12" t="str">
        <f>IF(TOTALCO!K634="", "",TOTALCO!K634)</f>
        <v/>
      </c>
      <c r="L109" s="12">
        <f ca="1">IF(TOTALCO!L634="", "",TOTALCO!L634)</f>
        <v>0</v>
      </c>
      <c r="M109" s="12" t="str">
        <f>IF(TOTALCO!M634="", "",TOTALCO!M634)</f>
        <v/>
      </c>
      <c r="N109" s="12">
        <f ca="1">IF(TOTALCO!N634="", "",TOTALCO!N634)</f>
        <v>2089710.4699999997</v>
      </c>
      <c r="O109" s="12">
        <f ca="1">IF(TOTALCO!O634="", "",TOTALCO!O634)</f>
        <v>652042.68734130077</v>
      </c>
      <c r="P109" s="12">
        <f ca="1">IF(TOTALCO!P634="", "",TOTALCO!P634)</f>
        <v>1437667.782658699</v>
      </c>
      <c r="Q109" s="12"/>
      <c r="R109" s="13"/>
    </row>
    <row r="110" spans="1:18" ht="15" x14ac:dyDescent="0.2">
      <c r="A110" s="382">
        <f>IF(TOTALCO!A635="", "",TOTALCO!A635)</f>
        <v>36</v>
      </c>
      <c r="B110" s="4" t="str">
        <f>IF(TOTALCO!B635="", "",TOTALCO!B635)</f>
        <v xml:space="preserve"> TOTAL OTHER PROD PLANT</v>
      </c>
      <c r="C110" s="4" t="str">
        <f>IF(TOTALCO!C635="", "",TOTALCO!C635)</f>
        <v/>
      </c>
      <c r="D110" s="12">
        <f ca="1">IF(TOTALCO!D635="", "",TOTALCO!D635)</f>
        <v>533383144.98000002</v>
      </c>
      <c r="E110" s="12" t="str">
        <f>IF(TOTALCO!E635="", "",TOTALCO!E635)</f>
        <v/>
      </c>
      <c r="F110" s="12">
        <f ca="1">IF(TOTALCO!F635="", "",TOTALCO!F635)</f>
        <v>459827511.44554573</v>
      </c>
      <c r="G110" s="12" t="str">
        <f>IF(TOTALCO!G635="", "",TOTALCO!G635)</f>
        <v/>
      </c>
      <c r="H110" s="12">
        <f ca="1">IF(TOTALCO!H635="", "",TOTALCO!H635)</f>
        <v>27005062.385680355</v>
      </c>
      <c r="I110" s="12">
        <f ca="1">IF(TOTALCO!I635="", "",TOTALCO!I635)</f>
        <v>46550571.148773916</v>
      </c>
      <c r="J110" s="12" t="str">
        <f>IF(TOTALCO!J635="", "",TOTALCO!J635)</f>
        <v/>
      </c>
      <c r="K110" s="12" t="str">
        <f>IF(TOTALCO!K635="", "",TOTALCO!K635)</f>
        <v/>
      </c>
      <c r="L110" s="12">
        <f ca="1">IF(TOTALCO!L635="", "",TOTALCO!L635)</f>
        <v>4065.6887629244661</v>
      </c>
      <c r="M110" s="12" t="str">
        <f>IF(TOTALCO!M635="", "",TOTALCO!M635)</f>
        <v/>
      </c>
      <c r="N110" s="12">
        <f ca="1">IF(TOTALCO!N635="", "",TOTALCO!N635)</f>
        <v>46546505.460010991</v>
      </c>
      <c r="O110" s="12">
        <f ca="1">IF(TOTALCO!O635="", "",TOTALCO!O635)</f>
        <v>14523690.694095101</v>
      </c>
      <c r="P110" s="12">
        <f ca="1">IF(TOTALCO!P635="", "",TOTALCO!P635)</f>
        <v>32022814.765915893</v>
      </c>
      <c r="Q110" s="12"/>
      <c r="R110" s="13"/>
    </row>
    <row r="111" spans="1:18" ht="15" x14ac:dyDescent="0.2">
      <c r="A111" s="382" t="str">
        <f>IF(TOTALCO!A636="", "",TOTALCO!A636)</f>
        <v/>
      </c>
      <c r="B111" s="4" t="str">
        <f>IF(TOTALCO!B636="", "",TOTALCO!B636)</f>
        <v/>
      </c>
      <c r="C111" s="4" t="str">
        <f>IF(TOTALCO!C636="", "",TOTALCO!C636)</f>
        <v/>
      </c>
      <c r="D111" s="12" t="str">
        <f>IF(TOTALCO!D636="", "",TOTALCO!D636)</f>
        <v/>
      </c>
      <c r="E111" s="12" t="str">
        <f>IF(TOTALCO!E636="", "",TOTALCO!E636)</f>
        <v/>
      </c>
      <c r="F111" s="12" t="str">
        <f>IF(TOTALCO!F636="", "",TOTALCO!F636)</f>
        <v/>
      </c>
      <c r="G111" s="12" t="str">
        <f>IF(TOTALCO!G636="", "",TOTALCO!G636)</f>
        <v/>
      </c>
      <c r="H111" s="12" t="str">
        <f>IF(TOTALCO!H636="", "",TOTALCO!H636)</f>
        <v/>
      </c>
      <c r="I111" s="12" t="str">
        <f>IF(TOTALCO!I636="", "",TOTALCO!I636)</f>
        <v/>
      </c>
      <c r="J111" s="12" t="str">
        <f>IF(TOTALCO!J636="", "",TOTALCO!J636)</f>
        <v/>
      </c>
      <c r="K111" s="12" t="str">
        <f>IF(TOTALCO!K636="", "",TOTALCO!K636)</f>
        <v/>
      </c>
      <c r="L111" s="12" t="str">
        <f>IF(TOTALCO!L636="", "",TOTALCO!L636)</f>
        <v/>
      </c>
      <c r="M111" s="12" t="str">
        <f>IF(TOTALCO!M636="", "",TOTALCO!M636)</f>
        <v/>
      </c>
      <c r="N111" s="12" t="str">
        <f>IF(TOTALCO!N636="", "",TOTALCO!N636)</f>
        <v/>
      </c>
      <c r="O111" s="12" t="str">
        <f>IF(TOTALCO!O636="", "",TOTALCO!O636)</f>
        <v/>
      </c>
      <c r="P111" s="12" t="str">
        <f>IF(TOTALCO!P636="", "",TOTALCO!P636)</f>
        <v/>
      </c>
      <c r="Q111" s="12"/>
      <c r="R111" s="13"/>
    </row>
    <row r="112" spans="1:18" ht="15" x14ac:dyDescent="0.2">
      <c r="A112" s="382">
        <f>IF(TOTALCO!A637="", "",TOTALCO!A637)</f>
        <v>37</v>
      </c>
      <c r="B112" s="4" t="str">
        <f>IF(TOTALCO!B637="", "",TOTALCO!B637)</f>
        <v>TOTAL PRODUCTION PLANT</v>
      </c>
      <c r="C112" s="4" t="str">
        <f>IF(TOTALCO!C637="", "",TOTALCO!C637)</f>
        <v/>
      </c>
      <c r="D112" s="12">
        <f ca="1">IF(TOTALCO!D637="", "",TOTALCO!D637)</f>
        <v>4189773097.6700006</v>
      </c>
      <c r="E112" s="12" t="str">
        <f>IF(TOTALCO!E637="", "",TOTALCO!E637)</f>
        <v/>
      </c>
      <c r="F112" s="12">
        <f ca="1">IF(TOTALCO!F637="", "",TOTALCO!F637)</f>
        <v>3590352277.8244367</v>
      </c>
      <c r="G112" s="12" t="str">
        <f>IF(TOTALCO!G637="", "",TOTALCO!G637)</f>
        <v/>
      </c>
      <c r="H112" s="12">
        <f ca="1">IF(TOTALCO!H637="", "",TOTALCO!H637)</f>
        <v>217317282.19570932</v>
      </c>
      <c r="I112" s="12">
        <f ca="1">IF(TOTALCO!I637="", "",TOTALCO!I637)</f>
        <v>382103537.64985466</v>
      </c>
      <c r="J112" s="12" t="str">
        <f>IF(TOTALCO!J637="", "",TOTALCO!J637)</f>
        <v/>
      </c>
      <c r="K112" s="12" t="str">
        <f>IF(TOTALCO!K637="", "",TOTALCO!K637)</f>
        <v/>
      </c>
      <c r="L112" s="12">
        <f ca="1">IF(TOTALCO!L637="", "",TOTALCO!L637)</f>
        <v>31745.066459816917</v>
      </c>
      <c r="M112" s="12" t="str">
        <f>IF(TOTALCO!M637="", "",TOTALCO!M637)</f>
        <v/>
      </c>
      <c r="N112" s="12">
        <f ca="1">IF(TOTALCO!N637="", "",TOTALCO!N637)</f>
        <v>382071792.58339483</v>
      </c>
      <c r="O112" s="12">
        <f ca="1">IF(TOTALCO!O637="", "",TOTALCO!O637)</f>
        <v>119216093.31525475</v>
      </c>
      <c r="P112" s="12">
        <f ca="1">IF(TOTALCO!P637="", "",TOTALCO!P637)</f>
        <v>262855699.26814008</v>
      </c>
      <c r="Q112" s="12"/>
      <c r="R112" s="13"/>
    </row>
    <row r="113" spans="1:18" ht="15" x14ac:dyDescent="0.2">
      <c r="A113" s="382" t="str">
        <f>IF(TOTALCO!A638="", "",TOTALCO!A638)</f>
        <v/>
      </c>
      <c r="B113" s="4" t="str">
        <f>IF(TOTALCO!B638="", "",TOTALCO!B638)</f>
        <v/>
      </c>
      <c r="C113" s="4" t="str">
        <f>IF(TOTALCO!C638="", "",TOTALCO!C638)</f>
        <v/>
      </c>
      <c r="D113" s="12" t="str">
        <f>IF(TOTALCO!D638="", "",TOTALCO!D638)</f>
        <v/>
      </c>
      <c r="E113" s="12" t="str">
        <f>IF(TOTALCO!E638="", "",TOTALCO!E638)</f>
        <v/>
      </c>
      <c r="F113" s="12" t="str">
        <f>IF(TOTALCO!F638="", "",TOTALCO!F638)</f>
        <v/>
      </c>
      <c r="G113" s="12" t="str">
        <f>IF(TOTALCO!G638="", "",TOTALCO!G638)</f>
        <v/>
      </c>
      <c r="H113" s="12" t="str">
        <f>IF(TOTALCO!H638="", "",TOTALCO!H638)</f>
        <v/>
      </c>
      <c r="I113" s="12" t="str">
        <f>IF(TOTALCO!I638="", "",TOTALCO!I638)</f>
        <v/>
      </c>
      <c r="J113" s="12" t="str">
        <f>IF(TOTALCO!J638="", "",TOTALCO!J638)</f>
        <v/>
      </c>
      <c r="K113" s="12" t="str">
        <f>IF(TOTALCO!K638="", "",TOTALCO!K638)</f>
        <v/>
      </c>
      <c r="L113" s="12" t="str">
        <f>IF(TOTALCO!L638="", "",TOTALCO!L638)</f>
        <v/>
      </c>
      <c r="M113" s="12" t="str">
        <f>IF(TOTALCO!M638="", "",TOTALCO!M638)</f>
        <v/>
      </c>
      <c r="N113" s="12" t="str">
        <f>IF(TOTALCO!N638="", "",TOTALCO!N638)</f>
        <v/>
      </c>
      <c r="O113" s="12" t="str">
        <f>IF(TOTALCO!O638="", "",TOTALCO!O638)</f>
        <v/>
      </c>
      <c r="P113" s="12" t="str">
        <f>IF(TOTALCO!P638="", "",TOTALCO!P638)</f>
        <v/>
      </c>
      <c r="Q113" s="12"/>
      <c r="R113" s="13"/>
    </row>
    <row r="114" spans="1:18" ht="15" x14ac:dyDescent="0.2">
      <c r="A114" s="382" t="str">
        <f>IF(TOTALCO!A639="", "",TOTALCO!A639)</f>
        <v/>
      </c>
      <c r="B114" s="4" t="str">
        <f>IF(TOTALCO!B639="", "",TOTALCO!B639)</f>
        <v>ELECTRIC PLANT IN SERVICE CON'T</v>
      </c>
      <c r="C114" s="4" t="str">
        <f>IF(TOTALCO!C639="", "",TOTALCO!C639)</f>
        <v/>
      </c>
      <c r="D114" s="12" t="str">
        <f>IF(TOTALCO!D639="", "",TOTALCO!D639)</f>
        <v/>
      </c>
      <c r="E114" s="12" t="str">
        <f>IF(TOTALCO!E639="", "",TOTALCO!E639)</f>
        <v/>
      </c>
      <c r="F114" s="12" t="str">
        <f>IF(TOTALCO!F639="", "",TOTALCO!F639)</f>
        <v/>
      </c>
      <c r="G114" s="12" t="str">
        <f>IF(TOTALCO!G639="", "",TOTALCO!G639)</f>
        <v/>
      </c>
      <c r="H114" s="12" t="str">
        <f>IF(TOTALCO!H639="", "",TOTALCO!H639)</f>
        <v/>
      </c>
      <c r="I114" s="12" t="str">
        <f>IF(TOTALCO!I639="", "",TOTALCO!I639)</f>
        <v/>
      </c>
      <c r="J114" s="12" t="str">
        <f>IF(TOTALCO!J639="", "",TOTALCO!J639)</f>
        <v/>
      </c>
      <c r="K114" s="12" t="str">
        <f>IF(TOTALCO!K639="", "",TOTALCO!K639)</f>
        <v/>
      </c>
      <c r="L114" s="12" t="str">
        <f>IF(TOTALCO!L639="", "",TOTALCO!L639)</f>
        <v/>
      </c>
      <c r="M114" s="12" t="str">
        <f>IF(TOTALCO!M639="", "",TOTALCO!M639)</f>
        <v/>
      </c>
      <c r="N114" s="12" t="str">
        <f>IF(TOTALCO!N639="", "",TOTALCO!N639)</f>
        <v/>
      </c>
      <c r="O114" s="12" t="str">
        <f>IF(TOTALCO!O639="", "",TOTALCO!O639)</f>
        <v/>
      </c>
      <c r="P114" s="12" t="str">
        <f>IF(TOTALCO!P639="", "",TOTALCO!P639)</f>
        <v/>
      </c>
      <c r="Q114" s="12"/>
      <c r="R114" s="13"/>
    </row>
    <row r="115" spans="1:18" ht="15" x14ac:dyDescent="0.2">
      <c r="A115" s="382" t="str">
        <f>IF(TOTALCO!A640="", "",TOTALCO!A640)</f>
        <v/>
      </c>
      <c r="B115" s="4" t="str">
        <f>IF(TOTALCO!B640="", "",TOTALCO!B640)</f>
        <v/>
      </c>
      <c r="C115" s="4" t="str">
        <f>IF(TOTALCO!C640="", "",TOTALCO!C640)</f>
        <v/>
      </c>
      <c r="D115" s="12" t="str">
        <f>IF(TOTALCO!D640="", "",TOTALCO!D640)</f>
        <v/>
      </c>
      <c r="E115" s="12" t="str">
        <f>IF(TOTALCO!E640="", "",TOTALCO!E640)</f>
        <v/>
      </c>
      <c r="F115" s="12" t="str">
        <f>IF(TOTALCO!F640="", "",TOTALCO!F640)</f>
        <v/>
      </c>
      <c r="G115" s="12" t="str">
        <f>IF(TOTALCO!G640="", "",TOTALCO!G640)</f>
        <v/>
      </c>
      <c r="H115" s="12" t="str">
        <f>IF(TOTALCO!H640="", "",TOTALCO!H640)</f>
        <v/>
      </c>
      <c r="I115" s="12" t="str">
        <f>IF(TOTALCO!I640="", "",TOTALCO!I640)</f>
        <v/>
      </c>
      <c r="J115" s="12" t="str">
        <f>IF(TOTALCO!J640="", "",TOTALCO!J640)</f>
        <v/>
      </c>
      <c r="K115" s="12" t="str">
        <f>IF(TOTALCO!K640="", "",TOTALCO!K640)</f>
        <v/>
      </c>
      <c r="L115" s="12" t="str">
        <f>IF(TOTALCO!L640="", "",TOTALCO!L640)</f>
        <v/>
      </c>
      <c r="M115" s="12" t="str">
        <f>IF(TOTALCO!M640="", "",TOTALCO!M640)</f>
        <v/>
      </c>
      <c r="N115" s="12" t="str">
        <f>IF(TOTALCO!N640="", "",TOTALCO!N640)</f>
        <v/>
      </c>
      <c r="O115" s="12" t="str">
        <f>IF(TOTALCO!O640="", "",TOTALCO!O640)</f>
        <v/>
      </c>
      <c r="P115" s="12" t="str">
        <f>IF(TOTALCO!P640="", "",TOTALCO!P640)</f>
        <v/>
      </c>
      <c r="Q115" s="12"/>
      <c r="R115" s="13"/>
    </row>
    <row r="116" spans="1:18" ht="15" x14ac:dyDescent="0.2">
      <c r="A116" s="382" t="str">
        <f>IF(TOTALCO!A641="", "",TOTALCO!A641)</f>
        <v/>
      </c>
      <c r="B116" s="4" t="str">
        <f>IF(TOTALCO!B641="", "",TOTALCO!B641)</f>
        <v>TRANSMISSION PLANT</v>
      </c>
      <c r="C116" s="4" t="str">
        <f>IF(TOTALCO!C641="", "",TOTALCO!C641)</f>
        <v/>
      </c>
      <c r="D116" s="12" t="str">
        <f>IF(TOTALCO!D641="", "",TOTALCO!D641)</f>
        <v/>
      </c>
      <c r="E116" s="12" t="str">
        <f>IF(TOTALCO!E641="", "",TOTALCO!E641)</f>
        <v/>
      </c>
      <c r="F116" s="12" t="str">
        <f>IF(TOTALCO!F641="", "",TOTALCO!F641)</f>
        <v/>
      </c>
      <c r="G116" s="12" t="str">
        <f>IF(TOTALCO!G641="", "",TOTALCO!G641)</f>
        <v/>
      </c>
      <c r="H116" s="12" t="str">
        <f>IF(TOTALCO!H641="", "",TOTALCO!H641)</f>
        <v/>
      </c>
      <c r="I116" s="12" t="str">
        <f>IF(TOTALCO!I641="", "",TOTALCO!I641)</f>
        <v/>
      </c>
      <c r="J116" s="12" t="str">
        <f>IF(TOTALCO!J641="", "",TOTALCO!J641)</f>
        <v/>
      </c>
      <c r="K116" s="12" t="str">
        <f>IF(TOTALCO!K641="", "",TOTALCO!K641)</f>
        <v/>
      </c>
      <c r="L116" s="12" t="str">
        <f>IF(TOTALCO!L641="", "",TOTALCO!L641)</f>
        <v/>
      </c>
      <c r="M116" s="12" t="str">
        <f>IF(TOTALCO!M641="", "",TOTALCO!M641)</f>
        <v/>
      </c>
      <c r="N116" s="12" t="str">
        <f>IF(TOTALCO!N641="", "",TOTALCO!N641)</f>
        <v/>
      </c>
      <c r="O116" s="12" t="str">
        <f>IF(TOTALCO!O641="", "",TOTALCO!O641)</f>
        <v/>
      </c>
      <c r="P116" s="12" t="str">
        <f>IF(TOTALCO!P641="", "",TOTALCO!P641)</f>
        <v/>
      </c>
      <c r="Q116" s="12"/>
      <c r="R116" s="13"/>
    </row>
    <row r="117" spans="1:18" ht="15" x14ac:dyDescent="0.2">
      <c r="A117" s="382" t="str">
        <f>IF(TOTALCO!A642="", "",TOTALCO!A642)</f>
        <v/>
      </c>
      <c r="B117" s="4" t="str">
        <f>IF(TOTALCO!B642="", "",TOTALCO!B642)</f>
        <v>KENTUCKY SYSTEM PROPERTY</v>
      </c>
      <c r="C117" s="4" t="str">
        <f>IF(TOTALCO!C642="", "",TOTALCO!C642)</f>
        <v/>
      </c>
      <c r="D117" s="12" t="str">
        <f>IF(TOTALCO!D642="", "",TOTALCO!D642)</f>
        <v/>
      </c>
      <c r="E117" s="12" t="str">
        <f>IF(TOTALCO!E642="", "",TOTALCO!E642)</f>
        <v/>
      </c>
      <c r="F117" s="12" t="str">
        <f>IF(TOTALCO!F642="", "",TOTALCO!F642)</f>
        <v/>
      </c>
      <c r="G117" s="12" t="str">
        <f>IF(TOTALCO!G642="", "",TOTALCO!G642)</f>
        <v/>
      </c>
      <c r="H117" s="12" t="str">
        <f>IF(TOTALCO!H642="", "",TOTALCO!H642)</f>
        <v/>
      </c>
      <c r="I117" s="12" t="str">
        <f>IF(TOTALCO!I642="", "",TOTALCO!I642)</f>
        <v/>
      </c>
      <c r="J117" s="12" t="str">
        <f>IF(TOTALCO!J642="", "",TOTALCO!J642)</f>
        <v/>
      </c>
      <c r="K117" s="12" t="str">
        <f>IF(TOTALCO!K642="", "",TOTALCO!K642)</f>
        <v/>
      </c>
      <c r="L117" s="12" t="str">
        <f>IF(TOTALCO!L642="", "",TOTALCO!L642)</f>
        <v/>
      </c>
      <c r="M117" s="12" t="str">
        <f>IF(TOTALCO!M642="", "",TOTALCO!M642)</f>
        <v/>
      </c>
      <c r="N117" s="12" t="str">
        <f>IF(TOTALCO!N642="", "",TOTALCO!N642)</f>
        <v/>
      </c>
      <c r="O117" s="12" t="str">
        <f>IF(TOTALCO!O642="", "",TOTALCO!O642)</f>
        <v/>
      </c>
      <c r="P117" s="12" t="str">
        <f>IF(TOTALCO!P642="", "",TOTALCO!P642)</f>
        <v/>
      </c>
      <c r="Q117" s="12"/>
      <c r="R117" s="13"/>
    </row>
    <row r="118" spans="1:18" ht="15" x14ac:dyDescent="0.2">
      <c r="A118" s="382">
        <f>IF(TOTALCO!A643="", "",TOTALCO!A643)</f>
        <v>1</v>
      </c>
      <c r="B118" s="4" t="str">
        <f>IF(TOTALCO!B643="", "",TOTALCO!B643)</f>
        <v xml:space="preserve"> 350-LAND &amp; LAND RIGHTS</v>
      </c>
      <c r="C118" s="4" t="str">
        <f>IF(TOTALCO!C643="", "",TOTALCO!C643)</f>
        <v>DEMTRAN</v>
      </c>
      <c r="D118" s="12">
        <f ca="1">IF(TOTALCO!D643="", "",TOTALCO!D643)</f>
        <v>23367025.390000001</v>
      </c>
      <c r="E118" s="12" t="str">
        <f>IF(TOTALCO!E643="", "",TOTALCO!E643)</f>
        <v/>
      </c>
      <c r="F118" s="12">
        <f ca="1">IF(TOTALCO!F643="", "",TOTALCO!F643)</f>
        <v>20223930.850615676</v>
      </c>
      <c r="G118" s="12" t="str">
        <f>IF(TOTALCO!G643="", "",TOTALCO!G643)</f>
        <v/>
      </c>
      <c r="H118" s="12">
        <f ca="1">IF(TOTALCO!H643="", "",TOTALCO!H643)</f>
        <v>1187691.424738734</v>
      </c>
      <c r="I118" s="12">
        <f ca="1">IF(TOTALCO!I643="", "",TOTALCO!I643)</f>
        <v>1955403.1146455898</v>
      </c>
      <c r="J118" s="12" t="str">
        <f>IF(TOTALCO!J643="", "",TOTALCO!J643)</f>
        <v/>
      </c>
      <c r="K118" s="12" t="str">
        <f>IF(TOTALCO!K643="", "",TOTALCO!K643)</f>
        <v/>
      </c>
      <c r="L118" s="12">
        <f ca="1">IF(TOTALCO!L643="", "",TOTALCO!L643)</f>
        <v>178.81533043341372</v>
      </c>
      <c r="M118" s="12" t="str">
        <f>IF(TOTALCO!M643="", "",TOTALCO!M643)</f>
        <v/>
      </c>
      <c r="N118" s="12">
        <f ca="1">IF(TOTALCO!N643="", "",TOTALCO!N643)</f>
        <v>1955224.2993151564</v>
      </c>
      <c r="O118" s="12">
        <f ca="1">IF(TOTALCO!O643="", "",TOTALCO!O643)</f>
        <v>610079.58986800048</v>
      </c>
      <c r="P118" s="12">
        <f ca="1">IF(TOTALCO!P643="", "",TOTALCO!P643)</f>
        <v>1345144.7094471559</v>
      </c>
      <c r="Q118" s="12"/>
      <c r="R118" s="13"/>
    </row>
    <row r="119" spans="1:18" ht="15" x14ac:dyDescent="0.2">
      <c r="A119" s="382">
        <f>IF(TOTALCO!A644="", "",TOTALCO!A644)</f>
        <v>2</v>
      </c>
      <c r="B119" s="4" t="str">
        <f>IF(TOTALCO!B644="", "",TOTALCO!B644)</f>
        <v xml:space="preserve"> 352-STRUCTURES AND IMPROVEMENTS</v>
      </c>
      <c r="C119" s="4" t="str">
        <f>IF(TOTALCO!C644="", "",TOTALCO!C644)</f>
        <v>DEMTRAN</v>
      </c>
      <c r="D119" s="12">
        <f ca="1">IF(TOTALCO!D644="", "",TOTALCO!D644)</f>
        <v>16662947.760000004</v>
      </c>
      <c r="E119" s="12" t="str">
        <f>IF(TOTALCO!E644="", "",TOTALCO!E644)</f>
        <v/>
      </c>
      <c r="F119" s="12">
        <f ca="1">IF(TOTALCO!F644="", "",TOTALCO!F644)</f>
        <v>14421617.541866396</v>
      </c>
      <c r="G119" s="12" t="str">
        <f>IF(TOTALCO!G644="", "",TOTALCO!G644)</f>
        <v/>
      </c>
      <c r="H119" s="12">
        <f ca="1">IF(TOTALCO!H644="", "",TOTALCO!H644)</f>
        <v>846938.7881048345</v>
      </c>
      <c r="I119" s="12">
        <f ca="1">IF(TOTALCO!I644="", "",TOTALCO!I644)</f>
        <v>1394391.4300287736</v>
      </c>
      <c r="J119" s="12" t="str">
        <f>IF(TOTALCO!J644="", "",TOTALCO!J644)</f>
        <v/>
      </c>
      <c r="K119" s="12" t="str">
        <f>IF(TOTALCO!K644="", "",TOTALCO!K644)</f>
        <v/>
      </c>
      <c r="L119" s="12">
        <f ca="1">IF(TOTALCO!L644="", "",TOTALCO!L644)</f>
        <v>127.51261489082123</v>
      </c>
      <c r="M119" s="12" t="str">
        <f>IF(TOTALCO!M644="", "",TOTALCO!M644)</f>
        <v/>
      </c>
      <c r="N119" s="12">
        <f ca="1">IF(TOTALCO!N644="", "",TOTALCO!N644)</f>
        <v>1394263.9174138827</v>
      </c>
      <c r="O119" s="12">
        <f ca="1">IF(TOTALCO!O644="", "",TOTALCO!O644)</f>
        <v>435045.71787571971</v>
      </c>
      <c r="P119" s="12">
        <f ca="1">IF(TOTALCO!P644="", "",TOTALCO!P644)</f>
        <v>959218.19953816303</v>
      </c>
      <c r="Q119" s="12"/>
      <c r="R119" s="13"/>
    </row>
    <row r="120" spans="1:18" ht="15" x14ac:dyDescent="0.2">
      <c r="A120" s="382">
        <f>IF(TOTALCO!A645="", "",TOTALCO!A645)</f>
        <v>3</v>
      </c>
      <c r="B120" s="4" t="str">
        <f>IF(TOTALCO!B645="", "",TOTALCO!B645)</f>
        <v xml:space="preserve"> 353-STATION EQUIPMENT</v>
      </c>
      <c r="C120" s="4" t="str">
        <f>IF(TOTALCO!C645="", "",TOTALCO!C645)</f>
        <v>DEMTRAN</v>
      </c>
      <c r="D120" s="12">
        <f ca="1">IF(TOTALCO!D645="", "",TOTALCO!D645)</f>
        <v>189274083.45999998</v>
      </c>
      <c r="E120" s="12" t="str">
        <f>IF(TOTALCO!E645="", "",TOTALCO!E645)</f>
        <v/>
      </c>
      <c r="F120" s="12">
        <f ca="1">IF(TOTALCO!F645="", "",TOTALCO!F645)</f>
        <v>163814859.26517838</v>
      </c>
      <c r="G120" s="12" t="str">
        <f>IF(TOTALCO!G645="", "",TOTALCO!G645)</f>
        <v/>
      </c>
      <c r="H120" s="12">
        <f ca="1">IF(TOTALCO!H645="", "",TOTALCO!H645)</f>
        <v>9620360.4052627515</v>
      </c>
      <c r="I120" s="12">
        <f ca="1">IF(TOTALCO!I645="", "",TOTALCO!I645)</f>
        <v>15838863.78955885</v>
      </c>
      <c r="J120" s="12" t="str">
        <f>IF(TOTALCO!J645="", "",TOTALCO!J645)</f>
        <v/>
      </c>
      <c r="K120" s="12" t="str">
        <f>IF(TOTALCO!K645="", "",TOTALCO!K645)</f>
        <v/>
      </c>
      <c r="L120" s="12">
        <f ca="1">IF(TOTALCO!L645="", "",TOTALCO!L645)</f>
        <v>1448.413189590899</v>
      </c>
      <c r="M120" s="12" t="str">
        <f>IF(TOTALCO!M645="", "",TOTALCO!M645)</f>
        <v/>
      </c>
      <c r="N120" s="12">
        <f ca="1">IF(TOTALCO!N645="", "",TOTALCO!N645)</f>
        <v>15837415.37636926</v>
      </c>
      <c r="O120" s="12">
        <f ca="1">IF(TOTALCO!O645="", "",TOTALCO!O645)</f>
        <v>4941675.4286292354</v>
      </c>
      <c r="P120" s="12">
        <f ca="1">IF(TOTALCO!P645="", "",TOTALCO!P645)</f>
        <v>10895739.947740024</v>
      </c>
      <c r="Q120" s="12"/>
      <c r="R120" s="13"/>
    </row>
    <row r="121" spans="1:18" ht="15" x14ac:dyDescent="0.2">
      <c r="A121" s="382">
        <f>IF(TOTALCO!A646="", "",TOTALCO!A646)</f>
        <v>4</v>
      </c>
      <c r="B121" s="4" t="str">
        <f>IF(TOTALCO!B646="", "",TOTALCO!B646)</f>
        <v xml:space="preserve"> 354-TOWERS AND FIXTURES</v>
      </c>
      <c r="C121" s="4" t="str">
        <f>IF(TOTALCO!C646="", "",TOTALCO!C646)</f>
        <v>DEMTRAN</v>
      </c>
      <c r="D121" s="12">
        <f ca="1">IF(TOTALCO!D646="", "",TOTALCO!D646)</f>
        <v>86348154.789999992</v>
      </c>
      <c r="E121" s="12" t="str">
        <f>IF(TOTALCO!E646="", "",TOTALCO!E646)</f>
        <v/>
      </c>
      <c r="F121" s="12">
        <f ca="1">IF(TOTALCO!F646="", "",TOTALCO!F646)</f>
        <v>74733479.439730197</v>
      </c>
      <c r="G121" s="12" t="str">
        <f>IF(TOTALCO!G646="", "",TOTALCO!G646)</f>
        <v/>
      </c>
      <c r="H121" s="12">
        <f ca="1">IF(TOTALCO!H646="", "",TOTALCO!H646)</f>
        <v>4388875.4034556989</v>
      </c>
      <c r="I121" s="12">
        <f ca="1">IF(TOTALCO!I646="", "",TOTALCO!I646)</f>
        <v>7225799.9468140891</v>
      </c>
      <c r="J121" s="12" t="str">
        <f>IF(TOTALCO!J646="", "",TOTALCO!J646)</f>
        <v/>
      </c>
      <c r="K121" s="12" t="str">
        <f>IF(TOTALCO!K646="", "",TOTALCO!K646)</f>
        <v/>
      </c>
      <c r="L121" s="12">
        <f ca="1">IF(TOTALCO!L646="", "",TOTALCO!L646)</f>
        <v>660.77618239320987</v>
      </c>
      <c r="M121" s="12" t="str">
        <f>IF(TOTALCO!M646="", "",TOTALCO!M646)</f>
        <v/>
      </c>
      <c r="N121" s="12">
        <f ca="1">IF(TOTALCO!N646="", "",TOTALCO!N646)</f>
        <v>7225139.1706316955</v>
      </c>
      <c r="O121" s="12">
        <f ca="1">IF(TOTALCO!O646="", "",TOTALCO!O646)</f>
        <v>2254426.7394294045</v>
      </c>
      <c r="P121" s="12">
        <f ca="1">IF(TOTALCO!P646="", "",TOTALCO!P646)</f>
        <v>4970712.4312022915</v>
      </c>
      <c r="Q121" s="12"/>
      <c r="R121" s="13"/>
    </row>
    <row r="122" spans="1:18" ht="15" x14ac:dyDescent="0.2">
      <c r="A122" s="382">
        <f>IF(TOTALCO!A647="", "",TOTALCO!A647)</f>
        <v>5</v>
      </c>
      <c r="B122" s="4" t="str">
        <f>IF(TOTALCO!B647="", "",TOTALCO!B647)</f>
        <v xml:space="preserve"> 355-POLES AND FIXTURES</v>
      </c>
      <c r="C122" s="4" t="str">
        <f>IF(TOTALCO!C647="", "",TOTALCO!C647)</f>
        <v>DEMTRAN</v>
      </c>
      <c r="D122" s="12">
        <f ca="1">IF(TOTALCO!D647="", "",TOTALCO!D647)</f>
        <v>142592931.88000003</v>
      </c>
      <c r="E122" s="12" t="str">
        <f>IF(TOTALCO!E647="", "",TOTALCO!E647)</f>
        <v/>
      </c>
      <c r="F122" s="12">
        <f ca="1">IF(TOTALCO!F647="", "",TOTALCO!F647)</f>
        <v>123412781.30171417</v>
      </c>
      <c r="G122" s="12" t="str">
        <f>IF(TOTALCO!G647="", "",TOTALCO!G647)</f>
        <v/>
      </c>
      <c r="H122" s="12">
        <f ca="1">IF(TOTALCO!H647="", "",TOTALCO!H647)</f>
        <v>7247666.2987967273</v>
      </c>
      <c r="I122" s="12">
        <f ca="1">IF(TOTALCO!I647="", "",TOTALCO!I647)</f>
        <v>11932484.279489135</v>
      </c>
      <c r="J122" s="12" t="str">
        <f>IF(TOTALCO!J647="", "",TOTALCO!J647)</f>
        <v/>
      </c>
      <c r="K122" s="12" t="str">
        <f>IF(TOTALCO!K647="", "",TOTALCO!K647)</f>
        <v/>
      </c>
      <c r="L122" s="12">
        <f ca="1">IF(TOTALCO!L647="", "",TOTALCO!L647)</f>
        <v>1091.1873379699982</v>
      </c>
      <c r="M122" s="12" t="str">
        <f>IF(TOTALCO!M647="", "",TOTALCO!M647)</f>
        <v/>
      </c>
      <c r="N122" s="12">
        <f ca="1">IF(TOTALCO!N647="", "",TOTALCO!N647)</f>
        <v>11931393.092151165</v>
      </c>
      <c r="O122" s="12">
        <f ca="1">IF(TOTALCO!O647="", "",TOTALCO!O647)</f>
        <v>3722897.3712954973</v>
      </c>
      <c r="P122" s="12">
        <f ca="1">IF(TOTALCO!P647="", "",TOTALCO!P647)</f>
        <v>8208495.7208556673</v>
      </c>
      <c r="Q122" s="12"/>
      <c r="R122" s="13"/>
    </row>
    <row r="123" spans="1:18" ht="15" x14ac:dyDescent="0.2">
      <c r="A123" s="382">
        <f>IF(TOTALCO!A648="", "",TOTALCO!A648)</f>
        <v>6</v>
      </c>
      <c r="B123" s="4" t="str">
        <f>IF(TOTALCO!B648="", "",TOTALCO!B648)</f>
        <v xml:space="preserve"> 356-OH CONDUCTORS AND DEVICES</v>
      </c>
      <c r="C123" s="4" t="str">
        <f>IF(TOTALCO!C648="", "",TOTALCO!C648)</f>
        <v>DEMTRAN</v>
      </c>
      <c r="D123" s="12">
        <f ca="1">IF(TOTALCO!D648="", "",TOTALCO!D648)</f>
        <v>150242446.98000002</v>
      </c>
      <c r="E123" s="12" t="str">
        <f>IF(TOTALCO!E648="", "",TOTALCO!E648)</f>
        <v/>
      </c>
      <c r="F123" s="12">
        <f ca="1">IF(TOTALCO!F648="", "",TOTALCO!F648)</f>
        <v>130033361.4500691</v>
      </c>
      <c r="G123" s="12" t="str">
        <f>IF(TOTALCO!G648="", "",TOTALCO!G648)</f>
        <v/>
      </c>
      <c r="H123" s="12">
        <f ca="1">IF(TOTALCO!H648="", "",TOTALCO!H648)</f>
        <v>7636473.3179206718</v>
      </c>
      <c r="I123" s="12">
        <f ca="1">IF(TOTALCO!I648="", "",TOTALCO!I648)</f>
        <v>12572612.21201022</v>
      </c>
      <c r="J123" s="12" t="str">
        <f>IF(TOTALCO!J648="", "",TOTALCO!J648)</f>
        <v/>
      </c>
      <c r="K123" s="12" t="str">
        <f>IF(TOTALCO!K648="", "",TOTALCO!K648)</f>
        <v/>
      </c>
      <c r="L123" s="12">
        <f ca="1">IF(TOTALCO!L648="", "",TOTALCO!L648)</f>
        <v>1149.7249801145247</v>
      </c>
      <c r="M123" s="12" t="str">
        <f>IF(TOTALCO!M648="", "",TOTALCO!M648)</f>
        <v/>
      </c>
      <c r="N123" s="12">
        <f ca="1">IF(TOTALCO!N648="", "",TOTALCO!N648)</f>
        <v>12571462.487030106</v>
      </c>
      <c r="O123" s="12">
        <f ca="1">IF(TOTALCO!O648="", "",TOTALCO!O648)</f>
        <v>3922615.2625121619</v>
      </c>
      <c r="P123" s="12">
        <f ca="1">IF(TOTALCO!P648="", "",TOTALCO!P648)</f>
        <v>8648847.2245179433</v>
      </c>
      <c r="Q123" s="12"/>
      <c r="R123" s="13"/>
    </row>
    <row r="124" spans="1:18" ht="15" x14ac:dyDescent="0.2">
      <c r="A124" s="382">
        <f>IF(TOTALCO!A649="", "",TOTALCO!A649)</f>
        <v>7</v>
      </c>
      <c r="B124" s="4" t="str">
        <f>IF(TOTALCO!B649="", "",TOTALCO!B649)</f>
        <v xml:space="preserve"> 357-UNDERGROUND CONDUIT</v>
      </c>
      <c r="C124" s="4" t="str">
        <f>IF(TOTALCO!C649="", "",TOTALCO!C649)</f>
        <v>DEMTRAN</v>
      </c>
      <c r="D124" s="12">
        <f ca="1">IF(TOTALCO!D649="", "",TOTALCO!D649)</f>
        <v>447363.25999999995</v>
      </c>
      <c r="E124" s="12" t="str">
        <f>IF(TOTALCO!E649="", "",TOTALCO!E649)</f>
        <v/>
      </c>
      <c r="F124" s="12">
        <f ca="1">IF(TOTALCO!F649="", "",TOTALCO!F649)</f>
        <v>387188.5053549814</v>
      </c>
      <c r="G124" s="12" t="str">
        <f>IF(TOTALCO!G649="", "",TOTALCO!G649)</f>
        <v/>
      </c>
      <c r="H124" s="12">
        <f ca="1">IF(TOTALCO!H649="", "",TOTALCO!H649)</f>
        <v>22738.431562305272</v>
      </c>
      <c r="I124" s="12">
        <f ca="1">IF(TOTALCO!I649="", "",TOTALCO!I649)</f>
        <v>37436.323082713301</v>
      </c>
      <c r="J124" s="12" t="str">
        <f>IF(TOTALCO!J649="", "",TOTALCO!J649)</f>
        <v/>
      </c>
      <c r="K124" s="12" t="str">
        <f>IF(TOTALCO!K649="", "",TOTALCO!K649)</f>
        <v/>
      </c>
      <c r="L124" s="12">
        <f ca="1">IF(TOTALCO!L649="", "",TOTALCO!L649)</f>
        <v>3.4234314306391558</v>
      </c>
      <c r="M124" s="12" t="str">
        <f>IF(TOTALCO!M649="", "",TOTALCO!M649)</f>
        <v/>
      </c>
      <c r="N124" s="12">
        <f ca="1">IF(TOTALCO!N649="", "",TOTALCO!N649)</f>
        <v>37432.899651282663</v>
      </c>
      <c r="O124" s="12">
        <f ca="1">IF(TOTALCO!O649="", "",TOTALCO!O649)</f>
        <v>11680.014448891377</v>
      </c>
      <c r="P124" s="12">
        <f ca="1">IF(TOTALCO!P649="", "",TOTALCO!P649)</f>
        <v>25752.885202391288</v>
      </c>
      <c r="Q124" s="12"/>
      <c r="R124" s="13"/>
    </row>
    <row r="125" spans="1:18" ht="15" x14ac:dyDescent="0.2">
      <c r="A125" s="382">
        <f>IF(TOTALCO!A650="", "",TOTALCO!A650)</f>
        <v>8</v>
      </c>
      <c r="B125" s="4" t="str">
        <f>IF(TOTALCO!B650="", "",TOTALCO!B650)</f>
        <v xml:space="preserve"> 358-UG CONDUCTORS AND DEVICES</v>
      </c>
      <c r="C125" s="4" t="str">
        <f>IF(TOTALCO!C650="", "",TOTALCO!C650)</f>
        <v>DEMTRAN</v>
      </c>
      <c r="D125" s="12">
        <f ca="1">IF(TOTALCO!D650="", "",TOTALCO!D650)</f>
        <v>1158210.29</v>
      </c>
      <c r="E125" s="12" t="str">
        <f>IF(TOTALCO!E650="", "",TOTALCO!E650)</f>
        <v/>
      </c>
      <c r="F125" s="12">
        <f ca="1">IF(TOTALCO!F650="", "",TOTALCO!F650)</f>
        <v>1002419.6244274946</v>
      </c>
      <c r="G125" s="12" t="str">
        <f>IF(TOTALCO!G650="", "",TOTALCO!G650)</f>
        <v/>
      </c>
      <c r="H125" s="12">
        <f ca="1">IF(TOTALCO!H650="", "",TOTALCO!H650)</f>
        <v>58869.128890742482</v>
      </c>
      <c r="I125" s="12">
        <f ca="1">IF(TOTALCO!I650="", "",TOTALCO!I650)</f>
        <v>96921.536681762969</v>
      </c>
      <c r="J125" s="12" t="str">
        <f>IF(TOTALCO!J650="", "",TOTALCO!J650)</f>
        <v/>
      </c>
      <c r="K125" s="12" t="str">
        <f>IF(TOTALCO!K650="", "",TOTALCO!K650)</f>
        <v/>
      </c>
      <c r="L125" s="12">
        <f ca="1">IF(TOTALCO!L650="", "",TOTALCO!L650)</f>
        <v>8.8631630368477108</v>
      </c>
      <c r="M125" s="12" t="str">
        <f>IF(TOTALCO!M650="", "",TOTALCO!M650)</f>
        <v/>
      </c>
      <c r="N125" s="12">
        <f ca="1">IF(TOTALCO!N650="", "",TOTALCO!N650)</f>
        <v>96912.673518726122</v>
      </c>
      <c r="O125" s="12">
        <f ca="1">IF(TOTALCO!O650="", "",TOTALCO!O650)</f>
        <v>30239.213032502204</v>
      </c>
      <c r="P125" s="12">
        <f ca="1">IF(TOTALCO!P650="", "",TOTALCO!P650)</f>
        <v>66673.460486223921</v>
      </c>
      <c r="Q125" s="12"/>
      <c r="R125" s="13"/>
    </row>
    <row r="126" spans="1:18" ht="15" x14ac:dyDescent="0.2">
      <c r="A126" s="382">
        <f>IF(TOTALCO!A651="", "",TOTALCO!A651)</f>
        <v>9</v>
      </c>
      <c r="B126" s="4" t="str">
        <f>IF(TOTALCO!B651="", "",TOTALCO!B651)</f>
        <v xml:space="preserve"> 359-ARO COST KY TRANS</v>
      </c>
      <c r="C126" s="4" t="str">
        <f>IF(TOTALCO!C651="", "",TOTALCO!C651)</f>
        <v>DEMTRAN</v>
      </c>
      <c r="D126" s="12">
        <f ca="1">IF(TOTALCO!D651="", "",TOTALCO!D651)</f>
        <v>539999.49</v>
      </c>
      <c r="E126" s="12" t="str">
        <f>IF(TOTALCO!E651="", "",TOTALCO!E651)</f>
        <v/>
      </c>
      <c r="F126" s="12">
        <f ca="1">IF(TOTALCO!F651="", "",TOTALCO!F651)</f>
        <v>467364.2520969474</v>
      </c>
      <c r="G126" s="12" t="str">
        <f>IF(TOTALCO!G651="", "",TOTALCO!G651)</f>
        <v/>
      </c>
      <c r="H126" s="12">
        <f ca="1">IF(TOTALCO!H651="", "",TOTALCO!H651)</f>
        <v>27446.915169217853</v>
      </c>
      <c r="I126" s="12">
        <f ca="1">IF(TOTALCO!I651="", "",TOTALCO!I651)</f>
        <v>45188.322733834713</v>
      </c>
      <c r="J126" s="12" t="str">
        <f>IF(TOTALCO!J651="", "",TOTALCO!J651)</f>
        <v/>
      </c>
      <c r="K126" s="12" t="str">
        <f>IF(TOTALCO!K651="", "",TOTALCO!K651)</f>
        <v/>
      </c>
      <c r="L126" s="12">
        <f ca="1">IF(TOTALCO!L651="", "",TOTALCO!L651)</f>
        <v>4.1323268848566475</v>
      </c>
      <c r="M126" s="12" t="str">
        <f>IF(TOTALCO!M651="", "",TOTALCO!M651)</f>
        <v/>
      </c>
      <c r="N126" s="12">
        <f ca="1">IF(TOTALCO!N651="", "",TOTALCO!N651)</f>
        <v>45184.190406949856</v>
      </c>
      <c r="O126" s="12">
        <f ca="1">IF(TOTALCO!O651="", "",TOTALCO!O651)</f>
        <v>14098.613832512698</v>
      </c>
      <c r="P126" s="12">
        <f ca="1">IF(TOTALCO!P651="", "",TOTALCO!P651)</f>
        <v>31085.57657443716</v>
      </c>
      <c r="Q126" s="12"/>
      <c r="R126" s="13"/>
    </row>
    <row r="127" spans="1:18" ht="15" x14ac:dyDescent="0.2">
      <c r="A127" s="382">
        <f>IF(TOTALCO!A652="", "",TOTALCO!A652)</f>
        <v>10</v>
      </c>
      <c r="B127" s="4" t="str">
        <f>IF(TOTALCO!B652="", "",TOTALCO!B652)</f>
        <v xml:space="preserve"> FERC-AFUDC PRE</v>
      </c>
      <c r="C127" s="4" t="str">
        <f>IF(TOTALCO!C652="", "",TOTALCO!C652)</f>
        <v>DEMFERCT</v>
      </c>
      <c r="D127" s="12">
        <f ca="1">IF(TOTALCO!D652="", "",TOTALCO!D652)</f>
        <v>3160679.6300000004</v>
      </c>
      <c r="E127" s="12" t="str">
        <f>IF(TOTALCO!E652="", "",TOTALCO!E652)</f>
        <v/>
      </c>
      <c r="F127" s="12">
        <f ca="1">IF(TOTALCO!F652="", "",TOTALCO!F652)</f>
        <v>0</v>
      </c>
      <c r="G127" s="12" t="str">
        <f>IF(TOTALCO!G652="", "",TOTALCO!G652)</f>
        <v/>
      </c>
      <c r="H127" s="12">
        <f ca="1">IF(TOTALCO!H652="", "",TOTALCO!H652)</f>
        <v>1194404.3119474456</v>
      </c>
      <c r="I127" s="12">
        <f ca="1">IF(TOTALCO!I652="", "",TOTALCO!I652)</f>
        <v>1966275.3180525547</v>
      </c>
      <c r="J127" s="12" t="str">
        <f>IF(TOTALCO!J652="", "",TOTALCO!J652)</f>
        <v/>
      </c>
      <c r="K127" s="12" t="str">
        <f>IF(TOTALCO!K652="", "",TOTALCO!K652)</f>
        <v/>
      </c>
      <c r="L127" s="12">
        <f ca="1">IF(TOTALCO!L652="", "",TOTALCO!L652)</f>
        <v>0</v>
      </c>
      <c r="M127" s="12" t="str">
        <f>IF(TOTALCO!M652="", "",TOTALCO!M652)</f>
        <v/>
      </c>
      <c r="N127" s="12">
        <f ca="1">IF(TOTALCO!N652="", "",TOTALCO!N652)</f>
        <v>1966275.3180525547</v>
      </c>
      <c r="O127" s="12">
        <f ca="1">IF(TOTALCO!O652="", "",TOTALCO!O652)</f>
        <v>613527.78810351598</v>
      </c>
      <c r="P127" s="12">
        <f ca="1">IF(TOTALCO!P652="", "",TOTALCO!P652)</f>
        <v>1352747.5299490388</v>
      </c>
      <c r="Q127" s="12"/>
      <c r="R127" s="13"/>
    </row>
    <row r="128" spans="1:18" ht="15" x14ac:dyDescent="0.2">
      <c r="A128" s="382">
        <f>IF(TOTALCO!A653="", "",TOTALCO!A653)</f>
        <v>11</v>
      </c>
      <c r="B128" s="4" t="str">
        <f>IF(TOTALCO!B653="", "",TOTALCO!B653)</f>
        <v xml:space="preserve"> FERC-AFUDC POST</v>
      </c>
      <c r="C128" s="4" t="str">
        <f>IF(TOTALCO!C653="", "",TOTALCO!C653)</f>
        <v>DFERCTP</v>
      </c>
      <c r="D128" s="12">
        <f ca="1">IF(TOTALCO!D653="", "",TOTALCO!D653)</f>
        <v>1422356.29</v>
      </c>
      <c r="E128" s="12" t="str">
        <f>IF(TOTALCO!E653="", "",TOTALCO!E653)</f>
        <v/>
      </c>
      <c r="F128" s="12">
        <f ca="1">IF(TOTALCO!F653="", "",TOTALCO!F653)</f>
        <v>0</v>
      </c>
      <c r="G128" s="12" t="str">
        <f>IF(TOTALCO!G653="", "",TOTALCO!G653)</f>
        <v/>
      </c>
      <c r="H128" s="12">
        <f ca="1">IF(TOTALCO!H653="", "",TOTALCO!H653)</f>
        <v>0</v>
      </c>
      <c r="I128" s="12">
        <f ca="1">IF(TOTALCO!I653="", "",TOTALCO!I653)</f>
        <v>1422356.29</v>
      </c>
      <c r="J128" s="12" t="str">
        <f>IF(TOTALCO!J653="", "",TOTALCO!J653)</f>
        <v/>
      </c>
      <c r="K128" s="12" t="str">
        <f>IF(TOTALCO!K653="", "",TOTALCO!K653)</f>
        <v/>
      </c>
      <c r="L128" s="12">
        <f ca="1">IF(TOTALCO!L653="", "",TOTALCO!L653)</f>
        <v>0</v>
      </c>
      <c r="M128" s="12" t="str">
        <f>IF(TOTALCO!M653="", "",TOTALCO!M653)</f>
        <v/>
      </c>
      <c r="N128" s="12">
        <f ca="1">IF(TOTALCO!N653="", "",TOTALCO!N653)</f>
        <v>1422356.29</v>
      </c>
      <c r="O128" s="12">
        <f ca="1">IF(TOTALCO!O653="", "",TOTALCO!O653)</f>
        <v>443811.25088989129</v>
      </c>
      <c r="P128" s="12">
        <f ca="1">IF(TOTALCO!P653="", "",TOTALCO!P653)</f>
        <v>978545.03911010874</v>
      </c>
      <c r="Q128" s="12"/>
      <c r="R128" s="13"/>
    </row>
    <row r="129" spans="1:18" ht="15" x14ac:dyDescent="0.2">
      <c r="A129" s="382">
        <f>IF(TOTALCO!A654="", "",TOTALCO!A654)</f>
        <v>12</v>
      </c>
      <c r="B129" s="4" t="str">
        <f>IF(TOTALCO!B654="", "",TOTALCO!B654)</f>
        <v>TOTAL KENTUCKY SYSTEM PROPERTY</v>
      </c>
      <c r="C129" s="4" t="str">
        <f>IF(TOTALCO!C654="", "",TOTALCO!C654)</f>
        <v/>
      </c>
      <c r="D129" s="12">
        <f ca="1">IF(TOTALCO!D654="", "",TOTALCO!D654)</f>
        <v>615216199.21999991</v>
      </c>
      <c r="E129" s="12" t="str">
        <f>IF(TOTALCO!E654="", "",TOTALCO!E654)</f>
        <v/>
      </c>
      <c r="F129" s="12">
        <f ca="1">IF(TOTALCO!F654="", "",TOTALCO!F654)</f>
        <v>528497002.23105335</v>
      </c>
      <c r="G129" s="12" t="str">
        <f>IF(TOTALCO!G654="", "",TOTALCO!G654)</f>
        <v/>
      </c>
      <c r="H129" s="12">
        <f ca="1">IF(TOTALCO!H654="", "",TOTALCO!H654)</f>
        <v>32231464.425849125</v>
      </c>
      <c r="I129" s="12">
        <f ca="1">IF(TOTALCO!I654="", "",TOTALCO!I654)</f>
        <v>54487732.563097522</v>
      </c>
      <c r="J129" s="12" t="str">
        <f>IF(TOTALCO!J654="", "",TOTALCO!J654)</f>
        <v/>
      </c>
      <c r="K129" s="12" t="str">
        <f>IF(TOTALCO!K654="", "",TOTALCO!K654)</f>
        <v/>
      </c>
      <c r="L129" s="12">
        <f ca="1">IF(TOTALCO!L654="", "",TOTALCO!L654)</f>
        <v>4672.8485567452108</v>
      </c>
      <c r="M129" s="12" t="str">
        <f>IF(TOTALCO!M654="", "",TOTALCO!M654)</f>
        <v/>
      </c>
      <c r="N129" s="12">
        <f ca="1">IF(TOTALCO!N654="", "",TOTALCO!N654)</f>
        <v>54483059.71454078</v>
      </c>
      <c r="O129" s="12">
        <f ca="1">IF(TOTALCO!O654="", "",TOTALCO!O654)</f>
        <v>17000096.98991733</v>
      </c>
      <c r="P129" s="12">
        <f ca="1">IF(TOTALCO!P654="", "",TOTALCO!P654)</f>
        <v>37482962.724623449</v>
      </c>
      <c r="Q129" s="12"/>
      <c r="R129" s="13"/>
    </row>
    <row r="130" spans="1:18" ht="15" x14ac:dyDescent="0.2">
      <c r="A130" s="382" t="str">
        <f>IF(TOTALCO!A655="", "",TOTALCO!A655)</f>
        <v/>
      </c>
      <c r="B130" s="4" t="str">
        <f>IF(TOTALCO!B655="", "",TOTALCO!B655)</f>
        <v/>
      </c>
      <c r="C130" s="4" t="str">
        <f>IF(TOTALCO!C655="", "",TOTALCO!C655)</f>
        <v/>
      </c>
      <c r="D130" s="12" t="str">
        <f>IF(TOTALCO!D655="", "",TOTALCO!D655)</f>
        <v/>
      </c>
      <c r="E130" s="12" t="str">
        <f>IF(TOTALCO!E655="", "",TOTALCO!E655)</f>
        <v/>
      </c>
      <c r="F130" s="12" t="str">
        <f>IF(TOTALCO!F655="", "",TOTALCO!F655)</f>
        <v/>
      </c>
      <c r="G130" s="12" t="str">
        <f>IF(TOTALCO!G655="", "",TOTALCO!G655)</f>
        <v/>
      </c>
      <c r="H130" s="12" t="str">
        <f>IF(TOTALCO!H655="", "",TOTALCO!H655)</f>
        <v/>
      </c>
      <c r="I130" s="12" t="str">
        <f>IF(TOTALCO!I655="", "",TOTALCO!I655)</f>
        <v/>
      </c>
      <c r="J130" s="12" t="str">
        <f>IF(TOTALCO!J655="", "",TOTALCO!J655)</f>
        <v/>
      </c>
      <c r="K130" s="12" t="str">
        <f>IF(TOTALCO!K655="", "",TOTALCO!K655)</f>
        <v/>
      </c>
      <c r="L130" s="12" t="str">
        <f>IF(TOTALCO!L655="", "",TOTALCO!L655)</f>
        <v/>
      </c>
      <c r="M130" s="12" t="str">
        <f>IF(TOTALCO!M655="", "",TOTALCO!M655)</f>
        <v/>
      </c>
      <c r="N130" s="12" t="str">
        <f>IF(TOTALCO!N655="", "",TOTALCO!N655)</f>
        <v/>
      </c>
      <c r="O130" s="12" t="str">
        <f>IF(TOTALCO!O655="", "",TOTALCO!O655)</f>
        <v/>
      </c>
      <c r="P130" s="12" t="str">
        <f>IF(TOTALCO!P655="", "",TOTALCO!P655)</f>
        <v/>
      </c>
      <c r="Q130" s="12"/>
      <c r="R130" s="13"/>
    </row>
    <row r="131" spans="1:18" ht="15" x14ac:dyDescent="0.2">
      <c r="A131" s="382" t="str">
        <f>IF(TOTALCO!A656="", "",TOTALCO!A656)</f>
        <v/>
      </c>
      <c r="B131" s="4" t="str">
        <f>IF(TOTALCO!B656="", "",TOTALCO!B656)</f>
        <v>VIRGINIA PROPERTY</v>
      </c>
      <c r="C131" s="4" t="str">
        <f>IF(TOTALCO!C656="", "",TOTALCO!C656)</f>
        <v/>
      </c>
      <c r="D131" s="12" t="str">
        <f>IF(TOTALCO!D656="", "",TOTALCO!D656)</f>
        <v/>
      </c>
      <c r="E131" s="12" t="str">
        <f>IF(TOTALCO!E656="", "",TOTALCO!E656)</f>
        <v/>
      </c>
      <c r="F131" s="12" t="str">
        <f>IF(TOTALCO!F656="", "",TOTALCO!F656)</f>
        <v/>
      </c>
      <c r="G131" s="12" t="str">
        <f>IF(TOTALCO!G656="", "",TOTALCO!G656)</f>
        <v/>
      </c>
      <c r="H131" s="12" t="str">
        <f>IF(TOTALCO!H656="", "",TOTALCO!H656)</f>
        <v/>
      </c>
      <c r="I131" s="12" t="str">
        <f>IF(TOTALCO!I656="", "",TOTALCO!I656)</f>
        <v/>
      </c>
      <c r="J131" s="12" t="str">
        <f>IF(TOTALCO!J656="", "",TOTALCO!J656)</f>
        <v/>
      </c>
      <c r="K131" s="12" t="str">
        <f>IF(TOTALCO!K656="", "",TOTALCO!K656)</f>
        <v/>
      </c>
      <c r="L131" s="12" t="str">
        <f>IF(TOTALCO!L656="", "",TOTALCO!L656)</f>
        <v/>
      </c>
      <c r="M131" s="12" t="str">
        <f>IF(TOTALCO!M656="", "",TOTALCO!M656)</f>
        <v/>
      </c>
      <c r="N131" s="12" t="str">
        <f>IF(TOTALCO!N656="", "",TOTALCO!N656)</f>
        <v/>
      </c>
      <c r="O131" s="12" t="str">
        <f>IF(TOTALCO!O656="", "",TOTALCO!O656)</f>
        <v/>
      </c>
      <c r="P131" s="12" t="str">
        <f>IF(TOTALCO!P656="", "",TOTALCO!P656)</f>
        <v/>
      </c>
      <c r="Q131" s="12"/>
      <c r="R131" s="13"/>
    </row>
    <row r="132" spans="1:18" ht="15" x14ac:dyDescent="0.2">
      <c r="A132" s="382">
        <f>IF(TOTALCO!A657="", "",TOTALCO!A657)</f>
        <v>13</v>
      </c>
      <c r="B132" s="4" t="str">
        <f>IF(TOTALCO!B657="", "",TOTALCO!B657)</f>
        <v xml:space="preserve"> 350-LAND &amp; LAND RIGHTS</v>
      </c>
      <c r="C132" s="4" t="str">
        <f>IF(TOTALCO!C657="", "",TOTALCO!C657)</f>
        <v>DEMVA</v>
      </c>
      <c r="D132" s="12">
        <f ca="1">IF(TOTALCO!D657="", "",TOTALCO!D657)</f>
        <v>1883960.9700000002</v>
      </c>
      <c r="E132" s="12" t="str">
        <f>IF(TOTALCO!E657="", "",TOTALCO!E657)</f>
        <v/>
      </c>
      <c r="F132" s="12">
        <f ca="1">IF(TOTALCO!F657="", "",TOTALCO!F657)</f>
        <v>0</v>
      </c>
      <c r="G132" s="12" t="str">
        <f>IF(TOTALCO!G657="", "",TOTALCO!G657)</f>
        <v/>
      </c>
      <c r="H132" s="12">
        <f ca="1">IF(TOTALCO!H657="", "",TOTALCO!H657)</f>
        <v>1883960.9700000002</v>
      </c>
      <c r="I132" s="12">
        <f ca="1">IF(TOTALCO!I657="", "",TOTALCO!I657)</f>
        <v>0</v>
      </c>
      <c r="J132" s="12" t="str">
        <f>IF(TOTALCO!J657="", "",TOTALCO!J657)</f>
        <v/>
      </c>
      <c r="K132" s="12" t="str">
        <f>IF(TOTALCO!K657="", "",TOTALCO!K657)</f>
        <v/>
      </c>
      <c r="L132" s="12">
        <f ca="1">IF(TOTALCO!L657="", "",TOTALCO!L657)</f>
        <v>0</v>
      </c>
      <c r="M132" s="12" t="str">
        <f>IF(TOTALCO!M657="", "",TOTALCO!M657)</f>
        <v/>
      </c>
      <c r="N132" s="12">
        <f ca="1">IF(TOTALCO!N657="", "",TOTALCO!N657)</f>
        <v>0</v>
      </c>
      <c r="O132" s="12">
        <f ca="1">IF(TOTALCO!O657="", "",TOTALCO!O657)</f>
        <v>0</v>
      </c>
      <c r="P132" s="12">
        <f ca="1">IF(TOTALCO!P657="", "",TOTALCO!P657)</f>
        <v>0</v>
      </c>
      <c r="Q132" s="12"/>
      <c r="R132" s="13"/>
    </row>
    <row r="133" spans="1:18" ht="15" x14ac:dyDescent="0.2">
      <c r="A133" s="382">
        <f>IF(TOTALCO!A658="", "",TOTALCO!A658)</f>
        <v>14</v>
      </c>
      <c r="B133" s="4" t="str">
        <f>IF(TOTALCO!B658="", "",TOTALCO!B658)</f>
        <v xml:space="preserve"> 352-STRUCTURES AND IMPROVEMENTS</v>
      </c>
      <c r="C133" s="4" t="str">
        <f>IF(TOTALCO!C658="", "",TOTALCO!C658)</f>
        <v>DEMVA</v>
      </c>
      <c r="D133" s="12">
        <f ca="1">IF(TOTALCO!D658="", "",TOTALCO!D658)</f>
        <v>1447986.99</v>
      </c>
      <c r="E133" s="12" t="str">
        <f>IF(TOTALCO!E658="", "",TOTALCO!E658)</f>
        <v/>
      </c>
      <c r="F133" s="12">
        <f ca="1">IF(TOTALCO!F658="", "",TOTALCO!F658)</f>
        <v>0</v>
      </c>
      <c r="G133" s="12" t="str">
        <f>IF(TOTALCO!G658="", "",TOTALCO!G658)</f>
        <v/>
      </c>
      <c r="H133" s="12">
        <f ca="1">IF(TOTALCO!H658="", "",TOTALCO!H658)</f>
        <v>1447986.99</v>
      </c>
      <c r="I133" s="12">
        <f ca="1">IF(TOTALCO!I658="", "",TOTALCO!I658)</f>
        <v>0</v>
      </c>
      <c r="J133" s="12" t="str">
        <f>IF(TOTALCO!J658="", "",TOTALCO!J658)</f>
        <v/>
      </c>
      <c r="K133" s="12" t="str">
        <f>IF(TOTALCO!K658="", "",TOTALCO!K658)</f>
        <v/>
      </c>
      <c r="L133" s="12">
        <f ca="1">IF(TOTALCO!L658="", "",TOTALCO!L658)</f>
        <v>0</v>
      </c>
      <c r="M133" s="12" t="str">
        <f>IF(TOTALCO!M658="", "",TOTALCO!M658)</f>
        <v/>
      </c>
      <c r="N133" s="12">
        <f ca="1">IF(TOTALCO!N658="", "",TOTALCO!N658)</f>
        <v>0</v>
      </c>
      <c r="O133" s="12">
        <f ca="1">IF(TOTALCO!O658="", "",TOTALCO!O658)</f>
        <v>0</v>
      </c>
      <c r="P133" s="12">
        <f ca="1">IF(TOTALCO!P658="", "",TOTALCO!P658)</f>
        <v>0</v>
      </c>
      <c r="Q133" s="12"/>
      <c r="R133" s="13"/>
    </row>
    <row r="134" spans="1:18" ht="15" x14ac:dyDescent="0.2">
      <c r="A134" s="382">
        <f>IF(TOTALCO!A659="", "",TOTALCO!A659)</f>
        <v>15</v>
      </c>
      <c r="B134" s="4" t="str">
        <f>IF(TOTALCO!B659="", "",TOTALCO!B659)</f>
        <v xml:space="preserve"> 353-STATION EQUIPMENT</v>
      </c>
      <c r="C134" s="4" t="str">
        <f>IF(TOTALCO!C659="", "",TOTALCO!C659)</f>
        <v>DEMVA</v>
      </c>
      <c r="D134" s="12">
        <f ca="1">IF(TOTALCO!D659="", "",TOTALCO!D659)</f>
        <v>17612494.049999997</v>
      </c>
      <c r="E134" s="12" t="str">
        <f>IF(TOTALCO!E659="", "",TOTALCO!E659)</f>
        <v/>
      </c>
      <c r="F134" s="12">
        <f ca="1">IF(TOTALCO!F659="", "",TOTALCO!F659)</f>
        <v>0</v>
      </c>
      <c r="G134" s="12" t="str">
        <f>IF(TOTALCO!G659="", "",TOTALCO!G659)</f>
        <v/>
      </c>
      <c r="H134" s="12">
        <f ca="1">IF(TOTALCO!H659="", "",TOTALCO!H659)</f>
        <v>17612494.049999997</v>
      </c>
      <c r="I134" s="12">
        <f ca="1">IF(TOTALCO!I659="", "",TOTALCO!I659)</f>
        <v>0</v>
      </c>
      <c r="J134" s="12" t="str">
        <f>IF(TOTALCO!J659="", "",TOTALCO!J659)</f>
        <v/>
      </c>
      <c r="K134" s="12" t="str">
        <f>IF(TOTALCO!K659="", "",TOTALCO!K659)</f>
        <v/>
      </c>
      <c r="L134" s="12">
        <f ca="1">IF(TOTALCO!L659="", "",TOTALCO!L659)</f>
        <v>0</v>
      </c>
      <c r="M134" s="12" t="str">
        <f>IF(TOTALCO!M659="", "",TOTALCO!M659)</f>
        <v/>
      </c>
      <c r="N134" s="12">
        <f ca="1">IF(TOTALCO!N659="", "",TOTALCO!N659)</f>
        <v>0</v>
      </c>
      <c r="O134" s="12">
        <f ca="1">IF(TOTALCO!O659="", "",TOTALCO!O659)</f>
        <v>0</v>
      </c>
      <c r="P134" s="12">
        <f ca="1">IF(TOTALCO!P659="", "",TOTALCO!P659)</f>
        <v>0</v>
      </c>
      <c r="Q134" s="12"/>
      <c r="R134" s="13"/>
    </row>
    <row r="135" spans="1:18" ht="15" x14ac:dyDescent="0.2">
      <c r="A135" s="382">
        <f>IF(TOTALCO!A660="", "",TOTALCO!A660)</f>
        <v>16</v>
      </c>
      <c r="B135" s="4" t="str">
        <f>IF(TOTALCO!B660="", "",TOTALCO!B660)</f>
        <v xml:space="preserve"> 354-TOWERS AND FIXTURES</v>
      </c>
      <c r="C135" s="4" t="str">
        <f>IF(TOTALCO!C660="", "",TOTALCO!C660)</f>
        <v>DEMVA</v>
      </c>
      <c r="D135" s="12">
        <f ca="1">IF(TOTALCO!D660="", "",TOTALCO!D660)</f>
        <v>2421964.2000000011</v>
      </c>
      <c r="E135" s="12" t="str">
        <f>IF(TOTALCO!E660="", "",TOTALCO!E660)</f>
        <v/>
      </c>
      <c r="F135" s="12">
        <f ca="1">IF(TOTALCO!F660="", "",TOTALCO!F660)</f>
        <v>0</v>
      </c>
      <c r="G135" s="12" t="str">
        <f>IF(TOTALCO!G660="", "",TOTALCO!G660)</f>
        <v/>
      </c>
      <c r="H135" s="12">
        <f ca="1">IF(TOTALCO!H660="", "",TOTALCO!H660)</f>
        <v>2421964.2000000011</v>
      </c>
      <c r="I135" s="12">
        <f ca="1">IF(TOTALCO!I660="", "",TOTALCO!I660)</f>
        <v>0</v>
      </c>
      <c r="J135" s="12" t="str">
        <f>IF(TOTALCO!J660="", "",TOTALCO!J660)</f>
        <v/>
      </c>
      <c r="K135" s="12" t="str">
        <f>IF(TOTALCO!K660="", "",TOTALCO!K660)</f>
        <v/>
      </c>
      <c r="L135" s="12">
        <f ca="1">IF(TOTALCO!L660="", "",TOTALCO!L660)</f>
        <v>0</v>
      </c>
      <c r="M135" s="12" t="str">
        <f>IF(TOTALCO!M660="", "",TOTALCO!M660)</f>
        <v/>
      </c>
      <c r="N135" s="12">
        <f ca="1">IF(TOTALCO!N660="", "",TOTALCO!N660)</f>
        <v>0</v>
      </c>
      <c r="O135" s="12">
        <f ca="1">IF(TOTALCO!O660="", "",TOTALCO!O660)</f>
        <v>0</v>
      </c>
      <c r="P135" s="12">
        <f ca="1">IF(TOTALCO!P660="", "",TOTALCO!P660)</f>
        <v>0</v>
      </c>
      <c r="Q135" s="12"/>
      <c r="R135" s="13"/>
    </row>
    <row r="136" spans="1:18" ht="15" x14ac:dyDescent="0.2">
      <c r="A136" s="382">
        <f>IF(TOTALCO!A661="", "",TOTALCO!A661)</f>
        <v>17</v>
      </c>
      <c r="B136" s="4" t="str">
        <f>IF(TOTALCO!B661="", "",TOTALCO!B661)</f>
        <v xml:space="preserve"> 355-POLES AND FIXTURES</v>
      </c>
      <c r="C136" s="4" t="str">
        <f>IF(TOTALCO!C661="", "",TOTALCO!C661)</f>
        <v>DEMVA</v>
      </c>
      <c r="D136" s="12">
        <f ca="1">IF(TOTALCO!D661="", "",TOTALCO!D661)</f>
        <v>8035932.8300000001</v>
      </c>
      <c r="E136" s="12" t="str">
        <f>IF(TOTALCO!E661="", "",TOTALCO!E661)</f>
        <v/>
      </c>
      <c r="F136" s="12">
        <f ca="1">IF(TOTALCO!F661="", "",TOTALCO!F661)</f>
        <v>0</v>
      </c>
      <c r="G136" s="12" t="str">
        <f>IF(TOTALCO!G661="", "",TOTALCO!G661)</f>
        <v/>
      </c>
      <c r="H136" s="12">
        <f ca="1">IF(TOTALCO!H661="", "",TOTALCO!H661)</f>
        <v>8035932.8300000001</v>
      </c>
      <c r="I136" s="12">
        <f ca="1">IF(TOTALCO!I661="", "",TOTALCO!I661)</f>
        <v>0</v>
      </c>
      <c r="J136" s="12" t="str">
        <f>IF(TOTALCO!J661="", "",TOTALCO!J661)</f>
        <v/>
      </c>
      <c r="K136" s="12" t="str">
        <f>IF(TOTALCO!K661="", "",TOTALCO!K661)</f>
        <v/>
      </c>
      <c r="L136" s="12">
        <f ca="1">IF(TOTALCO!L661="", "",TOTALCO!L661)</f>
        <v>0</v>
      </c>
      <c r="M136" s="12" t="str">
        <f>IF(TOTALCO!M661="", "",TOTALCO!M661)</f>
        <v/>
      </c>
      <c r="N136" s="12">
        <f ca="1">IF(TOTALCO!N661="", "",TOTALCO!N661)</f>
        <v>0</v>
      </c>
      <c r="O136" s="12">
        <f ca="1">IF(TOTALCO!O661="", "",TOTALCO!O661)</f>
        <v>0</v>
      </c>
      <c r="P136" s="12">
        <f ca="1">IF(TOTALCO!P661="", "",TOTALCO!P661)</f>
        <v>0</v>
      </c>
      <c r="Q136" s="12"/>
      <c r="R136" s="13"/>
    </row>
    <row r="137" spans="1:18" ht="15" x14ac:dyDescent="0.2">
      <c r="A137" s="382">
        <f>IF(TOTALCO!A662="", "",TOTALCO!A662)</f>
        <v>18</v>
      </c>
      <c r="B137" s="4" t="str">
        <f>IF(TOTALCO!B662="", "",TOTALCO!B662)</f>
        <v xml:space="preserve"> 356-OH CONDUCTORS AND DEVICES</v>
      </c>
      <c r="C137" s="4" t="str">
        <f>IF(TOTALCO!C662="", "",TOTALCO!C662)</f>
        <v>DEMVA</v>
      </c>
      <c r="D137" s="12">
        <f ca="1">IF(TOTALCO!D662="", "",TOTALCO!D662)</f>
        <v>13092360.83</v>
      </c>
      <c r="E137" s="12" t="str">
        <f>IF(TOTALCO!E662="", "",TOTALCO!E662)</f>
        <v/>
      </c>
      <c r="F137" s="12">
        <f ca="1">IF(TOTALCO!F662="", "",TOTALCO!F662)</f>
        <v>0</v>
      </c>
      <c r="G137" s="12" t="str">
        <f>IF(TOTALCO!G662="", "",TOTALCO!G662)</f>
        <v/>
      </c>
      <c r="H137" s="12">
        <f ca="1">IF(TOTALCO!H662="", "",TOTALCO!H662)</f>
        <v>13092360.83</v>
      </c>
      <c r="I137" s="12">
        <f ca="1">IF(TOTALCO!I662="", "",TOTALCO!I662)</f>
        <v>0</v>
      </c>
      <c r="J137" s="12" t="str">
        <f>IF(TOTALCO!J662="", "",TOTALCO!J662)</f>
        <v/>
      </c>
      <c r="K137" s="12" t="str">
        <f>IF(TOTALCO!K662="", "",TOTALCO!K662)</f>
        <v/>
      </c>
      <c r="L137" s="12">
        <f ca="1">IF(TOTALCO!L662="", "",TOTALCO!L662)</f>
        <v>0</v>
      </c>
      <c r="M137" s="12" t="str">
        <f>IF(TOTALCO!M662="", "",TOTALCO!M662)</f>
        <v/>
      </c>
      <c r="N137" s="12">
        <f ca="1">IF(TOTALCO!N662="", "",TOTALCO!N662)</f>
        <v>0</v>
      </c>
      <c r="O137" s="12">
        <f ca="1">IF(TOTALCO!O662="", "",TOTALCO!O662)</f>
        <v>0</v>
      </c>
      <c r="P137" s="12">
        <f ca="1">IF(TOTALCO!P662="", "",TOTALCO!P662)</f>
        <v>0</v>
      </c>
      <c r="Q137" s="12"/>
      <c r="R137" s="13"/>
    </row>
    <row r="138" spans="1:18" ht="15" x14ac:dyDescent="0.2">
      <c r="A138" s="382">
        <f>IF(TOTALCO!A663="", "",TOTALCO!A663)</f>
        <v>19</v>
      </c>
      <c r="B138" s="4" t="str">
        <f>IF(TOTALCO!B663="", "",TOTALCO!B663)</f>
        <v xml:space="preserve"> FERC-AFUDC PRE</v>
      </c>
      <c r="C138" s="4" t="str">
        <f>IF(TOTALCO!C663="", "",TOTALCO!C663)</f>
        <v>DEMFERCT</v>
      </c>
      <c r="D138" s="12">
        <f ca="1">IF(TOTALCO!D663="", "",TOTALCO!D663)</f>
        <v>323.94</v>
      </c>
      <c r="E138" s="12" t="str">
        <f>IF(TOTALCO!E663="", "",TOTALCO!E663)</f>
        <v/>
      </c>
      <c r="F138" s="12">
        <f ca="1">IF(TOTALCO!F663="", "",TOTALCO!F663)</f>
        <v>0</v>
      </c>
      <c r="G138" s="12" t="str">
        <f>IF(TOTALCO!G663="", "",TOTALCO!G663)</f>
        <v/>
      </c>
      <c r="H138" s="12">
        <f ca="1">IF(TOTALCO!H663="", "",TOTALCO!H663)</f>
        <v>122.41523283150829</v>
      </c>
      <c r="I138" s="12">
        <f ca="1">IF(TOTALCO!I663="", "",TOTALCO!I663)</f>
        <v>201.52476716849171</v>
      </c>
      <c r="J138" s="12" t="str">
        <f>IF(TOTALCO!J663="", "",TOTALCO!J663)</f>
        <v/>
      </c>
      <c r="K138" s="12" t="str">
        <f>IF(TOTALCO!K663="", "",TOTALCO!K663)</f>
        <v/>
      </c>
      <c r="L138" s="12">
        <f ca="1">IF(TOTALCO!L663="", "",TOTALCO!L663)</f>
        <v>0</v>
      </c>
      <c r="M138" s="12" t="str">
        <f>IF(TOTALCO!M663="", "",TOTALCO!M663)</f>
        <v/>
      </c>
      <c r="N138" s="12">
        <f ca="1">IF(TOTALCO!N663="", "",TOTALCO!N663)</f>
        <v>201.52476716849171</v>
      </c>
      <c r="O138" s="12">
        <f ca="1">IF(TOTALCO!O663="", "",TOTALCO!O663)</f>
        <v>62.880840497666298</v>
      </c>
      <c r="P138" s="12">
        <f ca="1">IF(TOTALCO!P663="", "",TOTALCO!P663)</f>
        <v>138.64392667082541</v>
      </c>
      <c r="Q138" s="12"/>
      <c r="R138" s="13"/>
    </row>
    <row r="139" spans="1:18" ht="15" x14ac:dyDescent="0.2">
      <c r="A139" s="382">
        <f>IF(TOTALCO!A664="", "",TOTALCO!A664)</f>
        <v>20</v>
      </c>
      <c r="B139" s="4" t="str">
        <f>IF(TOTALCO!B664="", "",TOTALCO!B664)</f>
        <v xml:space="preserve"> FERC-AFUDC POST</v>
      </c>
      <c r="C139" s="4" t="str">
        <f>IF(TOTALCO!C664="", "",TOTALCO!C664)</f>
        <v>DFERCTP</v>
      </c>
      <c r="D139" s="12">
        <f ca="1">IF(TOTALCO!D664="", "",TOTALCO!D664)</f>
        <v>4331.91</v>
      </c>
      <c r="E139" s="12" t="str">
        <f>IF(TOTALCO!E664="", "",TOTALCO!E664)</f>
        <v/>
      </c>
      <c r="F139" s="12">
        <f ca="1">IF(TOTALCO!F664="", "",TOTALCO!F664)</f>
        <v>0</v>
      </c>
      <c r="G139" s="12" t="str">
        <f>IF(TOTALCO!G664="", "",TOTALCO!G664)</f>
        <v/>
      </c>
      <c r="H139" s="12">
        <f ca="1">IF(TOTALCO!H664="", "",TOTALCO!H664)</f>
        <v>0</v>
      </c>
      <c r="I139" s="12">
        <f ca="1">IF(TOTALCO!I664="", "",TOTALCO!I664)</f>
        <v>4331.91</v>
      </c>
      <c r="J139" s="12" t="str">
        <f>IF(TOTALCO!J664="", "",TOTALCO!J664)</f>
        <v/>
      </c>
      <c r="K139" s="12" t="str">
        <f>IF(TOTALCO!K664="", "",TOTALCO!K664)</f>
        <v/>
      </c>
      <c r="L139" s="12">
        <f ca="1">IF(TOTALCO!L664="", "",TOTALCO!L664)</f>
        <v>0</v>
      </c>
      <c r="M139" s="12" t="str">
        <f>IF(TOTALCO!M664="", "",TOTALCO!M664)</f>
        <v/>
      </c>
      <c r="N139" s="12">
        <f ca="1">IF(TOTALCO!N664="", "",TOTALCO!N664)</f>
        <v>4331.91</v>
      </c>
      <c r="O139" s="12">
        <f ca="1">IF(TOTALCO!O664="", "",TOTALCO!O664)</f>
        <v>1351.6658303964252</v>
      </c>
      <c r="P139" s="12">
        <f ca="1">IF(TOTALCO!P664="", "",TOTALCO!P664)</f>
        <v>2980.2441696035744</v>
      </c>
      <c r="Q139" s="12"/>
      <c r="R139" s="13"/>
    </row>
    <row r="140" spans="1:18" ht="15" x14ac:dyDescent="0.2">
      <c r="A140" s="382">
        <f>IF(TOTALCO!A665="", "",TOTALCO!A665)</f>
        <v>21</v>
      </c>
      <c r="B140" s="4" t="str">
        <f>IF(TOTALCO!B665="", "",TOTALCO!B665)</f>
        <v>TOTAL VIRGINIA PROPERTY</v>
      </c>
      <c r="C140" s="4" t="str">
        <f>IF(TOTALCO!C665="", "",TOTALCO!C665)</f>
        <v/>
      </c>
      <c r="D140" s="12">
        <f ca="1">IF(TOTALCO!D665="", "",TOTALCO!D665)</f>
        <v>44499355.719999999</v>
      </c>
      <c r="E140" s="12" t="str">
        <f>IF(TOTALCO!E665="", "",TOTALCO!E665)</f>
        <v/>
      </c>
      <c r="F140" s="12">
        <f ca="1">IF(TOTALCO!F665="", "",TOTALCO!F665)</f>
        <v>0</v>
      </c>
      <c r="G140" s="12" t="str">
        <f>IF(TOTALCO!G665="", "",TOTALCO!G665)</f>
        <v/>
      </c>
      <c r="H140" s="12">
        <f ca="1">IF(TOTALCO!H665="", "",TOTALCO!H665)</f>
        <v>44494822.285232827</v>
      </c>
      <c r="I140" s="12">
        <f ca="1">IF(TOTALCO!I665="", "",TOTALCO!I665)</f>
        <v>4533.4347671684909</v>
      </c>
      <c r="J140" s="12" t="str">
        <f>IF(TOTALCO!J665="", "",TOTALCO!J665)</f>
        <v/>
      </c>
      <c r="K140" s="12" t="str">
        <f>IF(TOTALCO!K665="", "",TOTALCO!K665)</f>
        <v/>
      </c>
      <c r="L140" s="12">
        <f ca="1">IF(TOTALCO!L665="", "",TOTALCO!L665)</f>
        <v>0</v>
      </c>
      <c r="M140" s="12" t="str">
        <f>IF(TOTALCO!M665="", "",TOTALCO!M665)</f>
        <v/>
      </c>
      <c r="N140" s="12">
        <f ca="1">IF(TOTALCO!N665="", "",TOTALCO!N665)</f>
        <v>4533.4347671684909</v>
      </c>
      <c r="O140" s="12">
        <f ca="1">IF(TOTALCO!O665="", "",TOTALCO!O665)</f>
        <v>1414.5466708940914</v>
      </c>
      <c r="P140" s="12">
        <f ca="1">IF(TOTALCO!P665="", "",TOTALCO!P665)</f>
        <v>3118.8880962743997</v>
      </c>
      <c r="Q140" s="12"/>
      <c r="R140" s="13"/>
    </row>
    <row r="141" spans="1:18" ht="15" x14ac:dyDescent="0.2">
      <c r="A141" s="382" t="str">
        <f>IF(TOTALCO!A666="", "",TOTALCO!A666)</f>
        <v/>
      </c>
      <c r="B141" s="4" t="str">
        <f>IF(TOTALCO!B666="", "",TOTALCO!B666)</f>
        <v/>
      </c>
      <c r="C141" s="4" t="str">
        <f>IF(TOTALCO!C666="", "",TOTALCO!C666)</f>
        <v/>
      </c>
      <c r="D141" s="12" t="str">
        <f>IF(TOTALCO!D666="", "",TOTALCO!D666)</f>
        <v/>
      </c>
      <c r="E141" s="12" t="str">
        <f>IF(TOTALCO!E666="", "",TOTALCO!E666)</f>
        <v/>
      </c>
      <c r="F141" s="12" t="str">
        <f>IF(TOTALCO!F666="", "",TOTALCO!F666)</f>
        <v/>
      </c>
      <c r="G141" s="12" t="str">
        <f>IF(TOTALCO!G666="", "",TOTALCO!G666)</f>
        <v/>
      </c>
      <c r="H141" s="12" t="str">
        <f>IF(TOTALCO!H666="", "",TOTALCO!H666)</f>
        <v/>
      </c>
      <c r="I141" s="12" t="str">
        <f>IF(TOTALCO!I666="", "",TOTALCO!I666)</f>
        <v/>
      </c>
      <c r="J141" s="12" t="str">
        <f>IF(TOTALCO!J666="", "",TOTALCO!J666)</f>
        <v/>
      </c>
      <c r="K141" s="12" t="str">
        <f>IF(TOTALCO!K666="", "",TOTALCO!K666)</f>
        <v/>
      </c>
      <c r="L141" s="12" t="str">
        <f>IF(TOTALCO!L666="", "",TOTALCO!L666)</f>
        <v/>
      </c>
      <c r="M141" s="12" t="str">
        <f>IF(TOTALCO!M666="", "",TOTALCO!M666)</f>
        <v/>
      </c>
      <c r="N141" s="12" t="str">
        <f>IF(TOTALCO!N666="", "",TOTALCO!N666)</f>
        <v/>
      </c>
      <c r="O141" s="12" t="str">
        <f>IF(TOTALCO!O666="", "",TOTALCO!O666)</f>
        <v/>
      </c>
      <c r="P141" s="12" t="str">
        <f>IF(TOTALCO!P666="", "",TOTALCO!P666)</f>
        <v/>
      </c>
      <c r="Q141" s="12"/>
      <c r="R141" s="13"/>
    </row>
    <row r="142" spans="1:18" ht="15" x14ac:dyDescent="0.2">
      <c r="A142" s="382" t="str">
        <f>IF(TOTALCO!A667="", "",TOTALCO!A667)</f>
        <v/>
      </c>
      <c r="B142" s="4" t="str">
        <f>IF(TOTALCO!B667="", "",TOTALCO!B667)</f>
        <v>VIRGINIA PROPERTY-500 KV LINE</v>
      </c>
      <c r="C142" s="4" t="str">
        <f>IF(TOTALCO!C667="", "",TOTALCO!C667)</f>
        <v/>
      </c>
      <c r="D142" s="12" t="str">
        <f>IF(TOTALCO!D667="", "",TOTALCO!D667)</f>
        <v/>
      </c>
      <c r="E142" s="12" t="str">
        <f>IF(TOTALCO!E667="", "",TOTALCO!E667)</f>
        <v/>
      </c>
      <c r="F142" s="12" t="str">
        <f>IF(TOTALCO!F667="", "",TOTALCO!F667)</f>
        <v/>
      </c>
      <c r="G142" s="12" t="str">
        <f>IF(TOTALCO!G667="", "",TOTALCO!G667)</f>
        <v/>
      </c>
      <c r="H142" s="12" t="str">
        <f>IF(TOTALCO!H667="", "",TOTALCO!H667)</f>
        <v/>
      </c>
      <c r="I142" s="12" t="str">
        <f>IF(TOTALCO!I667="", "",TOTALCO!I667)</f>
        <v/>
      </c>
      <c r="J142" s="12" t="str">
        <f>IF(TOTALCO!J667="", "",TOTALCO!J667)</f>
        <v/>
      </c>
      <c r="K142" s="12" t="str">
        <f>IF(TOTALCO!K667="", "",TOTALCO!K667)</f>
        <v/>
      </c>
      <c r="L142" s="12" t="str">
        <f>IF(TOTALCO!L667="", "",TOTALCO!L667)</f>
        <v/>
      </c>
      <c r="M142" s="12" t="str">
        <f>IF(TOTALCO!M667="", "",TOTALCO!M667)</f>
        <v/>
      </c>
      <c r="N142" s="12" t="str">
        <f>IF(TOTALCO!N667="", "",TOTALCO!N667)</f>
        <v/>
      </c>
      <c r="O142" s="12" t="str">
        <f>IF(TOTALCO!O667="", "",TOTALCO!O667)</f>
        <v/>
      </c>
      <c r="P142" s="12" t="str">
        <f>IF(TOTALCO!P667="", "",TOTALCO!P667)</f>
        <v/>
      </c>
      <c r="Q142" s="12"/>
      <c r="R142" s="13"/>
    </row>
    <row r="143" spans="1:18" ht="15" x14ac:dyDescent="0.2">
      <c r="A143" s="382">
        <f>IF(TOTALCO!A668="", "",TOTALCO!A668)</f>
        <v>22</v>
      </c>
      <c r="B143" s="4" t="str">
        <f>IF(TOTALCO!B668="", "",TOTALCO!B668)</f>
        <v xml:space="preserve"> 350-LAND &amp; LAND RIGHTS</v>
      </c>
      <c r="C143" s="4" t="str">
        <f>IF(TOTALCO!C668="", "",TOTALCO!C668)</f>
        <v>DEMPRODNV</v>
      </c>
      <c r="D143" s="12">
        <f ca="1">IF(TOTALCO!D668="", "",TOTALCO!D668)</f>
        <v>280370.75</v>
      </c>
      <c r="E143" s="12" t="str">
        <f>IF(TOTALCO!E668="", "",TOTALCO!E668)</f>
        <v/>
      </c>
      <c r="F143" s="12">
        <f ca="1">IF(TOTALCO!F668="", "",TOTALCO!F668)</f>
        <v>255652.34147320627</v>
      </c>
      <c r="G143" s="12" t="str">
        <f>IF(TOTALCO!G668="", "",TOTALCO!G668)</f>
        <v/>
      </c>
      <c r="H143" s="12">
        <f ca="1">IF(TOTALCO!H668="", "",TOTALCO!H668)</f>
        <v>0</v>
      </c>
      <c r="I143" s="12">
        <f ca="1">IF(TOTALCO!I668="", "",TOTALCO!I668)</f>
        <v>24718.408526793733</v>
      </c>
      <c r="J143" s="12" t="str">
        <f>IF(TOTALCO!J668="", "",TOTALCO!J668)</f>
        <v/>
      </c>
      <c r="K143" s="12" t="str">
        <f>IF(TOTALCO!K668="", "",TOTALCO!K668)</f>
        <v/>
      </c>
      <c r="L143" s="12">
        <f ca="1">IF(TOTALCO!L668="", "",TOTALCO!L668)</f>
        <v>2.2604190181561865</v>
      </c>
      <c r="M143" s="12" t="str">
        <f>IF(TOTALCO!M668="", "",TOTALCO!M668)</f>
        <v/>
      </c>
      <c r="N143" s="12">
        <f ca="1">IF(TOTALCO!N668="", "",TOTALCO!N668)</f>
        <v>24716.148107775578</v>
      </c>
      <c r="O143" s="12">
        <f ca="1">IF(TOTALCO!O668="", "",TOTALCO!O668)</f>
        <v>7712.065314445018</v>
      </c>
      <c r="P143" s="12">
        <f ca="1">IF(TOTALCO!P668="", "",TOTALCO!P668)</f>
        <v>17004.082793330559</v>
      </c>
      <c r="Q143" s="12"/>
      <c r="R143" s="13"/>
    </row>
    <row r="144" spans="1:18" ht="15" x14ac:dyDescent="0.2">
      <c r="A144" s="382">
        <f>IF(TOTALCO!A669="", "",TOTALCO!A669)</f>
        <v>23</v>
      </c>
      <c r="B144" s="4" t="str">
        <f>IF(TOTALCO!B669="", "",TOTALCO!B669)</f>
        <v xml:space="preserve"> 354-TOWERS AND FIXTURES</v>
      </c>
      <c r="C144" s="4" t="str">
        <f>IF(TOTALCO!C669="", "",TOTALCO!C669)</f>
        <v>DEMPRODNV</v>
      </c>
      <c r="D144" s="12">
        <f ca="1">IF(TOTALCO!D669="", "",TOTALCO!D669)</f>
        <v>4769322.8699999992</v>
      </c>
      <c r="E144" s="12" t="str">
        <f>IF(TOTALCO!E669="", "",TOTALCO!E669)</f>
        <v/>
      </c>
      <c r="F144" s="12">
        <f ca="1">IF(TOTALCO!F669="", "",TOTALCO!F669)</f>
        <v>4348843.6613206333</v>
      </c>
      <c r="G144" s="12" t="str">
        <f>IF(TOTALCO!G669="", "",TOTALCO!G669)</f>
        <v/>
      </c>
      <c r="H144" s="12">
        <f ca="1">IF(TOTALCO!H669="", "",TOTALCO!H669)</f>
        <v>0</v>
      </c>
      <c r="I144" s="12">
        <f ca="1">IF(TOTALCO!I669="", "",TOTALCO!I669)</f>
        <v>420479.20867936598</v>
      </c>
      <c r="J144" s="12" t="str">
        <f>IF(TOTALCO!J669="", "",TOTALCO!J669)</f>
        <v/>
      </c>
      <c r="K144" s="12" t="str">
        <f>IF(TOTALCO!K669="", "",TOTALCO!K669)</f>
        <v/>
      </c>
      <c r="L144" s="12">
        <f ca="1">IF(TOTALCO!L669="", "",TOTALCO!L669)</f>
        <v>38.45147227046774</v>
      </c>
      <c r="M144" s="12" t="str">
        <f>IF(TOTALCO!M669="", "",TOTALCO!M669)</f>
        <v/>
      </c>
      <c r="N144" s="12">
        <f ca="1">IF(TOTALCO!N669="", "",TOTALCO!N669)</f>
        <v>420440.75720709551</v>
      </c>
      <c r="O144" s="12">
        <f ca="1">IF(TOTALCO!O669="", "",TOTALCO!O669)</f>
        <v>131188.18378563513</v>
      </c>
      <c r="P144" s="12">
        <f ca="1">IF(TOTALCO!P669="", "",TOTALCO!P669)</f>
        <v>289252.5734214604</v>
      </c>
      <c r="Q144" s="12"/>
      <c r="R144" s="13"/>
    </row>
    <row r="145" spans="1:18" ht="15" x14ac:dyDescent="0.2">
      <c r="A145" s="382">
        <f>IF(TOTALCO!A670="", "",TOTALCO!A670)</f>
        <v>24</v>
      </c>
      <c r="B145" s="4" t="str">
        <f>IF(TOTALCO!B670="", "",TOTALCO!B670)</f>
        <v xml:space="preserve"> 355-POLES AND FIXTURES</v>
      </c>
      <c r="C145" s="4" t="str">
        <f>IF(TOTALCO!C670="", "",TOTALCO!C670)</f>
        <v>DEMPRODNV</v>
      </c>
      <c r="D145" s="12">
        <f ca="1">IF(TOTALCO!D670="", "",TOTALCO!D670)</f>
        <v>51357.979999999996</v>
      </c>
      <c r="E145" s="12" t="str">
        <f>IF(TOTALCO!E670="", "",TOTALCO!E670)</f>
        <v/>
      </c>
      <c r="F145" s="12">
        <f ca="1">IF(TOTALCO!F670="", "",TOTALCO!F670)</f>
        <v>46830.091371279268</v>
      </c>
      <c r="G145" s="12" t="str">
        <f>IF(TOTALCO!G670="", "",TOTALCO!G670)</f>
        <v/>
      </c>
      <c r="H145" s="12">
        <f ca="1">IF(TOTALCO!H670="", "",TOTALCO!H670)</f>
        <v>0</v>
      </c>
      <c r="I145" s="12">
        <f ca="1">IF(TOTALCO!I670="", "",TOTALCO!I670)</f>
        <v>4527.8886287207279</v>
      </c>
      <c r="J145" s="12" t="str">
        <f>IF(TOTALCO!J670="", "",TOTALCO!J670)</f>
        <v/>
      </c>
      <c r="K145" s="12" t="str">
        <f>IF(TOTALCO!K670="", "",TOTALCO!K670)</f>
        <v/>
      </c>
      <c r="L145" s="12">
        <f ca="1">IF(TOTALCO!L670="", "",TOTALCO!L670)</f>
        <v>0.41406086307535661</v>
      </c>
      <c r="M145" s="12" t="str">
        <f>IF(TOTALCO!M670="", "",TOTALCO!M670)</f>
        <v/>
      </c>
      <c r="N145" s="12">
        <f ca="1">IF(TOTALCO!N670="", "",TOTALCO!N670)</f>
        <v>4527.4745678576528</v>
      </c>
      <c r="O145" s="12">
        <f ca="1">IF(TOTALCO!O670="", "",TOTALCO!O670)</f>
        <v>1412.6869374853152</v>
      </c>
      <c r="P145" s="12">
        <f ca="1">IF(TOTALCO!P670="", "",TOTALCO!P670)</f>
        <v>3114.7876303723374</v>
      </c>
      <c r="Q145" s="12"/>
      <c r="R145" s="13"/>
    </row>
    <row r="146" spans="1:18" ht="15" x14ac:dyDescent="0.2">
      <c r="A146" s="382">
        <f>IF(TOTALCO!A671="", "",TOTALCO!A671)</f>
        <v>25</v>
      </c>
      <c r="B146" s="4" t="str">
        <f>IF(TOTALCO!B671="", "",TOTALCO!B671)</f>
        <v xml:space="preserve"> 356-OH CONDUCTORS AND DEVICES</v>
      </c>
      <c r="C146" s="4" t="str">
        <f>IF(TOTALCO!C671="", "",TOTALCO!C671)</f>
        <v>DEMPRODNV</v>
      </c>
      <c r="D146" s="12">
        <f ca="1">IF(TOTALCO!D671="", "",TOTALCO!D671)</f>
        <v>3129377.8099999996</v>
      </c>
      <c r="E146" s="12" t="str">
        <f>IF(TOTALCO!E671="", "",TOTALCO!E671)</f>
        <v/>
      </c>
      <c r="F146" s="12">
        <f ca="1">IF(TOTALCO!F671="", "",TOTALCO!F671)</f>
        <v>2853481.5578329563</v>
      </c>
      <c r="G146" s="12" t="str">
        <f>IF(TOTALCO!G671="", "",TOTALCO!G671)</f>
        <v/>
      </c>
      <c r="H146" s="12">
        <f ca="1">IF(TOTALCO!H671="", "",TOTALCO!H671)</f>
        <v>0</v>
      </c>
      <c r="I146" s="12">
        <f ca="1">IF(TOTALCO!I671="", "",TOTALCO!I671)</f>
        <v>275896.25216704345</v>
      </c>
      <c r="J146" s="12" t="str">
        <f>IF(TOTALCO!J671="", "",TOTALCO!J671)</f>
        <v/>
      </c>
      <c r="K146" s="12" t="str">
        <f>IF(TOTALCO!K671="", "",TOTALCO!K671)</f>
        <v/>
      </c>
      <c r="L146" s="12">
        <f ca="1">IF(TOTALCO!L671="", "",TOTALCO!L671)</f>
        <v>25.229825567467209</v>
      </c>
      <c r="M146" s="12" t="str">
        <f>IF(TOTALCO!M671="", "",TOTALCO!M671)</f>
        <v/>
      </c>
      <c r="N146" s="12">
        <f ca="1">IF(TOTALCO!N671="", "",TOTALCO!N671)</f>
        <v>275871.022341476</v>
      </c>
      <c r="O146" s="12">
        <f ca="1">IF(TOTALCO!O671="", "",TOTALCO!O671)</f>
        <v>86078.758445005093</v>
      </c>
      <c r="P146" s="12">
        <f ca="1">IF(TOTALCO!P671="", "",TOTALCO!P671)</f>
        <v>189792.26389647092</v>
      </c>
      <c r="Q146" s="12"/>
      <c r="R146" s="13"/>
    </row>
    <row r="147" spans="1:18" ht="15" x14ac:dyDescent="0.2">
      <c r="A147" s="382">
        <f>IF(TOTALCO!A672="", "",TOTALCO!A672)</f>
        <v>26</v>
      </c>
      <c r="B147" s="4" t="str">
        <f>IF(TOTALCO!B672="", "",TOTALCO!B672)</f>
        <v xml:space="preserve"> FERC-AFUDC PRE</v>
      </c>
      <c r="C147" s="4" t="str">
        <f>IF(TOTALCO!C672="", "",TOTALCO!C672)</f>
        <v>DEMFERCT</v>
      </c>
      <c r="D147" s="12">
        <f ca="1">IF(TOTALCO!D672="", "",TOTALCO!D672)</f>
        <v>0</v>
      </c>
      <c r="E147" s="12" t="str">
        <f>IF(TOTALCO!E672="", "",TOTALCO!E672)</f>
        <v/>
      </c>
      <c r="F147" s="12">
        <f ca="1">IF(TOTALCO!F672="", "",TOTALCO!F672)</f>
        <v>0</v>
      </c>
      <c r="G147" s="12" t="str">
        <f>IF(TOTALCO!G672="", "",TOTALCO!G672)</f>
        <v/>
      </c>
      <c r="H147" s="12">
        <f ca="1">IF(TOTALCO!H672="", "",TOTALCO!H672)</f>
        <v>0</v>
      </c>
      <c r="I147" s="12">
        <f ca="1">IF(TOTALCO!I672="", "",TOTALCO!I672)</f>
        <v>0</v>
      </c>
      <c r="J147" s="12" t="str">
        <f>IF(TOTALCO!J672="", "",TOTALCO!J672)</f>
        <v/>
      </c>
      <c r="K147" s="12" t="str">
        <f>IF(TOTALCO!K672="", "",TOTALCO!K672)</f>
        <v/>
      </c>
      <c r="L147" s="12">
        <f ca="1">IF(TOTALCO!L672="", "",TOTALCO!L672)</f>
        <v>0</v>
      </c>
      <c r="M147" s="12" t="str">
        <f>IF(TOTALCO!M672="", "",TOTALCO!M672)</f>
        <v/>
      </c>
      <c r="N147" s="12">
        <f ca="1">IF(TOTALCO!N672="", "",TOTALCO!N672)</f>
        <v>0</v>
      </c>
      <c r="O147" s="12">
        <f ca="1">IF(TOTALCO!O672="", "",TOTALCO!O672)</f>
        <v>0</v>
      </c>
      <c r="P147" s="12">
        <f ca="1">IF(TOTALCO!P672="", "",TOTALCO!P672)</f>
        <v>0</v>
      </c>
      <c r="Q147" s="12"/>
      <c r="R147" s="13"/>
    </row>
    <row r="148" spans="1:18" ht="15" x14ac:dyDescent="0.2">
      <c r="A148" s="382">
        <f>IF(TOTALCO!A673="", "",TOTALCO!A673)</f>
        <v>27</v>
      </c>
      <c r="B148" s="4" t="str">
        <f>IF(TOTALCO!B673="", "",TOTALCO!B673)</f>
        <v xml:space="preserve"> FERC-AFUDC POST</v>
      </c>
      <c r="C148" s="4" t="str">
        <f>IF(TOTALCO!C673="", "",TOTALCO!C673)</f>
        <v>DFERCTP</v>
      </c>
      <c r="D148" s="12">
        <f ca="1">IF(TOTALCO!D673="", "",TOTALCO!D673)</f>
        <v>0</v>
      </c>
      <c r="E148" s="12" t="str">
        <f>IF(TOTALCO!E673="", "",TOTALCO!E673)</f>
        <v/>
      </c>
      <c r="F148" s="12">
        <f ca="1">IF(TOTALCO!F673="", "",TOTALCO!F673)</f>
        <v>0</v>
      </c>
      <c r="G148" s="12" t="str">
        <f>IF(TOTALCO!G673="", "",TOTALCO!G673)</f>
        <v/>
      </c>
      <c r="H148" s="12">
        <f ca="1">IF(TOTALCO!H673="", "",TOTALCO!H673)</f>
        <v>0</v>
      </c>
      <c r="I148" s="12">
        <f ca="1">IF(TOTALCO!I673="", "",TOTALCO!I673)</f>
        <v>0</v>
      </c>
      <c r="J148" s="12" t="str">
        <f>IF(TOTALCO!J673="", "",TOTALCO!J673)</f>
        <v/>
      </c>
      <c r="K148" s="12" t="str">
        <f>IF(TOTALCO!K673="", "",TOTALCO!K673)</f>
        <v/>
      </c>
      <c r="L148" s="12">
        <f ca="1">IF(TOTALCO!L673="", "",TOTALCO!L673)</f>
        <v>0</v>
      </c>
      <c r="M148" s="12" t="str">
        <f>IF(TOTALCO!M673="", "",TOTALCO!M673)</f>
        <v/>
      </c>
      <c r="N148" s="12">
        <f ca="1">IF(TOTALCO!N673="", "",TOTALCO!N673)</f>
        <v>0</v>
      </c>
      <c r="O148" s="12">
        <f ca="1">IF(TOTALCO!O673="", "",TOTALCO!O673)</f>
        <v>0</v>
      </c>
      <c r="P148" s="12">
        <f ca="1">IF(TOTALCO!P673="", "",TOTALCO!P673)</f>
        <v>0</v>
      </c>
      <c r="Q148" s="12"/>
      <c r="R148" s="13"/>
    </row>
    <row r="149" spans="1:18" ht="15" x14ac:dyDescent="0.2">
      <c r="A149" s="382">
        <f>IF(TOTALCO!A674="", "",TOTALCO!A674)</f>
        <v>28</v>
      </c>
      <c r="B149" s="4" t="str">
        <f>IF(TOTALCO!B674="", "",TOTALCO!B674)</f>
        <v>TOTAL VIRGINIA PROPERTY-500 KV LINE</v>
      </c>
      <c r="C149" s="4" t="str">
        <f>IF(TOTALCO!C674="", "",TOTALCO!C674)</f>
        <v/>
      </c>
      <c r="D149" s="12">
        <f ca="1">IF(TOTALCO!D674="", "",TOTALCO!D674)</f>
        <v>8230429.4099999983</v>
      </c>
      <c r="E149" s="12" t="str">
        <f>IF(TOTALCO!E674="", "",TOTALCO!E674)</f>
        <v/>
      </c>
      <c r="F149" s="12">
        <f ca="1">IF(TOTALCO!F674="", "",TOTALCO!F674)</f>
        <v>7504807.6519980747</v>
      </c>
      <c r="G149" s="12" t="str">
        <f>IF(TOTALCO!G674="", "",TOTALCO!G674)</f>
        <v/>
      </c>
      <c r="H149" s="12">
        <f ca="1">IF(TOTALCO!H674="", "",TOTALCO!H674)</f>
        <v>0</v>
      </c>
      <c r="I149" s="12">
        <f ca="1">IF(TOTALCO!I674="", "",TOTALCO!I674)</f>
        <v>725621.75800192391</v>
      </c>
      <c r="J149" s="12" t="str">
        <f>IF(TOTALCO!J674="", "",TOTALCO!J674)</f>
        <v/>
      </c>
      <c r="K149" s="12" t="str">
        <f>IF(TOTALCO!K674="", "",TOTALCO!K674)</f>
        <v/>
      </c>
      <c r="L149" s="12">
        <f ca="1">IF(TOTALCO!L674="", "",TOTALCO!L674)</f>
        <v>66.355777719166497</v>
      </c>
      <c r="M149" s="12" t="str">
        <f>IF(TOTALCO!M674="", "",TOTALCO!M674)</f>
        <v/>
      </c>
      <c r="N149" s="12">
        <f ca="1">IF(TOTALCO!N674="", "",TOTALCO!N674)</f>
        <v>725555.40222420474</v>
      </c>
      <c r="O149" s="12">
        <f ca="1">IF(TOTALCO!O674="", "",TOTALCO!O674)</f>
        <v>226391.69448257057</v>
      </c>
      <c r="P149" s="12">
        <f ca="1">IF(TOTALCO!P674="", "",TOTALCO!P674)</f>
        <v>499163.70774163422</v>
      </c>
      <c r="Q149" s="12"/>
      <c r="R149" s="13"/>
    </row>
    <row r="150" spans="1:18" ht="15" x14ac:dyDescent="0.2">
      <c r="A150" s="382" t="str">
        <f>IF(TOTALCO!A675="", "",TOTALCO!A675)</f>
        <v/>
      </c>
      <c r="B150" s="4" t="str">
        <f>IF(TOTALCO!B675="", "",TOTALCO!B675)</f>
        <v/>
      </c>
      <c r="C150" s="4" t="str">
        <f>IF(TOTALCO!C675="", "",TOTALCO!C675)</f>
        <v/>
      </c>
      <c r="D150" s="12" t="str">
        <f>IF(TOTALCO!D675="", "",TOTALCO!D675)</f>
        <v/>
      </c>
      <c r="E150" s="12" t="str">
        <f>IF(TOTALCO!E675="", "",TOTALCO!E675)</f>
        <v/>
      </c>
      <c r="F150" s="12" t="str">
        <f>IF(TOTALCO!F675="", "",TOTALCO!F675)</f>
        <v/>
      </c>
      <c r="G150" s="12" t="str">
        <f>IF(TOTALCO!G675="", "",TOTALCO!G675)</f>
        <v/>
      </c>
      <c r="H150" s="12" t="str">
        <f>IF(TOTALCO!H675="", "",TOTALCO!H675)</f>
        <v/>
      </c>
      <c r="I150" s="12" t="str">
        <f>IF(TOTALCO!I675="", "",TOTALCO!I675)</f>
        <v/>
      </c>
      <c r="J150" s="12" t="str">
        <f>IF(TOTALCO!J675="", "",TOTALCO!J675)</f>
        <v/>
      </c>
      <c r="K150" s="12" t="str">
        <f>IF(TOTALCO!K675="", "",TOTALCO!K675)</f>
        <v/>
      </c>
      <c r="L150" s="12" t="str">
        <f>IF(TOTALCO!L675="", "",TOTALCO!L675)</f>
        <v/>
      </c>
      <c r="M150" s="12" t="str">
        <f>IF(TOTALCO!M675="", "",TOTALCO!M675)</f>
        <v/>
      </c>
      <c r="N150" s="12" t="str">
        <f>IF(TOTALCO!N675="", "",TOTALCO!N675)</f>
        <v/>
      </c>
      <c r="O150" s="12" t="str">
        <f>IF(TOTALCO!O675="", "",TOTALCO!O675)</f>
        <v/>
      </c>
      <c r="P150" s="12" t="str">
        <f>IF(TOTALCO!P675="", "",TOTALCO!P675)</f>
        <v/>
      </c>
      <c r="Q150" s="12"/>
      <c r="R150" s="13"/>
    </row>
    <row r="151" spans="1:18" ht="15" x14ac:dyDescent="0.2">
      <c r="A151" s="382">
        <f>IF(TOTALCO!A676="", "",TOTALCO!A676)</f>
        <v>29</v>
      </c>
      <c r="B151" s="4" t="str">
        <f>IF(TOTALCO!B676="", "",TOTALCO!B676)</f>
        <v>TOTAL TRANSMISSION PLANT</v>
      </c>
      <c r="C151" s="4" t="str">
        <f>IF(TOTALCO!C676="", "",TOTALCO!C676)</f>
        <v/>
      </c>
      <c r="D151" s="12">
        <f ca="1">IF(TOTALCO!D676="", "",TOTALCO!D676)</f>
        <v>667945984.35000002</v>
      </c>
      <c r="E151" s="12" t="str">
        <f>IF(TOTALCO!E676="", "",TOTALCO!E676)</f>
        <v/>
      </c>
      <c r="F151" s="12">
        <f ca="1">IF(TOTALCO!F676="", "",TOTALCO!F676)</f>
        <v>536001809.88305146</v>
      </c>
      <c r="G151" s="12" t="str">
        <f>IF(TOTALCO!G676="", "",TOTALCO!G676)</f>
        <v/>
      </c>
      <c r="H151" s="12">
        <f ca="1">IF(TOTALCO!H676="", "",TOTALCO!H676)</f>
        <v>76726286.711081952</v>
      </c>
      <c r="I151" s="12">
        <f ca="1">IF(TOTALCO!I676="", "",TOTALCO!I676)</f>
        <v>55217887.755866617</v>
      </c>
      <c r="J151" s="12" t="str">
        <f>IF(TOTALCO!J676="", "",TOTALCO!J676)</f>
        <v/>
      </c>
      <c r="K151" s="12" t="str">
        <f>IF(TOTALCO!K676="", "",TOTALCO!K676)</f>
        <v/>
      </c>
      <c r="L151" s="12">
        <f ca="1">IF(TOTALCO!L676="", "",TOTALCO!L676)</f>
        <v>4739.2043344643771</v>
      </c>
      <c r="M151" s="12" t="str">
        <f>IF(TOTALCO!M676="", "",TOTALCO!M676)</f>
        <v/>
      </c>
      <c r="N151" s="12">
        <f ca="1">IF(TOTALCO!N676="", "",TOTALCO!N676)</f>
        <v>55213148.551532149</v>
      </c>
      <c r="O151" s="12">
        <f ca="1">IF(TOTALCO!O676="", "",TOTALCO!O676)</f>
        <v>17227903.231070798</v>
      </c>
      <c r="P151" s="12">
        <f ca="1">IF(TOTALCO!P676="", "",TOTALCO!P676)</f>
        <v>37985245.320461355</v>
      </c>
      <c r="Q151" s="12"/>
      <c r="R151" s="13"/>
    </row>
    <row r="152" spans="1:18" ht="15" x14ac:dyDescent="0.2">
      <c r="A152" s="382" t="str">
        <f>IF(TOTALCO!A677="", "",TOTALCO!A677)</f>
        <v/>
      </c>
      <c r="B152" s="4" t="str">
        <f>IF(TOTALCO!B677="", "",TOTALCO!B677)</f>
        <v/>
      </c>
      <c r="C152" s="4" t="str">
        <f>IF(TOTALCO!C677="", "",TOTALCO!C677)</f>
        <v/>
      </c>
      <c r="D152" s="12" t="str">
        <f>IF(TOTALCO!D677="", "",TOTALCO!D677)</f>
        <v/>
      </c>
      <c r="E152" s="12" t="str">
        <f>IF(TOTALCO!E677="", "",TOTALCO!E677)</f>
        <v/>
      </c>
      <c r="F152" s="12" t="str">
        <f>IF(TOTALCO!F677="", "",TOTALCO!F677)</f>
        <v/>
      </c>
      <c r="G152" s="12" t="str">
        <f>IF(TOTALCO!G677="", "",TOTALCO!G677)</f>
        <v/>
      </c>
      <c r="H152" s="12" t="str">
        <f>IF(TOTALCO!H677="", "",TOTALCO!H677)</f>
        <v/>
      </c>
      <c r="I152" s="12" t="str">
        <f>IF(TOTALCO!I677="", "",TOTALCO!I677)</f>
        <v/>
      </c>
      <c r="J152" s="12" t="str">
        <f>IF(TOTALCO!J677="", "",TOTALCO!J677)</f>
        <v/>
      </c>
      <c r="K152" s="12" t="str">
        <f>IF(TOTALCO!K677="", "",TOTALCO!K677)</f>
        <v/>
      </c>
      <c r="L152" s="12" t="str">
        <f>IF(TOTALCO!L677="", "",TOTALCO!L677)</f>
        <v/>
      </c>
      <c r="M152" s="12" t="str">
        <f>IF(TOTALCO!M677="", "",TOTALCO!M677)</f>
        <v/>
      </c>
      <c r="N152" s="12" t="str">
        <f>IF(TOTALCO!N677="", "",TOTALCO!N677)</f>
        <v/>
      </c>
      <c r="O152" s="12" t="str">
        <f>IF(TOTALCO!O677="", "",TOTALCO!O677)</f>
        <v/>
      </c>
      <c r="P152" s="12" t="str">
        <f>IF(TOTALCO!P677="", "",TOTALCO!P677)</f>
        <v/>
      </c>
      <c r="Q152" s="12"/>
      <c r="R152" s="13"/>
    </row>
    <row r="153" spans="1:18" ht="15" x14ac:dyDescent="0.2">
      <c r="A153" s="382" t="str">
        <f>IF(TOTALCO!A678="", "",TOTALCO!A678)</f>
        <v/>
      </c>
      <c r="B153" s="4" t="str">
        <f>IF(TOTALCO!B678="", "",TOTALCO!B678)</f>
        <v>ELECTRIC PLANT IN SERVICE CON'T</v>
      </c>
      <c r="C153" s="4" t="str">
        <f>IF(TOTALCO!C678="", "",TOTALCO!C678)</f>
        <v/>
      </c>
      <c r="D153" s="12" t="str">
        <f>IF(TOTALCO!D678="", "",TOTALCO!D678)</f>
        <v/>
      </c>
      <c r="E153" s="12" t="str">
        <f>IF(TOTALCO!E678="", "",TOTALCO!E678)</f>
        <v/>
      </c>
      <c r="F153" s="12" t="str">
        <f>IF(TOTALCO!F678="", "",TOTALCO!F678)</f>
        <v/>
      </c>
      <c r="G153" s="12" t="str">
        <f>IF(TOTALCO!G678="", "",TOTALCO!G678)</f>
        <v/>
      </c>
      <c r="H153" s="12" t="str">
        <f>IF(TOTALCO!H678="", "",TOTALCO!H678)</f>
        <v/>
      </c>
      <c r="I153" s="12" t="str">
        <f>IF(TOTALCO!I678="", "",TOTALCO!I678)</f>
        <v/>
      </c>
      <c r="J153" s="12" t="str">
        <f>IF(TOTALCO!J678="", "",TOTALCO!J678)</f>
        <v/>
      </c>
      <c r="K153" s="12" t="str">
        <f>IF(TOTALCO!K678="", "",TOTALCO!K678)</f>
        <v/>
      </c>
      <c r="L153" s="12" t="str">
        <f>IF(TOTALCO!L678="", "",TOTALCO!L678)</f>
        <v/>
      </c>
      <c r="M153" s="12" t="str">
        <f>IF(TOTALCO!M678="", "",TOTALCO!M678)</f>
        <v/>
      </c>
      <c r="N153" s="12" t="str">
        <f>IF(TOTALCO!N678="", "",TOTALCO!N678)</f>
        <v/>
      </c>
      <c r="O153" s="12" t="str">
        <f>IF(TOTALCO!O678="", "",TOTALCO!O678)</f>
        <v/>
      </c>
      <c r="P153" s="12" t="str">
        <f>IF(TOTALCO!P678="", "",TOTALCO!P678)</f>
        <v/>
      </c>
      <c r="Q153" s="12"/>
      <c r="R153" s="13"/>
    </row>
    <row r="154" spans="1:18" ht="15" x14ac:dyDescent="0.2">
      <c r="A154" s="382" t="str">
        <f>IF(TOTALCO!A679="", "",TOTALCO!A679)</f>
        <v/>
      </c>
      <c r="B154" s="4" t="str">
        <f>IF(TOTALCO!B679="", "",TOTALCO!B679)</f>
        <v/>
      </c>
      <c r="C154" s="4" t="str">
        <f>IF(TOTALCO!C679="", "",TOTALCO!C679)</f>
        <v/>
      </c>
      <c r="D154" s="12" t="str">
        <f>IF(TOTALCO!D679="", "",TOTALCO!D679)</f>
        <v/>
      </c>
      <c r="E154" s="12" t="str">
        <f>IF(TOTALCO!E679="", "",TOTALCO!E679)</f>
        <v/>
      </c>
      <c r="F154" s="12" t="str">
        <f>IF(TOTALCO!F679="", "",TOTALCO!F679)</f>
        <v/>
      </c>
      <c r="G154" s="12" t="str">
        <f>IF(TOTALCO!G679="", "",TOTALCO!G679)</f>
        <v/>
      </c>
      <c r="H154" s="12" t="str">
        <f>IF(TOTALCO!H679="", "",TOTALCO!H679)</f>
        <v/>
      </c>
      <c r="I154" s="12" t="str">
        <f>IF(TOTALCO!I679="", "",TOTALCO!I679)</f>
        <v/>
      </c>
      <c r="J154" s="12" t="str">
        <f>IF(TOTALCO!J679="", "",TOTALCO!J679)</f>
        <v/>
      </c>
      <c r="K154" s="12" t="str">
        <f>IF(TOTALCO!K679="", "",TOTALCO!K679)</f>
        <v/>
      </c>
      <c r="L154" s="12" t="str">
        <f>IF(TOTALCO!L679="", "",TOTALCO!L679)</f>
        <v/>
      </c>
      <c r="M154" s="12" t="str">
        <f>IF(TOTALCO!M679="", "",TOTALCO!M679)</f>
        <v/>
      </c>
      <c r="N154" s="12" t="str">
        <f>IF(TOTALCO!N679="", "",TOTALCO!N679)</f>
        <v/>
      </c>
      <c r="O154" s="12" t="str">
        <f>IF(TOTALCO!O679="", "",TOTALCO!O679)</f>
        <v/>
      </c>
      <c r="P154" s="12" t="str">
        <f>IF(TOTALCO!P679="", "",TOTALCO!P679)</f>
        <v/>
      </c>
      <c r="Q154" s="12"/>
      <c r="R154" s="13"/>
    </row>
    <row r="155" spans="1:18" ht="15" x14ac:dyDescent="0.2">
      <c r="A155" s="382" t="str">
        <f>IF(TOTALCO!A680="", "",TOTALCO!A680)</f>
        <v/>
      </c>
      <c r="B155" s="4" t="str">
        <f>IF(TOTALCO!B680="", "",TOTALCO!B680)</f>
        <v>DISTRIBUTION PLANT</v>
      </c>
      <c r="C155" s="4" t="str">
        <f>IF(TOTALCO!C680="", "",TOTALCO!C680)</f>
        <v/>
      </c>
      <c r="D155" s="12" t="str">
        <f>IF(TOTALCO!D680="", "",TOTALCO!D680)</f>
        <v/>
      </c>
      <c r="E155" s="12" t="str">
        <f>IF(TOTALCO!E680="", "",TOTALCO!E680)</f>
        <v/>
      </c>
      <c r="F155" s="12" t="str">
        <f>IF(TOTALCO!F680="", "",TOTALCO!F680)</f>
        <v/>
      </c>
      <c r="G155" s="12" t="str">
        <f>IF(TOTALCO!G680="", "",TOTALCO!G680)</f>
        <v/>
      </c>
      <c r="H155" s="12" t="str">
        <f>IF(TOTALCO!H680="", "",TOTALCO!H680)</f>
        <v/>
      </c>
      <c r="I155" s="12" t="str">
        <f>IF(TOTALCO!I680="", "",TOTALCO!I680)</f>
        <v/>
      </c>
      <c r="J155" s="12" t="str">
        <f>IF(TOTALCO!J680="", "",TOTALCO!J680)</f>
        <v/>
      </c>
      <c r="K155" s="12" t="str">
        <f>IF(TOTALCO!K680="", "",TOTALCO!K680)</f>
        <v/>
      </c>
      <c r="L155" s="12" t="str">
        <f>IF(TOTALCO!L680="", "",TOTALCO!L680)</f>
        <v/>
      </c>
      <c r="M155" s="12" t="str">
        <f>IF(TOTALCO!M680="", "",TOTALCO!M680)</f>
        <v/>
      </c>
      <c r="N155" s="12" t="str">
        <f>IF(TOTALCO!N680="", "",TOTALCO!N680)</f>
        <v/>
      </c>
      <c r="O155" s="12" t="str">
        <f>IF(TOTALCO!O680="", "",TOTALCO!O680)</f>
        <v/>
      </c>
      <c r="P155" s="12" t="str">
        <f>IF(TOTALCO!P680="", "",TOTALCO!P680)</f>
        <v/>
      </c>
      <c r="Q155" s="12"/>
      <c r="R155" s="13"/>
    </row>
    <row r="156" spans="1:18" ht="15" x14ac:dyDescent="0.2">
      <c r="A156" s="382" t="str">
        <f>IF(TOTALCO!A681="", "",TOTALCO!A681)</f>
        <v/>
      </c>
      <c r="B156" s="4" t="str">
        <f>IF(TOTALCO!B681="", "",TOTALCO!B681)</f>
        <v xml:space="preserve"> KENTUCKY DISTRIBUTION PLANT</v>
      </c>
      <c r="C156" s="4" t="str">
        <f>IF(TOTALCO!C681="", "",TOTALCO!C681)</f>
        <v/>
      </c>
      <c r="D156" s="12" t="str">
        <f>IF(TOTALCO!D681="", "",TOTALCO!D681)</f>
        <v/>
      </c>
      <c r="E156" s="12" t="str">
        <f>IF(TOTALCO!E681="", "",TOTALCO!E681)</f>
        <v/>
      </c>
      <c r="F156" s="12" t="str">
        <f>IF(TOTALCO!F681="", "",TOTALCO!F681)</f>
        <v/>
      </c>
      <c r="G156" s="12" t="str">
        <f>IF(TOTALCO!G681="", "",TOTALCO!G681)</f>
        <v/>
      </c>
      <c r="H156" s="12" t="str">
        <f>IF(TOTALCO!H681="", "",TOTALCO!H681)</f>
        <v/>
      </c>
      <c r="I156" s="12" t="str">
        <f>IF(TOTALCO!I681="", "",TOTALCO!I681)</f>
        <v/>
      </c>
      <c r="J156" s="12" t="str">
        <f>IF(TOTALCO!J681="", "",TOTALCO!J681)</f>
        <v/>
      </c>
      <c r="K156" s="12" t="str">
        <f>IF(TOTALCO!K681="", "",TOTALCO!K681)</f>
        <v/>
      </c>
      <c r="L156" s="12" t="str">
        <f>IF(TOTALCO!L681="", "",TOTALCO!L681)</f>
        <v/>
      </c>
      <c r="M156" s="12" t="str">
        <f>IF(TOTALCO!M681="", "",TOTALCO!M681)</f>
        <v/>
      </c>
      <c r="N156" s="12" t="str">
        <f>IF(TOTALCO!N681="", "",TOTALCO!N681)</f>
        <v/>
      </c>
      <c r="O156" s="12" t="str">
        <f>IF(TOTALCO!O681="", "",TOTALCO!O681)</f>
        <v/>
      </c>
      <c r="P156" s="12" t="str">
        <f>IF(TOTALCO!P681="", "",TOTALCO!P681)</f>
        <v/>
      </c>
      <c r="Q156" s="12"/>
      <c r="R156" s="13"/>
    </row>
    <row r="157" spans="1:18" ht="15" x14ac:dyDescent="0.2">
      <c r="A157" s="382">
        <f>IF(TOTALCO!A682="", "",TOTALCO!A682)</f>
        <v>1</v>
      </c>
      <c r="B157" s="4" t="str">
        <f>IF(TOTALCO!B682="", "",TOTALCO!B682)</f>
        <v xml:space="preserve"> 360-LAND &amp; LAND RIGHTS</v>
      </c>
      <c r="C157" s="4" t="str">
        <f>IF(TOTALCO!C682="", "",TOTALCO!C682)</f>
        <v>DEM360K</v>
      </c>
      <c r="D157" s="12">
        <f ca="1">IF(TOTALCO!D682="", "",TOTALCO!D682)</f>
        <v>5112550.1000000006</v>
      </c>
      <c r="E157" s="12" t="str">
        <f>IF(TOTALCO!E682="", "",TOTALCO!E682)</f>
        <v/>
      </c>
      <c r="F157" s="12">
        <f ca="1">IF(TOTALCO!F682="", "",TOTALCO!F682)</f>
        <v>5103392.1000000006</v>
      </c>
      <c r="G157" s="12" t="str">
        <f>IF(TOTALCO!G682="", "",TOTALCO!G682)</f>
        <v/>
      </c>
      <c r="H157" s="12">
        <f ca="1">IF(TOTALCO!H682="", "",TOTALCO!H682)</f>
        <v>0</v>
      </c>
      <c r="I157" s="12">
        <f ca="1">IF(TOTALCO!I682="", "",TOTALCO!I682)</f>
        <v>9158</v>
      </c>
      <c r="J157" s="12" t="str">
        <f>IF(TOTALCO!J682="", "",TOTALCO!J682)</f>
        <v/>
      </c>
      <c r="K157" s="12" t="str">
        <f>IF(TOTALCO!K682="", "",TOTALCO!K682)</f>
        <v/>
      </c>
      <c r="L157" s="12">
        <f ca="1">IF(TOTALCO!L682="", "",TOTALCO!L682)</f>
        <v>0</v>
      </c>
      <c r="M157" s="12" t="str">
        <f>IF(TOTALCO!M682="", "",TOTALCO!M682)</f>
        <v/>
      </c>
      <c r="N157" s="12">
        <f ca="1">IF(TOTALCO!N682="", "",TOTALCO!N682)</f>
        <v>9158</v>
      </c>
      <c r="O157" s="12">
        <f ca="1">IF(TOTALCO!O682="", "",TOTALCO!O682)</f>
        <v>9158</v>
      </c>
      <c r="P157" s="12">
        <f ca="1">IF(TOTALCO!P682="", "",TOTALCO!P682)</f>
        <v>0</v>
      </c>
      <c r="Q157" s="12"/>
      <c r="R157" s="13"/>
    </row>
    <row r="158" spans="1:18" ht="15" x14ac:dyDescent="0.2">
      <c r="A158" s="382">
        <f>IF(TOTALCO!A683="", "",TOTALCO!A683)</f>
        <v>2</v>
      </c>
      <c r="B158" s="4" t="str">
        <f>IF(TOTALCO!B683="", "",TOTALCO!B683)</f>
        <v xml:space="preserve"> 361-STRUCTURES AND IMPROVEMENTS</v>
      </c>
      <c r="C158" s="4" t="str">
        <f>IF(TOTALCO!C683="", "",TOTALCO!C683)</f>
        <v>DEM361K</v>
      </c>
      <c r="D158" s="12">
        <f ca="1">IF(TOTALCO!D683="", "",TOTALCO!D683)</f>
        <v>7214274.7599999998</v>
      </c>
      <c r="E158" s="12" t="str">
        <f>IF(TOTALCO!E683="", "",TOTALCO!E683)</f>
        <v/>
      </c>
      <c r="F158" s="12">
        <f ca="1">IF(TOTALCO!F683="", "",TOTALCO!F683)</f>
        <v>6940988.7599999998</v>
      </c>
      <c r="G158" s="12" t="str">
        <f>IF(TOTALCO!G683="", "",TOTALCO!G683)</f>
        <v/>
      </c>
      <c r="H158" s="12">
        <f ca="1">IF(TOTALCO!H683="", "",TOTALCO!H683)</f>
        <v>0</v>
      </c>
      <c r="I158" s="12">
        <f ca="1">IF(TOTALCO!I683="", "",TOTALCO!I683)</f>
        <v>273286</v>
      </c>
      <c r="J158" s="12" t="str">
        <f>IF(TOTALCO!J683="", "",TOTALCO!J683)</f>
        <v/>
      </c>
      <c r="K158" s="12" t="str">
        <f>IF(TOTALCO!K683="", "",TOTALCO!K683)</f>
        <v/>
      </c>
      <c r="L158" s="12">
        <f ca="1">IF(TOTALCO!L683="", "",TOTALCO!L683)</f>
        <v>0</v>
      </c>
      <c r="M158" s="12" t="str">
        <f>IF(TOTALCO!M683="", "",TOTALCO!M683)</f>
        <v/>
      </c>
      <c r="N158" s="12">
        <f ca="1">IF(TOTALCO!N683="", "",TOTALCO!N683)</f>
        <v>273286</v>
      </c>
      <c r="O158" s="12">
        <f ca="1">IF(TOTALCO!O683="", "",TOTALCO!O683)</f>
        <v>273286</v>
      </c>
      <c r="P158" s="12">
        <f ca="1">IF(TOTALCO!P683="", "",TOTALCO!P683)</f>
        <v>0</v>
      </c>
      <c r="Q158" s="12"/>
      <c r="R158" s="13"/>
    </row>
    <row r="159" spans="1:18" ht="15" x14ac:dyDescent="0.2">
      <c r="A159" s="382">
        <f>IF(TOTALCO!A684="", "",TOTALCO!A684)</f>
        <v>3</v>
      </c>
      <c r="B159" s="4" t="str">
        <f>IF(TOTALCO!B684="", "",TOTALCO!B684)</f>
        <v xml:space="preserve"> 362-STATION EQUIPMENT</v>
      </c>
      <c r="C159" s="4" t="str">
        <f>IF(TOTALCO!C684="", "",TOTALCO!C684)</f>
        <v>DEM362K</v>
      </c>
      <c r="D159" s="12">
        <f ca="1">IF(TOTALCO!D684="", "",TOTALCO!D684)</f>
        <v>137609925.59999999</v>
      </c>
      <c r="E159" s="12" t="str">
        <f>IF(TOTALCO!E684="", "",TOTALCO!E684)</f>
        <v/>
      </c>
      <c r="F159" s="12">
        <f ca="1">IF(TOTALCO!F684="", "",TOTALCO!F684)</f>
        <v>134408399.59999999</v>
      </c>
      <c r="G159" s="12" t="str">
        <f>IF(TOTALCO!G684="", "",TOTALCO!G684)</f>
        <v/>
      </c>
      <c r="H159" s="12">
        <f ca="1">IF(TOTALCO!H684="", "",TOTALCO!H684)</f>
        <v>0</v>
      </c>
      <c r="I159" s="12">
        <f ca="1">IF(TOTALCO!I684="", "",TOTALCO!I684)</f>
        <v>3201526</v>
      </c>
      <c r="J159" s="12" t="str">
        <f>IF(TOTALCO!J684="", "",TOTALCO!J684)</f>
        <v/>
      </c>
      <c r="K159" s="12" t="str">
        <f>IF(TOTALCO!K684="", "",TOTALCO!K684)</f>
        <v/>
      </c>
      <c r="L159" s="12">
        <f ca="1">IF(TOTALCO!L684="", "",TOTALCO!L684)</f>
        <v>0</v>
      </c>
      <c r="M159" s="12" t="str">
        <f>IF(TOTALCO!M684="", "",TOTALCO!M684)</f>
        <v/>
      </c>
      <c r="N159" s="12">
        <f ca="1">IF(TOTALCO!N684="", "",TOTALCO!N684)</f>
        <v>3201526</v>
      </c>
      <c r="O159" s="12">
        <f ca="1">IF(TOTALCO!O684="", "",TOTALCO!O684)</f>
        <v>3201526</v>
      </c>
      <c r="P159" s="12">
        <f ca="1">IF(TOTALCO!P684="", "",TOTALCO!P684)</f>
        <v>0</v>
      </c>
      <c r="Q159" s="12"/>
      <c r="R159" s="13"/>
    </row>
    <row r="160" spans="1:18" ht="15" x14ac:dyDescent="0.2">
      <c r="A160" s="382">
        <f>IF(TOTALCO!A685="", "",TOTALCO!A685)</f>
        <v>4</v>
      </c>
      <c r="B160" s="4" t="str">
        <f>IF(TOTALCO!B685="", "",TOTALCO!B685)</f>
        <v xml:space="preserve"> 364-POLES, TOWERS, AND FIXTURES</v>
      </c>
      <c r="C160" s="4" t="str">
        <f>IF(TOTALCO!C685="", "",TOTALCO!C685)</f>
        <v>DEM364K</v>
      </c>
      <c r="D160" s="12">
        <f ca="1">IF(TOTALCO!D685="", "",TOTALCO!D685)</f>
        <v>273798351.31999999</v>
      </c>
      <c r="E160" s="12" t="str">
        <f>IF(TOTALCO!E685="", "",TOTALCO!E685)</f>
        <v/>
      </c>
      <c r="F160" s="12">
        <f ca="1">IF(TOTALCO!F685="", "",TOTALCO!F685)</f>
        <v>273798351.31999999</v>
      </c>
      <c r="G160" s="12" t="str">
        <f>IF(TOTALCO!G685="", "",TOTALCO!G685)</f>
        <v/>
      </c>
      <c r="H160" s="12">
        <f ca="1">IF(TOTALCO!H685="", "",TOTALCO!H685)</f>
        <v>0</v>
      </c>
      <c r="I160" s="12">
        <f ca="1">IF(TOTALCO!I685="", "",TOTALCO!I685)</f>
        <v>0</v>
      </c>
      <c r="J160" s="12" t="str">
        <f>IF(TOTALCO!J685="", "",TOTALCO!J685)</f>
        <v/>
      </c>
      <c r="K160" s="12" t="str">
        <f>IF(TOTALCO!K685="", "",TOTALCO!K685)</f>
        <v/>
      </c>
      <c r="L160" s="12">
        <f ca="1">IF(TOTALCO!L685="", "",TOTALCO!L685)</f>
        <v>0</v>
      </c>
      <c r="M160" s="12" t="str">
        <f>IF(TOTALCO!M685="", "",TOTALCO!M685)</f>
        <v/>
      </c>
      <c r="N160" s="12">
        <f ca="1">IF(TOTALCO!N685="", "",TOTALCO!N685)</f>
        <v>0</v>
      </c>
      <c r="O160" s="12">
        <f ca="1">IF(TOTALCO!O685="", "",TOTALCO!O685)</f>
        <v>0</v>
      </c>
      <c r="P160" s="12">
        <f ca="1">IF(TOTALCO!P685="", "",TOTALCO!P685)</f>
        <v>0</v>
      </c>
      <c r="Q160" s="12"/>
      <c r="R160" s="13"/>
    </row>
    <row r="161" spans="1:18" ht="15" x14ac:dyDescent="0.2">
      <c r="A161" s="382">
        <f>IF(TOTALCO!A686="", "",TOTALCO!A686)</f>
        <v>5</v>
      </c>
      <c r="B161" s="4" t="str">
        <f>IF(TOTALCO!B686="", "",TOTALCO!B686)</f>
        <v xml:space="preserve"> 365-OH CONDUCTORS AND DEVICES</v>
      </c>
      <c r="C161" s="4" t="str">
        <f>IF(TOTALCO!C686="", "",TOTALCO!C686)</f>
        <v>DEM365K</v>
      </c>
      <c r="D161" s="12">
        <f ca="1">IF(TOTALCO!D686="", "",TOTALCO!D686)</f>
        <v>263336953.54999995</v>
      </c>
      <c r="E161" s="12" t="str">
        <f>IF(TOTALCO!E686="", "",TOTALCO!E686)</f>
        <v/>
      </c>
      <c r="F161" s="12">
        <f ca="1">IF(TOTALCO!F686="", "",TOTALCO!F686)</f>
        <v>263336953.54999995</v>
      </c>
      <c r="G161" s="12" t="str">
        <f>IF(TOTALCO!G686="", "",TOTALCO!G686)</f>
        <v/>
      </c>
      <c r="H161" s="12">
        <f ca="1">IF(TOTALCO!H686="", "",TOTALCO!H686)</f>
        <v>0</v>
      </c>
      <c r="I161" s="12">
        <f ca="1">IF(TOTALCO!I686="", "",TOTALCO!I686)</f>
        <v>0</v>
      </c>
      <c r="J161" s="12" t="str">
        <f>IF(TOTALCO!J686="", "",TOTALCO!J686)</f>
        <v/>
      </c>
      <c r="K161" s="12" t="str">
        <f>IF(TOTALCO!K686="", "",TOTALCO!K686)</f>
        <v/>
      </c>
      <c r="L161" s="12">
        <f ca="1">IF(TOTALCO!L686="", "",TOTALCO!L686)</f>
        <v>0</v>
      </c>
      <c r="M161" s="12" t="str">
        <f>IF(TOTALCO!M686="", "",TOTALCO!M686)</f>
        <v/>
      </c>
      <c r="N161" s="12">
        <f ca="1">IF(TOTALCO!N686="", "",TOTALCO!N686)</f>
        <v>0</v>
      </c>
      <c r="O161" s="12">
        <f ca="1">IF(TOTALCO!O686="", "",TOTALCO!O686)</f>
        <v>0</v>
      </c>
      <c r="P161" s="12">
        <f ca="1">IF(TOTALCO!P686="", "",TOTALCO!P686)</f>
        <v>0</v>
      </c>
      <c r="Q161" s="12"/>
      <c r="R161" s="13"/>
    </row>
    <row r="162" spans="1:18" ht="15" x14ac:dyDescent="0.2">
      <c r="A162" s="382">
        <f>IF(TOTALCO!A687="", "",TOTALCO!A687)</f>
        <v>6</v>
      </c>
      <c r="B162" s="4" t="str">
        <f>IF(TOTALCO!B687="", "",TOTALCO!B687)</f>
        <v xml:space="preserve"> 366-UNDERGROUND CONDUIT</v>
      </c>
      <c r="C162" s="4" t="str">
        <f>IF(TOTALCO!C687="", "",TOTALCO!C687)</f>
        <v>DEM366K</v>
      </c>
      <c r="D162" s="12">
        <f ca="1">IF(TOTALCO!D687="", "",TOTALCO!D687)</f>
        <v>1831865.0699999998</v>
      </c>
      <c r="E162" s="12" t="str">
        <f>IF(TOTALCO!E687="", "",TOTALCO!E687)</f>
        <v/>
      </c>
      <c r="F162" s="12">
        <f ca="1">IF(TOTALCO!F687="", "",TOTALCO!F687)</f>
        <v>1831865.0699999998</v>
      </c>
      <c r="G162" s="12" t="str">
        <f>IF(TOTALCO!G687="", "",TOTALCO!G687)</f>
        <v/>
      </c>
      <c r="H162" s="12">
        <f ca="1">IF(TOTALCO!H687="", "",TOTALCO!H687)</f>
        <v>0</v>
      </c>
      <c r="I162" s="12">
        <f ca="1">IF(TOTALCO!I687="", "",TOTALCO!I687)</f>
        <v>0</v>
      </c>
      <c r="J162" s="12" t="str">
        <f>IF(TOTALCO!J687="", "",TOTALCO!J687)</f>
        <v/>
      </c>
      <c r="K162" s="12" t="str">
        <f>IF(TOTALCO!K687="", "",TOTALCO!K687)</f>
        <v/>
      </c>
      <c r="L162" s="12">
        <f ca="1">IF(TOTALCO!L687="", "",TOTALCO!L687)</f>
        <v>0</v>
      </c>
      <c r="M162" s="12" t="str">
        <f>IF(TOTALCO!M687="", "",TOTALCO!M687)</f>
        <v/>
      </c>
      <c r="N162" s="12">
        <f ca="1">IF(TOTALCO!N687="", "",TOTALCO!N687)</f>
        <v>0</v>
      </c>
      <c r="O162" s="12">
        <f ca="1">IF(TOTALCO!O687="", "",TOTALCO!O687)</f>
        <v>0</v>
      </c>
      <c r="P162" s="12">
        <f ca="1">IF(TOTALCO!P687="", "",TOTALCO!P687)</f>
        <v>0</v>
      </c>
      <c r="Q162" s="12"/>
      <c r="R162" s="13"/>
    </row>
    <row r="163" spans="1:18" ht="15" x14ac:dyDescent="0.2">
      <c r="A163" s="382">
        <f>IF(TOTALCO!A688="", "",TOTALCO!A688)</f>
        <v>7</v>
      </c>
      <c r="B163" s="4" t="str">
        <f>IF(TOTALCO!B688="", "",TOTALCO!B688)</f>
        <v xml:space="preserve"> 367-UG CONDUCTORS AND DEVICES</v>
      </c>
      <c r="C163" s="4" t="str">
        <f>IF(TOTALCO!C688="", "",TOTALCO!C688)</f>
        <v>DEM367K</v>
      </c>
      <c r="D163" s="12">
        <f ca="1">IF(TOTALCO!D688="", "",TOTALCO!D688)</f>
        <v>139509219.16</v>
      </c>
      <c r="E163" s="12" t="str">
        <f>IF(TOTALCO!E688="", "",TOTALCO!E688)</f>
        <v/>
      </c>
      <c r="F163" s="12">
        <f ca="1">IF(TOTALCO!F688="", "",TOTALCO!F688)</f>
        <v>139509219.16</v>
      </c>
      <c r="G163" s="12" t="str">
        <f>IF(TOTALCO!G688="", "",TOTALCO!G688)</f>
        <v/>
      </c>
      <c r="H163" s="12">
        <f ca="1">IF(TOTALCO!H688="", "",TOTALCO!H688)</f>
        <v>0</v>
      </c>
      <c r="I163" s="12">
        <f ca="1">IF(TOTALCO!I688="", "",TOTALCO!I688)</f>
        <v>0</v>
      </c>
      <c r="J163" s="12" t="str">
        <f>IF(TOTALCO!J688="", "",TOTALCO!J688)</f>
        <v/>
      </c>
      <c r="K163" s="12" t="str">
        <f>IF(TOTALCO!K688="", "",TOTALCO!K688)</f>
        <v/>
      </c>
      <c r="L163" s="12">
        <f ca="1">IF(TOTALCO!L688="", "",TOTALCO!L688)</f>
        <v>0</v>
      </c>
      <c r="M163" s="12" t="str">
        <f>IF(TOTALCO!M688="", "",TOTALCO!M688)</f>
        <v/>
      </c>
      <c r="N163" s="12">
        <f ca="1">IF(TOTALCO!N688="", "",TOTALCO!N688)</f>
        <v>0</v>
      </c>
      <c r="O163" s="12">
        <f ca="1">IF(TOTALCO!O688="", "",TOTALCO!O688)</f>
        <v>0</v>
      </c>
      <c r="P163" s="12">
        <f ca="1">IF(TOTALCO!P688="", "",TOTALCO!P688)</f>
        <v>0</v>
      </c>
      <c r="Q163" s="12"/>
      <c r="R163" s="13"/>
    </row>
    <row r="164" spans="1:18" ht="15" x14ac:dyDescent="0.2">
      <c r="A164" s="382" t="str">
        <f>IF(TOTALCO!A689="", "",TOTALCO!A689)</f>
        <v/>
      </c>
      <c r="B164" s="4" t="str">
        <f>IF(TOTALCO!B689="", "",TOTALCO!B689)</f>
        <v xml:space="preserve"> 368-LINE TRANSFORMERS</v>
      </c>
      <c r="C164" s="4" t="str">
        <f>IF(TOTALCO!C689="", "",TOTALCO!C689)</f>
        <v/>
      </c>
      <c r="D164" s="12" t="str">
        <f>IF(TOTALCO!D689="", "",TOTALCO!D689)</f>
        <v/>
      </c>
      <c r="E164" s="12" t="str">
        <f>IF(TOTALCO!E689="", "",TOTALCO!E689)</f>
        <v/>
      </c>
      <c r="F164" s="12" t="str">
        <f>IF(TOTALCO!F689="", "",TOTALCO!F689)</f>
        <v/>
      </c>
      <c r="G164" s="12" t="str">
        <f>IF(TOTALCO!G689="", "",TOTALCO!G689)</f>
        <v/>
      </c>
      <c r="H164" s="12" t="str">
        <f>IF(TOTALCO!H689="", "",TOTALCO!H689)</f>
        <v/>
      </c>
      <c r="I164" s="12" t="str">
        <f>IF(TOTALCO!I689="", "",TOTALCO!I689)</f>
        <v/>
      </c>
      <c r="J164" s="12" t="str">
        <f>IF(TOTALCO!J689="", "",TOTALCO!J689)</f>
        <v/>
      </c>
      <c r="K164" s="12" t="str">
        <f>IF(TOTALCO!K689="", "",TOTALCO!K689)</f>
        <v/>
      </c>
      <c r="L164" s="12" t="str">
        <f>IF(TOTALCO!L689="", "",TOTALCO!L689)</f>
        <v/>
      </c>
      <c r="M164" s="12" t="str">
        <f>IF(TOTALCO!M689="", "",TOTALCO!M689)</f>
        <v/>
      </c>
      <c r="N164" s="12" t="str">
        <f>IF(TOTALCO!N689="", "",TOTALCO!N689)</f>
        <v/>
      </c>
      <c r="O164" s="12" t="str">
        <f>IF(TOTALCO!O689="", "",TOTALCO!O689)</f>
        <v/>
      </c>
      <c r="P164" s="12" t="str">
        <f>IF(TOTALCO!P689="", "",TOTALCO!P689)</f>
        <v/>
      </c>
      <c r="Q164" s="12"/>
      <c r="R164" s="13"/>
    </row>
    <row r="165" spans="1:18" ht="15" x14ac:dyDescent="0.2">
      <c r="A165" s="382">
        <f>IF(TOTALCO!A690="", "",TOTALCO!A690)</f>
        <v>8</v>
      </c>
      <c r="B165" s="4" t="str">
        <f>IF(TOTALCO!B690="", "",TOTALCO!B690)</f>
        <v xml:space="preserve">    POWER POOL</v>
      </c>
      <c r="C165" s="4" t="str">
        <f>IF(TOTALCO!C690="", "",TOTALCO!C690)</f>
        <v>DPRODKY</v>
      </c>
      <c r="D165" s="12">
        <f ca="1">IF(TOTALCO!D690="", "",TOTALCO!D690)</f>
        <v>5932406.1000000006</v>
      </c>
      <c r="E165" s="12" t="str">
        <f>IF(TOTALCO!E690="", "",TOTALCO!E690)</f>
        <v/>
      </c>
      <c r="F165" s="12">
        <f ca="1">IF(TOTALCO!F690="", "",TOTALCO!F690)</f>
        <v>5409429.2561249696</v>
      </c>
      <c r="G165" s="12" t="str">
        <f>IF(TOTALCO!G690="", "",TOTALCO!G690)</f>
        <v/>
      </c>
      <c r="H165" s="12">
        <f ca="1">IF(TOTALCO!H690="", "",TOTALCO!H690)</f>
        <v>0</v>
      </c>
      <c r="I165" s="12">
        <f ca="1">IF(TOTALCO!I690="", "",TOTALCO!I690)</f>
        <v>522976.84387503075</v>
      </c>
      <c r="J165" s="12" t="str">
        <f>IF(TOTALCO!J690="", "",TOTALCO!J690)</f>
        <v/>
      </c>
      <c r="K165" s="12" t="str">
        <f>IF(TOTALCO!K690="", "",TOTALCO!K690)</f>
        <v/>
      </c>
      <c r="L165" s="12">
        <f ca="1">IF(TOTALCO!L690="", "",TOTALCO!L690)</f>
        <v>0</v>
      </c>
      <c r="M165" s="12" t="str">
        <f>IF(TOTALCO!M690="", "",TOTALCO!M690)</f>
        <v/>
      </c>
      <c r="N165" s="12">
        <f ca="1">IF(TOTALCO!N690="", "",TOTALCO!N690)</f>
        <v>522976.84387503075</v>
      </c>
      <c r="O165" s="12">
        <f ca="1">IF(TOTALCO!O690="", "",TOTALCO!O690)</f>
        <v>163182.04439945545</v>
      </c>
      <c r="P165" s="12">
        <f ca="1">IF(TOTALCO!P690="", "",TOTALCO!P690)</f>
        <v>359794.79947557527</v>
      </c>
      <c r="Q165" s="12"/>
      <c r="R165" s="13"/>
    </row>
    <row r="166" spans="1:18" ht="15" x14ac:dyDescent="0.2">
      <c r="A166" s="382">
        <f>IF(TOTALCO!A691="", "",TOTALCO!A691)</f>
        <v>9</v>
      </c>
      <c r="B166" s="4" t="str">
        <f>IF(TOTALCO!B691="", "",TOTALCO!B691)</f>
        <v xml:space="preserve">    ALL OTHER</v>
      </c>
      <c r="C166" s="4" t="str">
        <f>IF(TOTALCO!C691="", "",TOTALCO!C691)</f>
        <v>DEM368K</v>
      </c>
      <c r="D166" s="12">
        <f ca="1">IF(TOTALCO!D691="", "",TOTALCO!D691)</f>
        <v>267984931.00000003</v>
      </c>
      <c r="E166" s="12" t="str">
        <f>IF(TOTALCO!E691="", "",TOTALCO!E691)</f>
        <v/>
      </c>
      <c r="F166" s="12">
        <f ca="1">IF(TOTALCO!F691="", "",TOTALCO!F691)</f>
        <v>267984931.00000003</v>
      </c>
      <c r="G166" s="12" t="str">
        <f>IF(TOTALCO!G691="", "",TOTALCO!G691)</f>
        <v/>
      </c>
      <c r="H166" s="12">
        <f ca="1">IF(TOTALCO!H691="", "",TOTALCO!H691)</f>
        <v>0</v>
      </c>
      <c r="I166" s="12">
        <f ca="1">IF(TOTALCO!I691="", "",TOTALCO!I691)</f>
        <v>0</v>
      </c>
      <c r="J166" s="12" t="str">
        <f>IF(TOTALCO!J691="", "",TOTALCO!J691)</f>
        <v/>
      </c>
      <c r="K166" s="12" t="str">
        <f>IF(TOTALCO!K691="", "",TOTALCO!K691)</f>
        <v/>
      </c>
      <c r="L166" s="12">
        <f ca="1">IF(TOTALCO!L691="", "",TOTALCO!L691)</f>
        <v>0</v>
      </c>
      <c r="M166" s="12" t="str">
        <f>IF(TOTALCO!M691="", "",TOTALCO!M691)</f>
        <v/>
      </c>
      <c r="N166" s="12">
        <f ca="1">IF(TOTALCO!N691="", "",TOTALCO!N691)</f>
        <v>0</v>
      </c>
      <c r="O166" s="12">
        <f ca="1">IF(TOTALCO!O691="", "",TOTALCO!O691)</f>
        <v>0</v>
      </c>
      <c r="P166" s="12">
        <f ca="1">IF(TOTALCO!P691="", "",TOTALCO!P691)</f>
        <v>0</v>
      </c>
      <c r="Q166" s="12"/>
      <c r="R166" s="13"/>
    </row>
    <row r="167" spans="1:18" ht="15" x14ac:dyDescent="0.2">
      <c r="A167" s="382">
        <f>IF(TOTALCO!A692="", "",TOTALCO!A692)</f>
        <v>10</v>
      </c>
      <c r="B167" s="4" t="str">
        <f>IF(TOTALCO!B692="", "",TOTALCO!B692)</f>
        <v xml:space="preserve"> TOTAL 368-LINE TRANSFORMERS</v>
      </c>
      <c r="C167" s="4" t="str">
        <f>IF(TOTALCO!C692="", "",TOTALCO!C692)</f>
        <v/>
      </c>
      <c r="D167" s="12">
        <f ca="1">IF(TOTALCO!D692="", "",TOTALCO!D692)</f>
        <v>273917337.10000002</v>
      </c>
      <c r="E167" s="12" t="str">
        <f>IF(TOTALCO!E692="", "",TOTALCO!E692)</f>
        <v/>
      </c>
      <c r="F167" s="12">
        <f ca="1">IF(TOTALCO!F692="", "",TOTALCO!F692)</f>
        <v>273394360.25612497</v>
      </c>
      <c r="G167" s="12" t="str">
        <f>IF(TOTALCO!G692="", "",TOTALCO!G692)</f>
        <v/>
      </c>
      <c r="H167" s="12">
        <f ca="1">IF(TOTALCO!H692="", "",TOTALCO!H692)</f>
        <v>0</v>
      </c>
      <c r="I167" s="12">
        <f ca="1">IF(TOTALCO!I692="", "",TOTALCO!I692)</f>
        <v>522976.84387503075</v>
      </c>
      <c r="J167" s="12" t="str">
        <f>IF(TOTALCO!J692="", "",TOTALCO!J692)</f>
        <v/>
      </c>
      <c r="K167" s="12" t="str">
        <f>IF(TOTALCO!K692="", "",TOTALCO!K692)</f>
        <v/>
      </c>
      <c r="L167" s="12">
        <f ca="1">IF(TOTALCO!L692="", "",TOTALCO!L692)</f>
        <v>0</v>
      </c>
      <c r="M167" s="12" t="str">
        <f>IF(TOTALCO!M692="", "",TOTALCO!M692)</f>
        <v/>
      </c>
      <c r="N167" s="12">
        <f ca="1">IF(TOTALCO!N692="", "",TOTALCO!N692)</f>
        <v>522976.84387503075</v>
      </c>
      <c r="O167" s="12">
        <f ca="1">IF(TOTALCO!O692="", "",TOTALCO!O692)</f>
        <v>163182.04439945545</v>
      </c>
      <c r="P167" s="12">
        <f ca="1">IF(TOTALCO!P692="", "",TOTALCO!P692)</f>
        <v>359794.79947557527</v>
      </c>
      <c r="Q167" s="12"/>
      <c r="R167" s="13"/>
    </row>
    <row r="168" spans="1:18" ht="15" x14ac:dyDescent="0.2">
      <c r="A168" s="382">
        <f>IF(TOTALCO!A693="", "",TOTALCO!A693)</f>
        <v>11</v>
      </c>
      <c r="B168" s="4" t="str">
        <f>IF(TOTALCO!B693="", "",TOTALCO!B693)</f>
        <v xml:space="preserve"> 369-SERVICES</v>
      </c>
      <c r="C168" s="4" t="str">
        <f>IF(TOTALCO!C693="", "",TOTALCO!C693)</f>
        <v>CUST369K</v>
      </c>
      <c r="D168" s="12">
        <f ca="1">IF(TOTALCO!D693="", "",TOTALCO!D693)</f>
        <v>84507617.649999991</v>
      </c>
      <c r="E168" s="12" t="str">
        <f>IF(TOTALCO!E693="", "",TOTALCO!E693)</f>
        <v/>
      </c>
      <c r="F168" s="12">
        <f ca="1">IF(TOTALCO!F693="", "",TOTALCO!F693)</f>
        <v>84507617.649999991</v>
      </c>
      <c r="G168" s="12" t="str">
        <f>IF(TOTALCO!G693="", "",TOTALCO!G693)</f>
        <v/>
      </c>
      <c r="H168" s="12">
        <f ca="1">IF(TOTALCO!H693="", "",TOTALCO!H693)</f>
        <v>0</v>
      </c>
      <c r="I168" s="12">
        <f ca="1">IF(TOTALCO!I693="", "",TOTALCO!I693)</f>
        <v>0</v>
      </c>
      <c r="J168" s="12" t="str">
        <f>IF(TOTALCO!J693="", "",TOTALCO!J693)</f>
        <v/>
      </c>
      <c r="K168" s="12" t="str">
        <f>IF(TOTALCO!K693="", "",TOTALCO!K693)</f>
        <v/>
      </c>
      <c r="L168" s="12">
        <f ca="1">IF(TOTALCO!L693="", "",TOTALCO!L693)</f>
        <v>0</v>
      </c>
      <c r="M168" s="12" t="str">
        <f>IF(TOTALCO!M693="", "",TOTALCO!M693)</f>
        <v/>
      </c>
      <c r="N168" s="12">
        <f ca="1">IF(TOTALCO!N693="", "",TOTALCO!N693)</f>
        <v>0</v>
      </c>
      <c r="O168" s="12">
        <f ca="1">IF(TOTALCO!O693="", "",TOTALCO!O693)</f>
        <v>0</v>
      </c>
      <c r="P168" s="12">
        <f ca="1">IF(TOTALCO!P693="", "",TOTALCO!P693)</f>
        <v>0</v>
      </c>
      <c r="Q168" s="12"/>
      <c r="R168" s="13"/>
    </row>
    <row r="169" spans="1:18" ht="15" x14ac:dyDescent="0.2">
      <c r="A169" s="382">
        <f>IF(TOTALCO!A694="", "",TOTALCO!A694)</f>
        <v>12</v>
      </c>
      <c r="B169" s="4" t="str">
        <f>IF(TOTALCO!B694="", "",TOTALCO!B694)</f>
        <v xml:space="preserve"> 370-METERS</v>
      </c>
      <c r="C169" s="4" t="str">
        <f>IF(TOTALCO!C694="", "",TOTALCO!C694)</f>
        <v>CUST370K</v>
      </c>
      <c r="D169" s="12">
        <f ca="1">IF(TOTALCO!D694="", "",TOTALCO!D694)</f>
        <v>67284794.690000013</v>
      </c>
      <c r="E169" s="12" t="str">
        <f>IF(TOTALCO!E694="", "",TOTALCO!E694)</f>
        <v/>
      </c>
      <c r="F169" s="12">
        <f ca="1">IF(TOTALCO!F694="", "",TOTALCO!F694)</f>
        <v>66969752.690000013</v>
      </c>
      <c r="G169" s="12" t="str">
        <f>IF(TOTALCO!G694="", "",TOTALCO!G694)</f>
        <v/>
      </c>
      <c r="H169" s="12">
        <f ca="1">IF(TOTALCO!H694="", "",TOTALCO!H694)</f>
        <v>0</v>
      </c>
      <c r="I169" s="12">
        <f ca="1">IF(TOTALCO!I694="", "",TOTALCO!I694)</f>
        <v>315042</v>
      </c>
      <c r="J169" s="12" t="str">
        <f>IF(TOTALCO!J694="", "",TOTALCO!J694)</f>
        <v/>
      </c>
      <c r="K169" s="12" t="str">
        <f>IF(TOTALCO!K694="", "",TOTALCO!K694)</f>
        <v/>
      </c>
      <c r="L169" s="12">
        <f ca="1">IF(TOTALCO!L694="", "",TOTALCO!L694)</f>
        <v>0</v>
      </c>
      <c r="M169" s="12" t="str">
        <f>IF(TOTALCO!M694="", "",TOTALCO!M694)</f>
        <v/>
      </c>
      <c r="N169" s="12">
        <f ca="1">IF(TOTALCO!N694="", "",TOTALCO!N694)</f>
        <v>315042</v>
      </c>
      <c r="O169" s="12">
        <f ca="1">IF(TOTALCO!O694="", "",TOTALCO!O694)</f>
        <v>66911</v>
      </c>
      <c r="P169" s="12">
        <f ca="1">IF(TOTALCO!P694="", "",TOTALCO!P694)</f>
        <v>248131</v>
      </c>
      <c r="Q169" s="12"/>
      <c r="R169" s="13"/>
    </row>
    <row r="170" spans="1:18" ht="15" x14ac:dyDescent="0.2">
      <c r="A170" s="382">
        <f>IF(TOTALCO!A695="", "",TOTALCO!A695)</f>
        <v>13</v>
      </c>
      <c r="B170" s="4" t="str">
        <f>IF(TOTALCO!B695="", "",TOTALCO!B695)</f>
        <v xml:space="preserve"> 371-INSTALL ON CUSTOMER PREMISES</v>
      </c>
      <c r="C170" s="4" t="str">
        <f>IF(TOTALCO!C695="", "",TOTALCO!C695)</f>
        <v>CUST371K</v>
      </c>
      <c r="D170" s="12">
        <f ca="1">IF(TOTALCO!D695="", "",TOTALCO!D695)</f>
        <v>17384575.219999999</v>
      </c>
      <c r="E170" s="12" t="str">
        <f>IF(TOTALCO!E695="", "",TOTALCO!E695)</f>
        <v/>
      </c>
      <c r="F170" s="12">
        <f ca="1">IF(TOTALCO!F695="", "",TOTALCO!F695)</f>
        <v>17384575.219999999</v>
      </c>
      <c r="G170" s="12" t="str">
        <f>IF(TOTALCO!G695="", "",TOTALCO!G695)</f>
        <v/>
      </c>
      <c r="H170" s="12">
        <f ca="1">IF(TOTALCO!H695="", "",TOTALCO!H695)</f>
        <v>0</v>
      </c>
      <c r="I170" s="12">
        <f ca="1">IF(TOTALCO!I695="", "",TOTALCO!I695)</f>
        <v>0</v>
      </c>
      <c r="J170" s="12" t="str">
        <f>IF(TOTALCO!J695="", "",TOTALCO!J695)</f>
        <v/>
      </c>
      <c r="K170" s="12" t="str">
        <f>IF(TOTALCO!K695="", "",TOTALCO!K695)</f>
        <v/>
      </c>
      <c r="L170" s="12">
        <f ca="1">IF(TOTALCO!L695="", "",TOTALCO!L695)</f>
        <v>0</v>
      </c>
      <c r="M170" s="12" t="str">
        <f>IF(TOTALCO!M695="", "",TOTALCO!M695)</f>
        <v/>
      </c>
      <c r="N170" s="12">
        <f ca="1">IF(TOTALCO!N695="", "",TOTALCO!N695)</f>
        <v>0</v>
      </c>
      <c r="O170" s="12">
        <f ca="1">IF(TOTALCO!O695="", "",TOTALCO!O695)</f>
        <v>0</v>
      </c>
      <c r="P170" s="12">
        <f ca="1">IF(TOTALCO!P695="", "",TOTALCO!P695)</f>
        <v>0</v>
      </c>
      <c r="Q170" s="12"/>
      <c r="R170" s="13"/>
    </row>
    <row r="171" spans="1:18" ht="15" x14ac:dyDescent="0.2">
      <c r="A171" s="382">
        <f>IF(TOTALCO!A696="", "",TOTALCO!A696)</f>
        <v>14</v>
      </c>
      <c r="B171" s="4" t="str">
        <f>IF(TOTALCO!B696="", "",TOTALCO!B696)</f>
        <v xml:space="preserve"> 373-STREET LIGHTING</v>
      </c>
      <c r="C171" s="4" t="str">
        <f>IF(TOTALCO!C696="", "",TOTALCO!C696)</f>
        <v>CUST373K</v>
      </c>
      <c r="D171" s="12">
        <f ca="1">IF(TOTALCO!D696="", "",TOTALCO!D696)</f>
        <v>80975589.62000002</v>
      </c>
      <c r="E171" s="12" t="str">
        <f>IF(TOTALCO!E696="", "",TOTALCO!E696)</f>
        <v/>
      </c>
      <c r="F171" s="12">
        <f ca="1">IF(TOTALCO!F696="", "",TOTALCO!F696)</f>
        <v>80975589.62000002</v>
      </c>
      <c r="G171" s="12" t="str">
        <f>IF(TOTALCO!G696="", "",TOTALCO!G696)</f>
        <v/>
      </c>
      <c r="H171" s="12">
        <f ca="1">IF(TOTALCO!H696="", "",TOTALCO!H696)</f>
        <v>0</v>
      </c>
      <c r="I171" s="12">
        <f ca="1">IF(TOTALCO!I696="", "",TOTALCO!I696)</f>
        <v>0</v>
      </c>
      <c r="J171" s="12" t="str">
        <f>IF(TOTALCO!J696="", "",TOTALCO!J696)</f>
        <v/>
      </c>
      <c r="K171" s="12" t="str">
        <f>IF(TOTALCO!K696="", "",TOTALCO!K696)</f>
        <v/>
      </c>
      <c r="L171" s="12">
        <f ca="1">IF(TOTALCO!L696="", "",TOTALCO!L696)</f>
        <v>0</v>
      </c>
      <c r="M171" s="12" t="str">
        <f>IF(TOTALCO!M696="", "",TOTALCO!M696)</f>
        <v/>
      </c>
      <c r="N171" s="12">
        <f ca="1">IF(TOTALCO!N696="", "",TOTALCO!N696)</f>
        <v>0</v>
      </c>
      <c r="O171" s="12">
        <f ca="1">IF(TOTALCO!O696="", "",TOTALCO!O696)</f>
        <v>0</v>
      </c>
      <c r="P171" s="12">
        <f ca="1">IF(TOTALCO!P696="", "",TOTALCO!P696)</f>
        <v>0</v>
      </c>
      <c r="Q171" s="12"/>
      <c r="R171" s="13"/>
    </row>
    <row r="172" spans="1:18" ht="15" x14ac:dyDescent="0.2">
      <c r="A172" s="382">
        <f>IF(TOTALCO!A697="", "",TOTALCO!A697)</f>
        <v>15</v>
      </c>
      <c r="B172" s="4" t="str">
        <f>IF(TOTALCO!B697="", "",TOTALCO!B697)</f>
        <v xml:space="preserve"> 374-ARO COST KY ELEC DISTRIB</v>
      </c>
      <c r="C172" s="4" t="str">
        <f>IF(TOTALCO!C697="", "",TOTALCO!C697)</f>
        <v>DEM374K</v>
      </c>
      <c r="D172" s="12">
        <f ca="1">IF(TOTALCO!D697="", "",TOTALCO!D697)</f>
        <v>786954.55</v>
      </c>
      <c r="E172" s="12" t="str">
        <f>IF(TOTALCO!E697="", "",TOTALCO!E697)</f>
        <v/>
      </c>
      <c r="F172" s="12">
        <f ca="1">IF(TOTALCO!F697="", "",TOTALCO!F697)</f>
        <v>786954.55</v>
      </c>
      <c r="G172" s="12" t="str">
        <f>IF(TOTALCO!G697="", "",TOTALCO!G697)</f>
        <v/>
      </c>
      <c r="H172" s="12">
        <f ca="1">IF(TOTALCO!H697="", "",TOTALCO!H697)</f>
        <v>0</v>
      </c>
      <c r="I172" s="12">
        <f ca="1">IF(TOTALCO!I697="", "",TOTALCO!I697)</f>
        <v>0</v>
      </c>
      <c r="J172" s="12" t="str">
        <f>IF(TOTALCO!J697="", "",TOTALCO!J697)</f>
        <v/>
      </c>
      <c r="K172" s="12" t="str">
        <f>IF(TOTALCO!K697="", "",TOTALCO!K697)</f>
        <v/>
      </c>
      <c r="L172" s="12">
        <f ca="1">IF(TOTALCO!L697="", "",TOTALCO!L697)</f>
        <v>0</v>
      </c>
      <c r="M172" s="12" t="str">
        <f>IF(TOTALCO!M697="", "",TOTALCO!M697)</f>
        <v/>
      </c>
      <c r="N172" s="12">
        <f ca="1">IF(TOTALCO!N697="", "",TOTALCO!N697)</f>
        <v>0</v>
      </c>
      <c r="O172" s="12">
        <f ca="1">IF(TOTALCO!O697="", "",TOTALCO!O697)</f>
        <v>0</v>
      </c>
      <c r="P172" s="12">
        <f ca="1">IF(TOTALCO!P697="", "",TOTALCO!P697)</f>
        <v>0</v>
      </c>
      <c r="Q172" s="12"/>
      <c r="R172" s="13"/>
    </row>
    <row r="173" spans="1:18" ht="15" x14ac:dyDescent="0.2">
      <c r="A173" s="382">
        <f>IF(TOTALCO!A698="", "",TOTALCO!A698)</f>
        <v>16</v>
      </c>
      <c r="B173" s="4" t="str">
        <f>IF(TOTALCO!B698="", "",TOTALCO!B698)</f>
        <v xml:space="preserve"> TOTAL KENTUCKY DISTRIB PLANT</v>
      </c>
      <c r="C173" s="4" t="str">
        <f>IF(TOTALCO!C698="", "",TOTALCO!C698)</f>
        <v/>
      </c>
      <c r="D173" s="12">
        <f ca="1">IF(TOTALCO!D698="", "",TOTALCO!D698)</f>
        <v>1353270008.3899999</v>
      </c>
      <c r="E173" s="12" t="str">
        <f>IF(TOTALCO!E698="", "",TOTALCO!E698)</f>
        <v/>
      </c>
      <c r="F173" s="12">
        <f ca="1">IF(TOTALCO!F698="", "",TOTALCO!F698)</f>
        <v>1348948019.5461249</v>
      </c>
      <c r="G173" s="12" t="str">
        <f>IF(TOTALCO!G698="", "",TOTALCO!G698)</f>
        <v/>
      </c>
      <c r="H173" s="12">
        <f ca="1">IF(TOTALCO!H698="", "",TOTALCO!H698)</f>
        <v>0</v>
      </c>
      <c r="I173" s="12">
        <f ca="1">IF(TOTALCO!I698="", "",TOTALCO!I698)</f>
        <v>4321988.843875031</v>
      </c>
      <c r="J173" s="12" t="str">
        <f>IF(TOTALCO!J698="", "",TOTALCO!J698)</f>
        <v/>
      </c>
      <c r="K173" s="12" t="str">
        <f>IF(TOTALCO!K698="", "",TOTALCO!K698)</f>
        <v/>
      </c>
      <c r="L173" s="12">
        <f ca="1">IF(TOTALCO!L698="", "",TOTALCO!L698)</f>
        <v>0</v>
      </c>
      <c r="M173" s="12" t="str">
        <f>IF(TOTALCO!M698="", "",TOTALCO!M698)</f>
        <v/>
      </c>
      <c r="N173" s="12">
        <f ca="1">IF(TOTALCO!N698="", "",TOTALCO!N698)</f>
        <v>4321988.843875031</v>
      </c>
      <c r="O173" s="12">
        <f ca="1">IF(TOTALCO!O698="", "",TOTALCO!O698)</f>
        <v>3714063.0443994557</v>
      </c>
      <c r="P173" s="12">
        <f ca="1">IF(TOTALCO!P698="", "",TOTALCO!P698)</f>
        <v>607925.79947557533</v>
      </c>
      <c r="Q173" s="12"/>
      <c r="R173" s="13"/>
    </row>
    <row r="174" spans="1:18" ht="15" x14ac:dyDescent="0.2">
      <c r="A174" s="382" t="str">
        <f>IF(TOTALCO!A699="", "",TOTALCO!A699)</f>
        <v/>
      </c>
      <c r="B174" s="4" t="str">
        <f>IF(TOTALCO!B699="", "",TOTALCO!B699)</f>
        <v/>
      </c>
      <c r="C174" s="4" t="str">
        <f>IF(TOTALCO!C699="", "",TOTALCO!C699)</f>
        <v/>
      </c>
      <c r="D174" s="12"/>
      <c r="E174" s="12" t="str">
        <f>IF(TOTALCO!E699="", "",TOTALCO!E699)</f>
        <v/>
      </c>
      <c r="F174" s="12" t="str">
        <f>IF(TOTALCO!F699="", "",TOTALCO!F699)</f>
        <v/>
      </c>
      <c r="G174" s="12" t="str">
        <f>IF(TOTALCO!G699="", "",TOTALCO!G699)</f>
        <v/>
      </c>
      <c r="H174" s="12" t="str">
        <f>IF(TOTALCO!H699="", "",TOTALCO!H699)</f>
        <v/>
      </c>
      <c r="I174" s="12" t="str">
        <f>IF(TOTALCO!I699="", "",TOTALCO!I699)</f>
        <v/>
      </c>
      <c r="J174" s="12" t="str">
        <f>IF(TOTALCO!J699="", "",TOTALCO!J699)</f>
        <v/>
      </c>
      <c r="K174" s="12" t="str">
        <f>IF(TOTALCO!K699="", "",TOTALCO!K699)</f>
        <v/>
      </c>
      <c r="L174" s="12" t="str">
        <f>IF(TOTALCO!L699="", "",TOTALCO!L699)</f>
        <v/>
      </c>
      <c r="M174" s="12" t="str">
        <f>IF(TOTALCO!M699="", "",TOTALCO!M699)</f>
        <v/>
      </c>
      <c r="N174" s="12" t="str">
        <f>IF(TOTALCO!N699="", "",TOTALCO!N699)</f>
        <v/>
      </c>
      <c r="O174" s="12" t="str">
        <f>IF(TOTALCO!O699="", "",TOTALCO!O699)</f>
        <v/>
      </c>
      <c r="P174" s="12" t="str">
        <f>IF(TOTALCO!P699="", "",TOTALCO!P699)</f>
        <v/>
      </c>
      <c r="Q174" s="12"/>
      <c r="R174" s="13"/>
    </row>
    <row r="175" spans="1:18" ht="15" x14ac:dyDescent="0.2">
      <c r="A175" s="382" t="str">
        <f>IF(TOTALCO!A700="", "",TOTALCO!A700)</f>
        <v/>
      </c>
      <c r="B175" s="4" t="str">
        <f>IF(TOTALCO!B700="", "",TOTALCO!B700)</f>
        <v xml:space="preserve"> VIRGINIA DISTRIBUTION PLANT</v>
      </c>
      <c r="C175" s="4" t="str">
        <f>IF(TOTALCO!C700="", "",TOTALCO!C700)</f>
        <v/>
      </c>
      <c r="D175" s="12" t="str">
        <f>IF(TOTALCO!D700="", "",TOTALCO!D700)</f>
        <v/>
      </c>
      <c r="E175" s="12" t="str">
        <f>IF(TOTALCO!E700="", "",TOTALCO!E700)</f>
        <v/>
      </c>
      <c r="F175" s="12" t="str">
        <f>IF(TOTALCO!F700="", "",TOTALCO!F700)</f>
        <v/>
      </c>
      <c r="G175" s="12" t="str">
        <f>IF(TOTALCO!G700="", "",TOTALCO!G700)</f>
        <v/>
      </c>
      <c r="H175" s="12" t="str">
        <f>IF(TOTALCO!H700="", "",TOTALCO!H700)</f>
        <v/>
      </c>
      <c r="I175" s="12" t="str">
        <f>IF(TOTALCO!I700="", "",TOTALCO!I700)</f>
        <v/>
      </c>
      <c r="J175" s="12" t="str">
        <f>IF(TOTALCO!J700="", "",TOTALCO!J700)</f>
        <v/>
      </c>
      <c r="K175" s="12" t="str">
        <f>IF(TOTALCO!K700="", "",TOTALCO!K700)</f>
        <v/>
      </c>
      <c r="L175" s="12" t="str">
        <f>IF(TOTALCO!L700="", "",TOTALCO!L700)</f>
        <v/>
      </c>
      <c r="M175" s="12" t="str">
        <f>IF(TOTALCO!M700="", "",TOTALCO!M700)</f>
        <v/>
      </c>
      <c r="N175" s="12" t="str">
        <f>IF(TOTALCO!N700="", "",TOTALCO!N700)</f>
        <v/>
      </c>
      <c r="O175" s="12" t="str">
        <f>IF(TOTALCO!O700="", "",TOTALCO!O700)</f>
        <v/>
      </c>
      <c r="P175" s="12" t="str">
        <f>IF(TOTALCO!P700="", "",TOTALCO!P700)</f>
        <v/>
      </c>
      <c r="Q175" s="12"/>
      <c r="R175" s="13"/>
    </row>
    <row r="176" spans="1:18" ht="15" x14ac:dyDescent="0.2">
      <c r="A176" s="382">
        <f>IF(TOTALCO!A701="", "",TOTALCO!A701)</f>
        <v>17</v>
      </c>
      <c r="B176" s="4" t="str">
        <f>IF(TOTALCO!B701="", "",TOTALCO!B701)</f>
        <v xml:space="preserve"> 360-LAND &amp; LAND RIGHTS</v>
      </c>
      <c r="C176" s="4" t="str">
        <f>IF(TOTALCO!C701="", "",TOTALCO!C701)</f>
        <v>DEM360V</v>
      </c>
      <c r="D176" s="12">
        <f ca="1">IF(TOTALCO!D701="", "",TOTALCO!D701)</f>
        <v>193250.44</v>
      </c>
      <c r="E176" s="12" t="str">
        <f>IF(TOTALCO!E701="", "",TOTALCO!E701)</f>
        <v/>
      </c>
      <c r="F176" s="12">
        <f ca="1">IF(TOTALCO!F701="", "",TOTALCO!F701)</f>
        <v>0</v>
      </c>
      <c r="G176" s="12" t="str">
        <f>IF(TOTALCO!G701="", "",TOTALCO!G701)</f>
        <v/>
      </c>
      <c r="H176" s="12">
        <f ca="1">IF(TOTALCO!H701="", "",TOTALCO!H701)</f>
        <v>193250.44</v>
      </c>
      <c r="I176" s="12">
        <f ca="1">IF(TOTALCO!I701="", "",TOTALCO!I701)</f>
        <v>0</v>
      </c>
      <c r="J176" s="12" t="str">
        <f>IF(TOTALCO!J701="", "",TOTALCO!J701)</f>
        <v/>
      </c>
      <c r="K176" s="12" t="str">
        <f>IF(TOTALCO!K701="", "",TOTALCO!K701)</f>
        <v/>
      </c>
      <c r="L176" s="12">
        <f ca="1">IF(TOTALCO!L701="", "",TOTALCO!L701)</f>
        <v>0</v>
      </c>
      <c r="M176" s="12" t="str">
        <f>IF(TOTALCO!M701="", "",TOTALCO!M701)</f>
        <v/>
      </c>
      <c r="N176" s="12">
        <f ca="1">IF(TOTALCO!N701="", "",TOTALCO!N701)</f>
        <v>0</v>
      </c>
      <c r="O176" s="12">
        <f ca="1">IF(TOTALCO!O701="", "",TOTALCO!O701)</f>
        <v>0</v>
      </c>
      <c r="P176" s="12">
        <f ca="1">IF(TOTALCO!P701="", "",TOTALCO!P701)</f>
        <v>0</v>
      </c>
      <c r="Q176" s="12"/>
      <c r="R176" s="13"/>
    </row>
    <row r="177" spans="1:18" ht="15" x14ac:dyDescent="0.2">
      <c r="A177" s="382">
        <f>IF(TOTALCO!A702="", "",TOTALCO!A702)</f>
        <v>18</v>
      </c>
      <c r="B177" s="4" t="str">
        <f>IF(TOTALCO!B702="", "",TOTALCO!B702)</f>
        <v xml:space="preserve"> 361-STRUCTURES AND IMPROVEMENTS</v>
      </c>
      <c r="C177" s="4" t="str">
        <f>IF(TOTALCO!C702="", "",TOTALCO!C702)</f>
        <v>DEM361V</v>
      </c>
      <c r="D177" s="12">
        <f ca="1">IF(TOTALCO!D702="", "",TOTALCO!D702)</f>
        <v>448173.6</v>
      </c>
      <c r="E177" s="12" t="str">
        <f>IF(TOTALCO!E702="", "",TOTALCO!E702)</f>
        <v/>
      </c>
      <c r="F177" s="12">
        <f ca="1">IF(TOTALCO!F702="", "",TOTALCO!F702)</f>
        <v>0</v>
      </c>
      <c r="G177" s="12" t="str">
        <f>IF(TOTALCO!G702="", "",TOTALCO!G702)</f>
        <v/>
      </c>
      <c r="H177" s="12">
        <f ca="1">IF(TOTALCO!H702="", "",TOTALCO!H702)</f>
        <v>448173.6</v>
      </c>
      <c r="I177" s="12">
        <f ca="1">IF(TOTALCO!I702="", "",TOTALCO!I702)</f>
        <v>0</v>
      </c>
      <c r="J177" s="12" t="str">
        <f>IF(TOTALCO!J702="", "",TOTALCO!J702)</f>
        <v/>
      </c>
      <c r="K177" s="12" t="str">
        <f>IF(TOTALCO!K702="", "",TOTALCO!K702)</f>
        <v/>
      </c>
      <c r="L177" s="12">
        <f ca="1">IF(TOTALCO!L702="", "",TOTALCO!L702)</f>
        <v>0</v>
      </c>
      <c r="M177" s="12" t="str">
        <f>IF(TOTALCO!M702="", "",TOTALCO!M702)</f>
        <v/>
      </c>
      <c r="N177" s="12">
        <f ca="1">IF(TOTALCO!N702="", "",TOTALCO!N702)</f>
        <v>0</v>
      </c>
      <c r="O177" s="12">
        <f ca="1">IF(TOTALCO!O702="", "",TOTALCO!O702)</f>
        <v>0</v>
      </c>
      <c r="P177" s="12">
        <f ca="1">IF(TOTALCO!P702="", "",TOTALCO!P702)</f>
        <v>0</v>
      </c>
      <c r="Q177" s="12"/>
      <c r="R177" s="13"/>
    </row>
    <row r="178" spans="1:18" ht="15" x14ac:dyDescent="0.2">
      <c r="A178" s="382">
        <f>IF(TOTALCO!A703="", "",TOTALCO!A703)</f>
        <v>19</v>
      </c>
      <c r="B178" s="4" t="str">
        <f>IF(TOTALCO!B703="", "",TOTALCO!B703)</f>
        <v xml:space="preserve"> 362-STATION EQUIPMENT</v>
      </c>
      <c r="C178" s="4" t="str">
        <f>IF(TOTALCO!C703="", "",TOTALCO!C703)</f>
        <v>DEM362V</v>
      </c>
      <c r="D178" s="12">
        <f ca="1">IF(TOTALCO!D703="", "",TOTALCO!D703)</f>
        <v>7696928.2699999996</v>
      </c>
      <c r="E178" s="12" t="str">
        <f>IF(TOTALCO!E703="", "",TOTALCO!E703)</f>
        <v/>
      </c>
      <c r="F178" s="12">
        <f ca="1">IF(TOTALCO!F703="", "",TOTALCO!F703)</f>
        <v>0</v>
      </c>
      <c r="G178" s="12" t="str">
        <f>IF(TOTALCO!G703="", "",TOTALCO!G703)</f>
        <v/>
      </c>
      <c r="H178" s="12">
        <f ca="1">IF(TOTALCO!H703="", "",TOTALCO!H703)</f>
        <v>7696928.2699999996</v>
      </c>
      <c r="I178" s="12">
        <f ca="1">IF(TOTALCO!I703="", "",TOTALCO!I703)</f>
        <v>0</v>
      </c>
      <c r="J178" s="12" t="str">
        <f>IF(TOTALCO!J703="", "",TOTALCO!J703)</f>
        <v/>
      </c>
      <c r="K178" s="12" t="str">
        <f>IF(TOTALCO!K703="", "",TOTALCO!K703)</f>
        <v/>
      </c>
      <c r="L178" s="12">
        <f ca="1">IF(TOTALCO!L703="", "",TOTALCO!L703)</f>
        <v>0</v>
      </c>
      <c r="M178" s="12" t="str">
        <f>IF(TOTALCO!M703="", "",TOTALCO!M703)</f>
        <v/>
      </c>
      <c r="N178" s="12">
        <f ca="1">IF(TOTALCO!N703="", "",TOTALCO!N703)</f>
        <v>0</v>
      </c>
      <c r="O178" s="12">
        <f ca="1">IF(TOTALCO!O703="", "",TOTALCO!O703)</f>
        <v>0</v>
      </c>
      <c r="P178" s="12">
        <f ca="1">IF(TOTALCO!P703="", "",TOTALCO!P703)</f>
        <v>0</v>
      </c>
      <c r="Q178" s="12"/>
      <c r="R178" s="13"/>
    </row>
    <row r="179" spans="1:18" ht="15" x14ac:dyDescent="0.2">
      <c r="A179" s="382">
        <f>IF(TOTALCO!A704="", "",TOTALCO!A704)</f>
        <v>20</v>
      </c>
      <c r="B179" s="4" t="str">
        <f>IF(TOTALCO!B704="", "",TOTALCO!B704)</f>
        <v xml:space="preserve"> 364-POLES, TOWERS, AND FIXTURES</v>
      </c>
      <c r="C179" s="4" t="str">
        <f>IF(TOTALCO!C704="", "",TOTALCO!C704)</f>
        <v>DEM364V</v>
      </c>
      <c r="D179" s="12">
        <f ca="1">IF(TOTALCO!D704="", "",TOTALCO!D704)</f>
        <v>23371898.899999999</v>
      </c>
      <c r="E179" s="12" t="str">
        <f>IF(TOTALCO!E704="", "",TOTALCO!E704)</f>
        <v/>
      </c>
      <c r="F179" s="12">
        <f ca="1">IF(TOTALCO!F704="", "",TOTALCO!F704)</f>
        <v>0</v>
      </c>
      <c r="G179" s="12" t="str">
        <f>IF(TOTALCO!G704="", "",TOTALCO!G704)</f>
        <v/>
      </c>
      <c r="H179" s="12">
        <f ca="1">IF(TOTALCO!H704="", "",TOTALCO!H704)</f>
        <v>23371898.899999999</v>
      </c>
      <c r="I179" s="12">
        <f ca="1">IF(TOTALCO!I704="", "",TOTALCO!I704)</f>
        <v>0</v>
      </c>
      <c r="J179" s="12" t="str">
        <f>IF(TOTALCO!J704="", "",TOTALCO!J704)</f>
        <v/>
      </c>
      <c r="K179" s="12" t="str">
        <f>IF(TOTALCO!K704="", "",TOTALCO!K704)</f>
        <v/>
      </c>
      <c r="L179" s="12">
        <f ca="1">IF(TOTALCO!L704="", "",TOTALCO!L704)</f>
        <v>0</v>
      </c>
      <c r="M179" s="12" t="str">
        <f>IF(TOTALCO!M704="", "",TOTALCO!M704)</f>
        <v/>
      </c>
      <c r="N179" s="12">
        <f ca="1">IF(TOTALCO!N704="", "",TOTALCO!N704)</f>
        <v>0</v>
      </c>
      <c r="O179" s="12">
        <f ca="1">IF(TOTALCO!O704="", "",TOTALCO!O704)</f>
        <v>0</v>
      </c>
      <c r="P179" s="12">
        <f ca="1">IF(TOTALCO!P704="", "",TOTALCO!P704)</f>
        <v>0</v>
      </c>
      <c r="Q179" s="12"/>
      <c r="R179" s="13"/>
    </row>
    <row r="180" spans="1:18" ht="15" x14ac:dyDescent="0.2">
      <c r="A180" s="382">
        <f>IF(TOTALCO!A705="", "",TOTALCO!A705)</f>
        <v>21</v>
      </c>
      <c r="B180" s="4" t="str">
        <f>IF(TOTALCO!B705="", "",TOTALCO!B705)</f>
        <v xml:space="preserve"> 365-OH CONDUCTORS AND DEVICES</v>
      </c>
      <c r="C180" s="4" t="str">
        <f>IF(TOTALCO!C705="", "",TOTALCO!C705)</f>
        <v>DEM365V</v>
      </c>
      <c r="D180" s="12">
        <f ca="1">IF(TOTALCO!D705="", "",TOTALCO!D705)</f>
        <v>20121982.84</v>
      </c>
      <c r="E180" s="12" t="str">
        <f>IF(TOTALCO!E705="", "",TOTALCO!E705)</f>
        <v/>
      </c>
      <c r="F180" s="12">
        <f ca="1">IF(TOTALCO!F705="", "",TOTALCO!F705)</f>
        <v>0</v>
      </c>
      <c r="G180" s="12" t="str">
        <f>IF(TOTALCO!G705="", "",TOTALCO!G705)</f>
        <v/>
      </c>
      <c r="H180" s="12">
        <f ca="1">IF(TOTALCO!H705="", "",TOTALCO!H705)</f>
        <v>20121982.84</v>
      </c>
      <c r="I180" s="12">
        <f ca="1">IF(TOTALCO!I705="", "",TOTALCO!I705)</f>
        <v>0</v>
      </c>
      <c r="J180" s="12" t="str">
        <f>IF(TOTALCO!J705="", "",TOTALCO!J705)</f>
        <v/>
      </c>
      <c r="K180" s="12" t="str">
        <f>IF(TOTALCO!K705="", "",TOTALCO!K705)</f>
        <v/>
      </c>
      <c r="L180" s="12">
        <f ca="1">IF(TOTALCO!L705="", "",TOTALCO!L705)</f>
        <v>0</v>
      </c>
      <c r="M180" s="12" t="str">
        <f>IF(TOTALCO!M705="", "",TOTALCO!M705)</f>
        <v/>
      </c>
      <c r="N180" s="12">
        <f ca="1">IF(TOTALCO!N705="", "",TOTALCO!N705)</f>
        <v>0</v>
      </c>
      <c r="O180" s="12">
        <f ca="1">IF(TOTALCO!O705="", "",TOTALCO!O705)</f>
        <v>0</v>
      </c>
      <c r="P180" s="12">
        <f ca="1">IF(TOTALCO!P705="", "",TOTALCO!P705)</f>
        <v>0</v>
      </c>
      <c r="Q180" s="12"/>
      <c r="R180" s="13"/>
    </row>
    <row r="181" spans="1:18" ht="15" x14ac:dyDescent="0.2">
      <c r="A181" s="382">
        <f>IF(TOTALCO!A706="", "",TOTALCO!A706)</f>
        <v>22</v>
      </c>
      <c r="B181" s="4" t="str">
        <f>IF(TOTALCO!B706="", "",TOTALCO!B706)</f>
        <v xml:space="preserve"> 367-UG CONDUCTORS AND DEVICES</v>
      </c>
      <c r="C181" s="4" t="str">
        <f>IF(TOTALCO!C706="", "",TOTALCO!C706)</f>
        <v>DEM367V</v>
      </c>
      <c r="D181" s="12">
        <f ca="1">IF(TOTALCO!D706="", "",TOTALCO!D706)</f>
        <v>2763963.85</v>
      </c>
      <c r="E181" s="12" t="str">
        <f>IF(TOTALCO!E706="", "",TOTALCO!E706)</f>
        <v/>
      </c>
      <c r="F181" s="12">
        <f ca="1">IF(TOTALCO!F706="", "",TOTALCO!F706)</f>
        <v>0</v>
      </c>
      <c r="G181" s="12" t="str">
        <f>IF(TOTALCO!G706="", "",TOTALCO!G706)</f>
        <v/>
      </c>
      <c r="H181" s="12">
        <f ca="1">IF(TOTALCO!H706="", "",TOTALCO!H706)</f>
        <v>2763963.85</v>
      </c>
      <c r="I181" s="12">
        <f ca="1">IF(TOTALCO!I706="", "",TOTALCO!I706)</f>
        <v>0</v>
      </c>
      <c r="J181" s="12" t="str">
        <f>IF(TOTALCO!J706="", "",TOTALCO!J706)</f>
        <v/>
      </c>
      <c r="K181" s="12" t="str">
        <f>IF(TOTALCO!K706="", "",TOTALCO!K706)</f>
        <v/>
      </c>
      <c r="L181" s="12">
        <f ca="1">IF(TOTALCO!L706="", "",TOTALCO!L706)</f>
        <v>0</v>
      </c>
      <c r="M181" s="12" t="str">
        <f>IF(TOTALCO!M706="", "",TOTALCO!M706)</f>
        <v/>
      </c>
      <c r="N181" s="12">
        <f ca="1">IF(TOTALCO!N706="", "",TOTALCO!N706)</f>
        <v>0</v>
      </c>
      <c r="O181" s="12">
        <f ca="1">IF(TOTALCO!O706="", "",TOTALCO!O706)</f>
        <v>0</v>
      </c>
      <c r="P181" s="12">
        <f ca="1">IF(TOTALCO!P706="", "",TOTALCO!P706)</f>
        <v>0</v>
      </c>
      <c r="Q181" s="12"/>
      <c r="R181" s="13"/>
    </row>
    <row r="182" spans="1:18" ht="15" x14ac:dyDescent="0.2">
      <c r="A182" s="382" t="str">
        <f>IF(TOTALCO!A707="", "",TOTALCO!A707)</f>
        <v/>
      </c>
      <c r="B182" s="4" t="str">
        <f>IF(TOTALCO!B707="", "",TOTALCO!B707)</f>
        <v xml:space="preserve"> 368-LINE TRANSFORMERS</v>
      </c>
      <c r="C182" s="4" t="str">
        <f>IF(TOTALCO!C707="", "",TOTALCO!C707)</f>
        <v/>
      </c>
      <c r="D182" s="12" t="str">
        <f>IF(TOTALCO!D707="", "",TOTALCO!D707)</f>
        <v/>
      </c>
      <c r="E182" s="12" t="str">
        <f>IF(TOTALCO!E707="", "",TOTALCO!E707)</f>
        <v/>
      </c>
      <c r="F182" s="12" t="str">
        <f>IF(TOTALCO!F707="", "",TOTALCO!F707)</f>
        <v/>
      </c>
      <c r="G182" s="12" t="str">
        <f>IF(TOTALCO!G707="", "",TOTALCO!G707)</f>
        <v/>
      </c>
      <c r="H182" s="12" t="str">
        <f>IF(TOTALCO!H707="", "",TOTALCO!H707)</f>
        <v/>
      </c>
      <c r="I182" s="12" t="str">
        <f>IF(TOTALCO!I707="", "",TOTALCO!I707)</f>
        <v/>
      </c>
      <c r="J182" s="12" t="str">
        <f>IF(TOTALCO!J707="", "",TOTALCO!J707)</f>
        <v/>
      </c>
      <c r="K182" s="12" t="str">
        <f>IF(TOTALCO!K707="", "",TOTALCO!K707)</f>
        <v/>
      </c>
      <c r="L182" s="12" t="str">
        <f>IF(TOTALCO!L707="", "",TOTALCO!L707)</f>
        <v/>
      </c>
      <c r="M182" s="12" t="str">
        <f>IF(TOTALCO!M707="", "",TOTALCO!M707)</f>
        <v/>
      </c>
      <c r="N182" s="12" t="str">
        <f>IF(TOTALCO!N707="", "",TOTALCO!N707)</f>
        <v/>
      </c>
      <c r="O182" s="12" t="str">
        <f>IF(TOTALCO!O707="", "",TOTALCO!O707)</f>
        <v/>
      </c>
      <c r="P182" s="12" t="str">
        <f>IF(TOTALCO!P707="", "",TOTALCO!P707)</f>
        <v/>
      </c>
      <c r="Q182" s="12"/>
      <c r="R182" s="13"/>
    </row>
    <row r="183" spans="1:18" ht="15" x14ac:dyDescent="0.2">
      <c r="A183" s="382">
        <f>IF(TOTALCO!A708="", "",TOTALCO!A708)</f>
        <v>23</v>
      </c>
      <c r="B183" s="4" t="str">
        <f>IF(TOTALCO!B708="", "",TOTALCO!B708)</f>
        <v xml:space="preserve">    POWER POOL</v>
      </c>
      <c r="C183" s="4" t="str">
        <f>IF(TOTALCO!C708="", "",TOTALCO!C708)</f>
        <v>DPRODVA</v>
      </c>
      <c r="D183" s="12">
        <f ca="1">IF(TOTALCO!D708="", "",TOTALCO!D708)</f>
        <v>128027.55999999998</v>
      </c>
      <c r="E183" s="12" t="str">
        <f>IF(TOTALCO!E708="", "",TOTALCO!E708)</f>
        <v/>
      </c>
      <c r="F183" s="12">
        <f ca="1">IF(TOTALCO!F708="", "",TOTALCO!F708)</f>
        <v>0</v>
      </c>
      <c r="G183" s="12" t="str">
        <f>IF(TOTALCO!G708="", "",TOTALCO!G708)</f>
        <v/>
      </c>
      <c r="H183" s="12">
        <f ca="1">IF(TOTALCO!H708="", "",TOTALCO!H708)</f>
        <v>128027.55999999998</v>
      </c>
      <c r="I183" s="12">
        <f ca="1">IF(TOTALCO!I708="", "",TOTALCO!I708)</f>
        <v>0</v>
      </c>
      <c r="J183" s="12" t="str">
        <f>IF(TOTALCO!J708="", "",TOTALCO!J708)</f>
        <v/>
      </c>
      <c r="K183" s="12" t="str">
        <f>IF(TOTALCO!K708="", "",TOTALCO!K708)</f>
        <v/>
      </c>
      <c r="L183" s="12">
        <f ca="1">IF(TOTALCO!L708="", "",TOTALCO!L708)</f>
        <v>0</v>
      </c>
      <c r="M183" s="12" t="str">
        <f>IF(TOTALCO!M708="", "",TOTALCO!M708)</f>
        <v/>
      </c>
      <c r="N183" s="12">
        <f ca="1">IF(TOTALCO!N708="", "",TOTALCO!N708)</f>
        <v>0</v>
      </c>
      <c r="O183" s="12">
        <f ca="1">IF(TOTALCO!O708="", "",TOTALCO!O708)</f>
        <v>0</v>
      </c>
      <c r="P183" s="12">
        <f ca="1">IF(TOTALCO!P708="", "",TOTALCO!P708)</f>
        <v>0</v>
      </c>
      <c r="Q183" s="12"/>
      <c r="R183" s="13"/>
    </row>
    <row r="184" spans="1:18" ht="15" x14ac:dyDescent="0.2">
      <c r="A184" s="382">
        <f>IF(TOTALCO!A709="", "",TOTALCO!A709)</f>
        <v>24</v>
      </c>
      <c r="B184" s="4" t="str">
        <f>IF(TOTALCO!B709="", "",TOTALCO!B709)</f>
        <v xml:space="preserve">    ALL OTHER</v>
      </c>
      <c r="C184" s="4" t="str">
        <f>IF(TOTALCO!C709="", "",TOTALCO!C709)</f>
        <v>DEM368V</v>
      </c>
      <c r="D184" s="12">
        <f ca="1">IF(TOTALCO!D709="", "",TOTALCO!D709)</f>
        <v>13895428.499999998</v>
      </c>
      <c r="E184" s="12" t="str">
        <f>IF(TOTALCO!E709="", "",TOTALCO!E709)</f>
        <v/>
      </c>
      <c r="F184" s="12">
        <f ca="1">IF(TOTALCO!F709="", "",TOTALCO!F709)</f>
        <v>0</v>
      </c>
      <c r="G184" s="12" t="str">
        <f>IF(TOTALCO!G709="", "",TOTALCO!G709)</f>
        <v/>
      </c>
      <c r="H184" s="12">
        <f ca="1">IF(TOTALCO!H709="", "",TOTALCO!H709)</f>
        <v>13895428.499999998</v>
      </c>
      <c r="I184" s="12">
        <f ca="1">IF(TOTALCO!I709="", "",TOTALCO!I709)</f>
        <v>0</v>
      </c>
      <c r="J184" s="12" t="str">
        <f>IF(TOTALCO!J709="", "",TOTALCO!J709)</f>
        <v/>
      </c>
      <c r="K184" s="12" t="str">
        <f>IF(TOTALCO!K709="", "",TOTALCO!K709)</f>
        <v/>
      </c>
      <c r="L184" s="12">
        <f ca="1">IF(TOTALCO!L709="", "",TOTALCO!L709)</f>
        <v>0</v>
      </c>
      <c r="M184" s="12" t="str">
        <f>IF(TOTALCO!M709="", "",TOTALCO!M709)</f>
        <v/>
      </c>
      <c r="N184" s="12">
        <f ca="1">IF(TOTALCO!N709="", "",TOTALCO!N709)</f>
        <v>0</v>
      </c>
      <c r="O184" s="12">
        <f ca="1">IF(TOTALCO!O709="", "",TOTALCO!O709)</f>
        <v>0</v>
      </c>
      <c r="P184" s="12">
        <f ca="1">IF(TOTALCO!P709="", "",TOTALCO!P709)</f>
        <v>0</v>
      </c>
      <c r="Q184" s="12"/>
      <c r="R184" s="13"/>
    </row>
    <row r="185" spans="1:18" ht="15" x14ac:dyDescent="0.2">
      <c r="A185" s="382">
        <f>IF(TOTALCO!A710="", "",TOTALCO!A710)</f>
        <v>25</v>
      </c>
      <c r="B185" s="4" t="str">
        <f>IF(TOTALCO!B710="", "",TOTALCO!B710)</f>
        <v xml:space="preserve"> TOTAL 368-LINE TRANSFORMERS</v>
      </c>
      <c r="C185" s="4" t="str">
        <f>IF(TOTALCO!C710="", "",TOTALCO!C710)</f>
        <v/>
      </c>
      <c r="D185" s="12">
        <f ca="1">IF(TOTALCO!D710="", "",TOTALCO!D710)</f>
        <v>14023456.059999999</v>
      </c>
      <c r="E185" s="12" t="str">
        <f>IF(TOTALCO!E710="", "",TOTALCO!E710)</f>
        <v/>
      </c>
      <c r="F185" s="12">
        <f ca="1">IF(TOTALCO!F710="", "",TOTALCO!F710)</f>
        <v>0</v>
      </c>
      <c r="G185" s="12" t="str">
        <f>IF(TOTALCO!G710="", "",TOTALCO!G710)</f>
        <v/>
      </c>
      <c r="H185" s="12">
        <f ca="1">IF(TOTALCO!H710="", "",TOTALCO!H710)</f>
        <v>14023456.059999999</v>
      </c>
      <c r="I185" s="12">
        <f ca="1">IF(TOTALCO!I710="", "",TOTALCO!I710)</f>
        <v>0</v>
      </c>
      <c r="J185" s="12" t="str">
        <f>IF(TOTALCO!J710="", "",TOTALCO!J710)</f>
        <v/>
      </c>
      <c r="K185" s="12" t="str">
        <f>IF(TOTALCO!K710="", "",TOTALCO!K710)</f>
        <v/>
      </c>
      <c r="L185" s="12">
        <f ca="1">IF(TOTALCO!L710="", "",TOTALCO!L710)</f>
        <v>0</v>
      </c>
      <c r="M185" s="12" t="str">
        <f>IF(TOTALCO!M710="", "",TOTALCO!M710)</f>
        <v/>
      </c>
      <c r="N185" s="12">
        <f ca="1">IF(TOTALCO!N710="", "",TOTALCO!N710)</f>
        <v>0</v>
      </c>
      <c r="O185" s="12">
        <f ca="1">IF(TOTALCO!O710="", "",TOTALCO!O710)</f>
        <v>0</v>
      </c>
      <c r="P185" s="12">
        <f ca="1">IF(TOTALCO!P710="", "",TOTALCO!P710)</f>
        <v>0</v>
      </c>
      <c r="Q185" s="12"/>
      <c r="R185" s="13"/>
    </row>
    <row r="186" spans="1:18" ht="15" x14ac:dyDescent="0.2">
      <c r="A186" s="382">
        <f>IF(TOTALCO!A711="", "",TOTALCO!A711)</f>
        <v>26</v>
      </c>
      <c r="B186" s="4" t="str">
        <f>IF(TOTALCO!B711="", "",TOTALCO!B711)</f>
        <v xml:space="preserve"> 369-SERVICES</v>
      </c>
      <c r="C186" s="4" t="str">
        <f>IF(TOTALCO!C711="", "",TOTALCO!C711)</f>
        <v>CUST369V</v>
      </c>
      <c r="D186" s="12">
        <f ca="1">IF(TOTALCO!D711="", "",TOTALCO!D711)</f>
        <v>5175445.7300000004</v>
      </c>
      <c r="E186" s="12" t="str">
        <f>IF(TOTALCO!E711="", "",TOTALCO!E711)</f>
        <v/>
      </c>
      <c r="F186" s="12">
        <f ca="1">IF(TOTALCO!F711="", "",TOTALCO!F711)</f>
        <v>0</v>
      </c>
      <c r="G186" s="12" t="str">
        <f>IF(TOTALCO!G711="", "",TOTALCO!G711)</f>
        <v/>
      </c>
      <c r="H186" s="12">
        <f ca="1">IF(TOTALCO!H711="", "",TOTALCO!H711)</f>
        <v>5175445.7300000004</v>
      </c>
      <c r="I186" s="12">
        <f ca="1">IF(TOTALCO!I711="", "",TOTALCO!I711)</f>
        <v>0</v>
      </c>
      <c r="J186" s="12" t="str">
        <f>IF(TOTALCO!J711="", "",TOTALCO!J711)</f>
        <v/>
      </c>
      <c r="K186" s="12" t="str">
        <f>IF(TOTALCO!K711="", "",TOTALCO!K711)</f>
        <v/>
      </c>
      <c r="L186" s="12">
        <f ca="1">IF(TOTALCO!L711="", "",TOTALCO!L711)</f>
        <v>0</v>
      </c>
      <c r="M186" s="12" t="str">
        <f>IF(TOTALCO!M711="", "",TOTALCO!M711)</f>
        <v/>
      </c>
      <c r="N186" s="12">
        <f ca="1">IF(TOTALCO!N711="", "",TOTALCO!N711)</f>
        <v>0</v>
      </c>
      <c r="O186" s="12">
        <f ca="1">IF(TOTALCO!O711="", "",TOTALCO!O711)</f>
        <v>0</v>
      </c>
      <c r="P186" s="12">
        <f ca="1">IF(TOTALCO!P711="", "",TOTALCO!P711)</f>
        <v>0</v>
      </c>
      <c r="Q186" s="12"/>
      <c r="R186" s="13"/>
    </row>
    <row r="187" spans="1:18" ht="15" x14ac:dyDescent="0.2">
      <c r="A187" s="382">
        <f>IF(TOTALCO!A712="", "",TOTALCO!A712)</f>
        <v>27</v>
      </c>
      <c r="B187" s="4" t="str">
        <f>IF(TOTALCO!B712="", "",TOTALCO!B712)</f>
        <v xml:space="preserve"> 370-METERS</v>
      </c>
      <c r="C187" s="4" t="str">
        <f>IF(TOTALCO!C712="", "",TOTALCO!C712)</f>
        <v>CUST370V</v>
      </c>
      <c r="D187" s="12">
        <f ca="1">IF(TOTALCO!D712="", "",TOTALCO!D712)</f>
        <v>3637511.5</v>
      </c>
      <c r="E187" s="12" t="str">
        <f>IF(TOTALCO!E712="", "",TOTALCO!E712)</f>
        <v/>
      </c>
      <c r="F187" s="12">
        <f ca="1">IF(TOTALCO!F712="", "",TOTALCO!F712)</f>
        <v>0</v>
      </c>
      <c r="G187" s="12" t="str">
        <f>IF(TOTALCO!G712="", "",TOTALCO!G712)</f>
        <v/>
      </c>
      <c r="H187" s="12">
        <f ca="1">IF(TOTALCO!H712="", "",TOTALCO!H712)</f>
        <v>3637511.5</v>
      </c>
      <c r="I187" s="12">
        <f ca="1">IF(TOTALCO!I712="", "",TOTALCO!I712)</f>
        <v>0</v>
      </c>
      <c r="J187" s="12" t="str">
        <f>IF(TOTALCO!J712="", "",TOTALCO!J712)</f>
        <v/>
      </c>
      <c r="K187" s="12" t="str">
        <f>IF(TOTALCO!K712="", "",TOTALCO!K712)</f>
        <v/>
      </c>
      <c r="L187" s="12">
        <f ca="1">IF(TOTALCO!L712="", "",TOTALCO!L712)</f>
        <v>0</v>
      </c>
      <c r="M187" s="12" t="str">
        <f>IF(TOTALCO!M712="", "",TOTALCO!M712)</f>
        <v/>
      </c>
      <c r="N187" s="12">
        <f ca="1">IF(TOTALCO!N712="", "",TOTALCO!N712)</f>
        <v>0</v>
      </c>
      <c r="O187" s="12">
        <f ca="1">IF(TOTALCO!O712="", "",TOTALCO!O712)</f>
        <v>0</v>
      </c>
      <c r="P187" s="12">
        <f ca="1">IF(TOTALCO!P712="", "",TOTALCO!P712)</f>
        <v>0</v>
      </c>
      <c r="Q187" s="12"/>
      <c r="R187" s="13"/>
    </row>
    <row r="188" spans="1:18" ht="15" x14ac:dyDescent="0.2">
      <c r="A188" s="382">
        <f>IF(TOTALCO!A713="", "",TOTALCO!A713)</f>
        <v>28</v>
      </c>
      <c r="B188" s="4" t="str">
        <f>IF(TOTALCO!B713="", "",TOTALCO!B713)</f>
        <v xml:space="preserve"> 371-INSTALL ON CUSTOMER PREMISES</v>
      </c>
      <c r="C188" s="4" t="str">
        <f>IF(TOTALCO!C713="", "",TOTALCO!C713)</f>
        <v>CUST371V</v>
      </c>
      <c r="D188" s="12">
        <f ca="1">IF(TOTALCO!D713="", "",TOTALCO!D713)</f>
        <v>856340.66</v>
      </c>
      <c r="E188" s="12" t="str">
        <f>IF(TOTALCO!E713="", "",TOTALCO!E713)</f>
        <v/>
      </c>
      <c r="F188" s="12">
        <f ca="1">IF(TOTALCO!F713="", "",TOTALCO!F713)</f>
        <v>0</v>
      </c>
      <c r="G188" s="12" t="str">
        <f>IF(TOTALCO!G713="", "",TOTALCO!G713)</f>
        <v/>
      </c>
      <c r="H188" s="12">
        <f ca="1">IF(TOTALCO!H713="", "",TOTALCO!H713)</f>
        <v>856340.66</v>
      </c>
      <c r="I188" s="12">
        <f ca="1">IF(TOTALCO!I713="", "",TOTALCO!I713)</f>
        <v>0</v>
      </c>
      <c r="J188" s="12" t="str">
        <f>IF(TOTALCO!J713="", "",TOTALCO!J713)</f>
        <v/>
      </c>
      <c r="K188" s="12" t="str">
        <f>IF(TOTALCO!K713="", "",TOTALCO!K713)</f>
        <v/>
      </c>
      <c r="L188" s="12">
        <f ca="1">IF(TOTALCO!L713="", "",TOTALCO!L713)</f>
        <v>0</v>
      </c>
      <c r="M188" s="12" t="str">
        <f>IF(TOTALCO!M713="", "",TOTALCO!M713)</f>
        <v/>
      </c>
      <c r="N188" s="12">
        <f ca="1">IF(TOTALCO!N713="", "",TOTALCO!N713)</f>
        <v>0</v>
      </c>
      <c r="O188" s="12">
        <f ca="1">IF(TOTALCO!O713="", "",TOTALCO!O713)</f>
        <v>0</v>
      </c>
      <c r="P188" s="12">
        <f ca="1">IF(TOTALCO!P713="", "",TOTALCO!P713)</f>
        <v>0</v>
      </c>
      <c r="Q188" s="12"/>
      <c r="R188" s="13"/>
    </row>
    <row r="189" spans="1:18" ht="15" x14ac:dyDescent="0.2">
      <c r="A189" s="382">
        <f>IF(TOTALCO!A714="", "",TOTALCO!A714)</f>
        <v>29</v>
      </c>
      <c r="B189" s="4" t="str">
        <f>IF(TOTALCO!B714="", "",TOTALCO!B714)</f>
        <v xml:space="preserve"> 373-STREET LIGHTING</v>
      </c>
      <c r="C189" s="4" t="str">
        <f>IF(TOTALCO!C714="", "",TOTALCO!C714)</f>
        <v>CUST373V</v>
      </c>
      <c r="D189" s="12">
        <f ca="1">IF(TOTALCO!D714="", "",TOTALCO!D714)</f>
        <v>2038653.7300000002</v>
      </c>
      <c r="E189" s="12" t="str">
        <f>IF(TOTALCO!E714="", "",TOTALCO!E714)</f>
        <v/>
      </c>
      <c r="F189" s="12">
        <f ca="1">IF(TOTALCO!F714="", "",TOTALCO!F714)</f>
        <v>0</v>
      </c>
      <c r="G189" s="12" t="str">
        <f>IF(TOTALCO!G714="", "",TOTALCO!G714)</f>
        <v/>
      </c>
      <c r="H189" s="12">
        <f ca="1">IF(TOTALCO!H714="", "",TOTALCO!H714)</f>
        <v>2038653.7300000002</v>
      </c>
      <c r="I189" s="12">
        <f ca="1">IF(TOTALCO!I714="", "",TOTALCO!I714)</f>
        <v>0</v>
      </c>
      <c r="J189" s="12" t="str">
        <f>IF(TOTALCO!J714="", "",TOTALCO!J714)</f>
        <v/>
      </c>
      <c r="K189" s="12" t="str">
        <f>IF(TOTALCO!K714="", "",TOTALCO!K714)</f>
        <v/>
      </c>
      <c r="L189" s="12">
        <f ca="1">IF(TOTALCO!L714="", "",TOTALCO!L714)</f>
        <v>0</v>
      </c>
      <c r="M189" s="12" t="str">
        <f>IF(TOTALCO!M714="", "",TOTALCO!M714)</f>
        <v/>
      </c>
      <c r="N189" s="12">
        <f ca="1">IF(TOTALCO!N714="", "",TOTALCO!N714)</f>
        <v>0</v>
      </c>
      <c r="O189" s="12">
        <f ca="1">IF(TOTALCO!O714="", "",TOTALCO!O714)</f>
        <v>0</v>
      </c>
      <c r="P189" s="12">
        <f ca="1">IF(TOTALCO!P714="", "",TOTALCO!P714)</f>
        <v>0</v>
      </c>
      <c r="Q189" s="12"/>
      <c r="R189" s="13"/>
    </row>
    <row r="190" spans="1:18" ht="15" x14ac:dyDescent="0.2">
      <c r="A190" s="382">
        <f>IF(TOTALCO!A715="", "",TOTALCO!A715)</f>
        <v>30</v>
      </c>
      <c r="B190" s="4" t="str">
        <f>IF(TOTALCO!B715="", "",TOTALCO!B715)</f>
        <v xml:space="preserve"> TOTAL VIRGINIA DISTRIB PLANT</v>
      </c>
      <c r="C190" s="4" t="str">
        <f>IF(TOTALCO!C715="", "",TOTALCO!C715)</f>
        <v/>
      </c>
      <c r="D190" s="12">
        <f ca="1">IF(TOTALCO!D715="", "",TOTALCO!D715)</f>
        <v>80327605.579999998</v>
      </c>
      <c r="E190" s="12" t="str">
        <f>IF(TOTALCO!E715="", "",TOTALCO!E715)</f>
        <v/>
      </c>
      <c r="F190" s="12">
        <f ca="1">IF(TOTALCO!F715="", "",TOTALCO!F715)</f>
        <v>0</v>
      </c>
      <c r="G190" s="12" t="str">
        <f>IF(TOTALCO!G715="", "",TOTALCO!G715)</f>
        <v/>
      </c>
      <c r="H190" s="12">
        <f ca="1">IF(TOTALCO!H715="", "",TOTALCO!H715)</f>
        <v>80327605.579999998</v>
      </c>
      <c r="I190" s="12">
        <f ca="1">IF(TOTALCO!I715="", "",TOTALCO!I715)</f>
        <v>0</v>
      </c>
      <c r="J190" s="12" t="str">
        <f>IF(TOTALCO!J715="", "",TOTALCO!J715)</f>
        <v/>
      </c>
      <c r="K190" s="12" t="str">
        <f>IF(TOTALCO!K715="", "",TOTALCO!K715)</f>
        <v/>
      </c>
      <c r="L190" s="12">
        <f ca="1">IF(TOTALCO!L715="", "",TOTALCO!L715)</f>
        <v>0</v>
      </c>
      <c r="M190" s="12" t="str">
        <f>IF(TOTALCO!M715="", "",TOTALCO!M715)</f>
        <v/>
      </c>
      <c r="N190" s="12">
        <f ca="1">IF(TOTALCO!N715="", "",TOTALCO!N715)</f>
        <v>0</v>
      </c>
      <c r="O190" s="12">
        <f ca="1">IF(TOTALCO!O715="", "",TOTALCO!O715)</f>
        <v>0</v>
      </c>
      <c r="P190" s="12">
        <f ca="1">IF(TOTALCO!P715="", "",TOTALCO!P715)</f>
        <v>0</v>
      </c>
      <c r="Q190" s="12"/>
      <c r="R190" s="13"/>
    </row>
    <row r="191" spans="1:18" ht="15" x14ac:dyDescent="0.2">
      <c r="A191" s="382" t="str">
        <f>IF(TOTALCO!A716="", "",TOTALCO!A716)</f>
        <v/>
      </c>
      <c r="B191" s="4" t="str">
        <f>IF(TOTALCO!B716="", "",TOTALCO!B716)</f>
        <v/>
      </c>
      <c r="C191" s="4" t="str">
        <f>IF(TOTALCO!C716="", "",TOTALCO!C716)</f>
        <v/>
      </c>
      <c r="D191" s="12" t="str">
        <f>IF(TOTALCO!D716="", "",TOTALCO!D716)</f>
        <v/>
      </c>
      <c r="E191" s="12" t="str">
        <f>IF(TOTALCO!E716="", "",TOTALCO!E716)</f>
        <v/>
      </c>
      <c r="F191" s="12" t="str">
        <f>IF(TOTALCO!F716="", "",TOTALCO!F716)</f>
        <v/>
      </c>
      <c r="G191" s="12" t="str">
        <f>IF(TOTALCO!G716="", "",TOTALCO!G716)</f>
        <v/>
      </c>
      <c r="H191" s="12" t="str">
        <f>IF(TOTALCO!H716="", "",TOTALCO!H716)</f>
        <v/>
      </c>
      <c r="I191" s="12" t="str">
        <f>IF(TOTALCO!I716="", "",TOTALCO!I716)</f>
        <v/>
      </c>
      <c r="J191" s="12" t="str">
        <f>IF(TOTALCO!J716="", "",TOTALCO!J716)</f>
        <v/>
      </c>
      <c r="K191" s="12" t="str">
        <f>IF(TOTALCO!K716="", "",TOTALCO!K716)</f>
        <v/>
      </c>
      <c r="L191" s="12" t="str">
        <f>IF(TOTALCO!L716="", "",TOTALCO!L716)</f>
        <v/>
      </c>
      <c r="M191" s="12" t="str">
        <f>IF(TOTALCO!M716="", "",TOTALCO!M716)</f>
        <v/>
      </c>
      <c r="N191" s="12" t="str">
        <f>IF(TOTALCO!N716="", "",TOTALCO!N716)</f>
        <v/>
      </c>
      <c r="O191" s="12" t="str">
        <f>IF(TOTALCO!O716="", "",TOTALCO!O716)</f>
        <v/>
      </c>
      <c r="P191" s="12" t="str">
        <f>IF(TOTALCO!P716="", "",TOTALCO!P716)</f>
        <v/>
      </c>
      <c r="Q191" s="12"/>
      <c r="R191" s="13"/>
    </row>
    <row r="192" spans="1:18" ht="15" x14ac:dyDescent="0.2">
      <c r="A192" s="382" t="str">
        <f>IF(TOTALCO!A717="", "",TOTALCO!A717)</f>
        <v/>
      </c>
      <c r="B192" s="4" t="str">
        <f>IF(TOTALCO!B717="", "",TOTALCO!B717)</f>
        <v xml:space="preserve"> TENNESSEE DISTRIBUTION PLANT</v>
      </c>
      <c r="C192" s="4" t="str">
        <f>IF(TOTALCO!C717="", "",TOTALCO!C717)</f>
        <v/>
      </c>
      <c r="D192" s="12" t="str">
        <f>IF(TOTALCO!D717="", "",TOTALCO!D717)</f>
        <v/>
      </c>
      <c r="E192" s="12" t="str">
        <f>IF(TOTALCO!E717="", "",TOTALCO!E717)</f>
        <v/>
      </c>
      <c r="F192" s="12" t="str">
        <f>IF(TOTALCO!F717="", "",TOTALCO!F717)</f>
        <v/>
      </c>
      <c r="G192" s="12" t="str">
        <f>IF(TOTALCO!G717="", "",TOTALCO!G717)</f>
        <v/>
      </c>
      <c r="H192" s="12" t="str">
        <f>IF(TOTALCO!H717="", "",TOTALCO!H717)</f>
        <v/>
      </c>
      <c r="I192" s="12" t="str">
        <f>IF(TOTALCO!I717="", "",TOTALCO!I717)</f>
        <v/>
      </c>
      <c r="J192" s="12" t="str">
        <f>IF(TOTALCO!J717="", "",TOTALCO!J717)</f>
        <v/>
      </c>
      <c r="K192" s="12" t="str">
        <f>IF(TOTALCO!K717="", "",TOTALCO!K717)</f>
        <v/>
      </c>
      <c r="L192" s="12" t="str">
        <f>IF(TOTALCO!L717="", "",TOTALCO!L717)</f>
        <v/>
      </c>
      <c r="M192" s="12" t="str">
        <f>IF(TOTALCO!M717="", "",TOTALCO!M717)</f>
        <v/>
      </c>
      <c r="N192" s="12" t="str">
        <f>IF(TOTALCO!N717="", "",TOTALCO!N717)</f>
        <v/>
      </c>
      <c r="O192" s="12" t="str">
        <f>IF(TOTALCO!O717="", "",TOTALCO!O717)</f>
        <v/>
      </c>
      <c r="P192" s="12" t="str">
        <f>IF(TOTALCO!P717="", "",TOTALCO!P717)</f>
        <v/>
      </c>
      <c r="Q192" s="12"/>
      <c r="R192" s="13"/>
    </row>
    <row r="193" spans="1:18" ht="15" x14ac:dyDescent="0.2">
      <c r="A193" s="382">
        <f>IF(TOTALCO!A718="", "",TOTALCO!A718)</f>
        <v>31</v>
      </c>
      <c r="B193" s="4" t="str">
        <f>IF(TOTALCO!B718="", "",TOTALCO!B718)</f>
        <v xml:space="preserve"> 360-LAND &amp; LAND RIGHTS</v>
      </c>
      <c r="C193" s="4" t="str">
        <f>IF(TOTALCO!C718="", "",TOTALCO!C718)</f>
        <v>DEM360T</v>
      </c>
      <c r="D193" s="12">
        <f ca="1">IF(TOTALCO!D718="", "",TOTALCO!D718)</f>
        <v>5040.2299999999996</v>
      </c>
      <c r="E193" s="12" t="str">
        <f>IF(TOTALCO!E718="", "",TOTALCO!E718)</f>
        <v/>
      </c>
      <c r="F193" s="12">
        <f ca="1">IF(TOTALCO!F718="", "",TOTALCO!F718)</f>
        <v>0</v>
      </c>
      <c r="G193" s="12" t="str">
        <f>IF(TOTALCO!G718="", "",TOTALCO!G718)</f>
        <v/>
      </c>
      <c r="H193" s="12">
        <f ca="1">IF(TOTALCO!H718="", "",TOTALCO!H718)</f>
        <v>0</v>
      </c>
      <c r="I193" s="12">
        <f ca="1">IF(TOTALCO!I718="", "",TOTALCO!I718)</f>
        <v>5040.2299999999996</v>
      </c>
      <c r="J193" s="12" t="str">
        <f>IF(TOTALCO!J718="", "",TOTALCO!J718)</f>
        <v/>
      </c>
      <c r="K193" s="12" t="str">
        <f>IF(TOTALCO!K718="", "",TOTALCO!K718)</f>
        <v/>
      </c>
      <c r="L193" s="12">
        <f ca="1">IF(TOTALCO!L718="", "",TOTALCO!L718)</f>
        <v>5040.2299999999996</v>
      </c>
      <c r="M193" s="12" t="str">
        <f>IF(TOTALCO!M718="", "",TOTALCO!M718)</f>
        <v/>
      </c>
      <c r="N193" s="12">
        <f ca="1">IF(TOTALCO!N718="", "",TOTALCO!N718)</f>
        <v>0</v>
      </c>
      <c r="O193" s="12">
        <f ca="1">IF(TOTALCO!O718="", "",TOTALCO!O718)</f>
        <v>0</v>
      </c>
      <c r="P193" s="12">
        <f ca="1">IF(TOTALCO!P718="", "",TOTALCO!P718)</f>
        <v>0</v>
      </c>
      <c r="Q193" s="12"/>
      <c r="R193" s="13"/>
    </row>
    <row r="194" spans="1:18" ht="15" x14ac:dyDescent="0.2">
      <c r="A194" s="382">
        <f>IF(TOTALCO!A719="", "",TOTALCO!A719)</f>
        <v>32</v>
      </c>
      <c r="B194" s="4" t="str">
        <f>IF(TOTALCO!B719="", "",TOTALCO!B719)</f>
        <v xml:space="preserve"> 361-STRUCTURES AND IMPROVEMENTS</v>
      </c>
      <c r="C194" s="4" t="str">
        <f>IF(TOTALCO!C719="", "",TOTALCO!C719)</f>
        <v>DEM361T</v>
      </c>
      <c r="D194" s="12">
        <f ca="1">IF(TOTALCO!D719="", "",TOTALCO!D719)</f>
        <v>2621.29</v>
      </c>
      <c r="E194" s="12" t="str">
        <f>IF(TOTALCO!E719="", "",TOTALCO!E719)</f>
        <v/>
      </c>
      <c r="F194" s="12">
        <f ca="1">IF(TOTALCO!F719="", "",TOTALCO!F719)</f>
        <v>0</v>
      </c>
      <c r="G194" s="12" t="str">
        <f>IF(TOTALCO!G719="", "",TOTALCO!G719)</f>
        <v/>
      </c>
      <c r="H194" s="12">
        <f ca="1">IF(TOTALCO!H719="", "",TOTALCO!H719)</f>
        <v>0</v>
      </c>
      <c r="I194" s="12">
        <f ca="1">IF(TOTALCO!I719="", "",TOTALCO!I719)</f>
        <v>2621.29</v>
      </c>
      <c r="J194" s="12" t="str">
        <f>IF(TOTALCO!J719="", "",TOTALCO!J719)</f>
        <v/>
      </c>
      <c r="K194" s="12" t="str">
        <f>IF(TOTALCO!K719="", "",TOTALCO!K719)</f>
        <v/>
      </c>
      <c r="L194" s="12">
        <f ca="1">IF(TOTALCO!L719="", "",TOTALCO!L719)</f>
        <v>2621.29</v>
      </c>
      <c r="M194" s="12" t="str">
        <f>IF(TOTALCO!M719="", "",TOTALCO!M719)</f>
        <v/>
      </c>
      <c r="N194" s="12">
        <f ca="1">IF(TOTALCO!N719="", "",TOTALCO!N719)</f>
        <v>0</v>
      </c>
      <c r="O194" s="12">
        <f ca="1">IF(TOTALCO!O719="", "",TOTALCO!O719)</f>
        <v>0</v>
      </c>
      <c r="P194" s="12">
        <f ca="1">IF(TOTALCO!P719="", "",TOTALCO!P719)</f>
        <v>0</v>
      </c>
      <c r="Q194" s="12"/>
      <c r="R194" s="13"/>
    </row>
    <row r="195" spans="1:18" ht="15" x14ac:dyDescent="0.2">
      <c r="A195" s="382">
        <f>IF(TOTALCO!A720="", "",TOTALCO!A720)</f>
        <v>33</v>
      </c>
      <c r="B195" s="4" t="str">
        <f>IF(TOTALCO!B720="", "",TOTALCO!B720)</f>
        <v xml:space="preserve"> 362-STATION EQUIPMENT</v>
      </c>
      <c r="C195" s="4" t="str">
        <f>IF(TOTALCO!C720="", "",TOTALCO!C720)</f>
        <v>DEM362T</v>
      </c>
      <c r="D195" s="12">
        <f ca="1">IF(TOTALCO!D720="", "",TOTALCO!D720)</f>
        <v>56019.76</v>
      </c>
      <c r="E195" s="12" t="str">
        <f>IF(TOTALCO!E720="", "",TOTALCO!E720)</f>
        <v/>
      </c>
      <c r="F195" s="12">
        <f ca="1">IF(TOTALCO!F720="", "",TOTALCO!F720)</f>
        <v>0</v>
      </c>
      <c r="G195" s="12" t="str">
        <f>IF(TOTALCO!G720="", "",TOTALCO!G720)</f>
        <v/>
      </c>
      <c r="H195" s="12">
        <f ca="1">IF(TOTALCO!H720="", "",TOTALCO!H720)</f>
        <v>0</v>
      </c>
      <c r="I195" s="12">
        <f ca="1">IF(TOTALCO!I720="", "",TOTALCO!I720)</f>
        <v>56019.76</v>
      </c>
      <c r="J195" s="12" t="str">
        <f>IF(TOTALCO!J720="", "",TOTALCO!J720)</f>
        <v/>
      </c>
      <c r="K195" s="12" t="str">
        <f>IF(TOTALCO!K720="", "",TOTALCO!K720)</f>
        <v/>
      </c>
      <c r="L195" s="12">
        <f ca="1">IF(TOTALCO!L720="", "",TOTALCO!L720)</f>
        <v>56019.76</v>
      </c>
      <c r="M195" s="12" t="str">
        <f>IF(TOTALCO!M720="", "",TOTALCO!M720)</f>
        <v/>
      </c>
      <c r="N195" s="12">
        <f ca="1">IF(TOTALCO!N720="", "",TOTALCO!N720)</f>
        <v>0</v>
      </c>
      <c r="O195" s="12">
        <f ca="1">IF(TOTALCO!O720="", "",TOTALCO!O720)</f>
        <v>0</v>
      </c>
      <c r="P195" s="12">
        <f ca="1">IF(TOTALCO!P720="", "",TOTALCO!P720)</f>
        <v>0</v>
      </c>
      <c r="Q195" s="12"/>
      <c r="R195" s="13"/>
    </row>
    <row r="196" spans="1:18" ht="15" x14ac:dyDescent="0.2">
      <c r="A196" s="382">
        <f>IF(TOTALCO!A721="", "",TOTALCO!A721)</f>
        <v>34</v>
      </c>
      <c r="B196" s="4" t="str">
        <f>IF(TOTALCO!B721="", "",TOTALCO!B721)</f>
        <v xml:space="preserve"> 364-POLES, TOWERS, AND FIXTURES</v>
      </c>
      <c r="C196" s="4" t="str">
        <f>IF(TOTALCO!C721="", "",TOTALCO!C721)</f>
        <v>DEM364T</v>
      </c>
      <c r="D196" s="12">
        <f ca="1">IF(TOTALCO!D721="", "",TOTALCO!D721)</f>
        <v>48114.2</v>
      </c>
      <c r="E196" s="12" t="str">
        <f>IF(TOTALCO!E721="", "",TOTALCO!E721)</f>
        <v/>
      </c>
      <c r="F196" s="12">
        <f ca="1">IF(TOTALCO!F721="", "",TOTALCO!F721)</f>
        <v>0</v>
      </c>
      <c r="G196" s="12" t="str">
        <f>IF(TOTALCO!G721="", "",TOTALCO!G721)</f>
        <v/>
      </c>
      <c r="H196" s="12">
        <f ca="1">IF(TOTALCO!H721="", "",TOTALCO!H721)</f>
        <v>0</v>
      </c>
      <c r="I196" s="12">
        <f ca="1">IF(TOTALCO!I721="", "",TOTALCO!I721)</f>
        <v>48114.2</v>
      </c>
      <c r="J196" s="12" t="str">
        <f>IF(TOTALCO!J721="", "",TOTALCO!J721)</f>
        <v/>
      </c>
      <c r="K196" s="12" t="str">
        <f>IF(TOTALCO!K721="", "",TOTALCO!K721)</f>
        <v/>
      </c>
      <c r="L196" s="12">
        <f ca="1">IF(TOTALCO!L721="", "",TOTALCO!L721)</f>
        <v>48114.2</v>
      </c>
      <c r="M196" s="12" t="str">
        <f>IF(TOTALCO!M721="", "",TOTALCO!M721)</f>
        <v/>
      </c>
      <c r="N196" s="12">
        <f ca="1">IF(TOTALCO!N721="", "",TOTALCO!N721)</f>
        <v>0</v>
      </c>
      <c r="O196" s="12">
        <f ca="1">IF(TOTALCO!O721="", "",TOTALCO!O721)</f>
        <v>0</v>
      </c>
      <c r="P196" s="12">
        <f ca="1">IF(TOTALCO!P721="", "",TOTALCO!P721)</f>
        <v>0</v>
      </c>
      <c r="Q196" s="12"/>
      <c r="R196" s="13"/>
    </row>
    <row r="197" spans="1:18" ht="15" x14ac:dyDescent="0.2">
      <c r="A197" s="382">
        <f>IF(TOTALCO!A722="", "",TOTALCO!A722)</f>
        <v>35</v>
      </c>
      <c r="B197" s="4" t="str">
        <f>IF(TOTALCO!B722="", "",TOTALCO!B722)</f>
        <v xml:space="preserve"> 365-OH CONDUCTORS AND DEVICES</v>
      </c>
      <c r="C197" s="4" t="str">
        <f>IF(TOTALCO!C722="", "",TOTALCO!C722)</f>
        <v>DEM365T</v>
      </c>
      <c r="D197" s="12">
        <f ca="1">IF(TOTALCO!D722="", "",TOTALCO!D722)</f>
        <v>46763.22</v>
      </c>
      <c r="E197" s="12" t="str">
        <f>IF(TOTALCO!E722="", "",TOTALCO!E722)</f>
        <v/>
      </c>
      <c r="F197" s="12">
        <f ca="1">IF(TOTALCO!F722="", "",TOTALCO!F722)</f>
        <v>0</v>
      </c>
      <c r="G197" s="12" t="str">
        <f>IF(TOTALCO!G722="", "",TOTALCO!G722)</f>
        <v/>
      </c>
      <c r="H197" s="12">
        <f ca="1">IF(TOTALCO!H722="", "",TOTALCO!H722)</f>
        <v>0</v>
      </c>
      <c r="I197" s="12">
        <f ca="1">IF(TOTALCO!I722="", "",TOTALCO!I722)</f>
        <v>46763.22</v>
      </c>
      <c r="J197" s="12" t="str">
        <f>IF(TOTALCO!J722="", "",TOTALCO!J722)</f>
        <v/>
      </c>
      <c r="K197" s="12" t="str">
        <f>IF(TOTALCO!K722="", "",TOTALCO!K722)</f>
        <v/>
      </c>
      <c r="L197" s="12">
        <f ca="1">IF(TOTALCO!L722="", "",TOTALCO!L722)</f>
        <v>46763.22</v>
      </c>
      <c r="M197" s="12" t="str">
        <f>IF(TOTALCO!M722="", "",TOTALCO!M722)</f>
        <v/>
      </c>
      <c r="N197" s="12">
        <f ca="1">IF(TOTALCO!N722="", "",TOTALCO!N722)</f>
        <v>0</v>
      </c>
      <c r="O197" s="12">
        <f ca="1">IF(TOTALCO!O722="", "",TOTALCO!O722)</f>
        <v>0</v>
      </c>
      <c r="P197" s="12">
        <f ca="1">IF(TOTALCO!P722="", "",TOTALCO!P722)</f>
        <v>0</v>
      </c>
      <c r="Q197" s="12"/>
      <c r="R197" s="13"/>
    </row>
    <row r="198" spans="1:18" ht="15" x14ac:dyDescent="0.2">
      <c r="A198" s="382">
        <f>IF(TOTALCO!A723="", "",TOTALCO!A723)</f>
        <v>36</v>
      </c>
      <c r="B198" s="4" t="str">
        <f>IF(TOTALCO!B723="", "",TOTALCO!B723)</f>
        <v xml:space="preserve"> 368-LINE TRANSFORMERS</v>
      </c>
      <c r="C198" s="4" t="str">
        <f>IF(TOTALCO!C723="", "",TOTALCO!C723)</f>
        <v>DEM368T</v>
      </c>
      <c r="D198" s="12">
        <f ca="1">IF(TOTALCO!D723="", "",TOTALCO!D723)</f>
        <v>3118.28</v>
      </c>
      <c r="E198" s="12" t="str">
        <f>IF(TOTALCO!E723="", "",TOTALCO!E723)</f>
        <v/>
      </c>
      <c r="F198" s="12">
        <f ca="1">IF(TOTALCO!F723="", "",TOTALCO!F723)</f>
        <v>0</v>
      </c>
      <c r="G198" s="12" t="str">
        <f>IF(TOTALCO!G723="", "",TOTALCO!G723)</f>
        <v/>
      </c>
      <c r="H198" s="12">
        <f ca="1">IF(TOTALCO!H723="", "",TOTALCO!H723)</f>
        <v>0</v>
      </c>
      <c r="I198" s="12">
        <f ca="1">IF(TOTALCO!I723="", "",TOTALCO!I723)</f>
        <v>3118.28</v>
      </c>
      <c r="J198" s="12" t="str">
        <f>IF(TOTALCO!J723="", "",TOTALCO!J723)</f>
        <v/>
      </c>
      <c r="K198" s="12" t="str">
        <f>IF(TOTALCO!K723="", "",TOTALCO!K723)</f>
        <v/>
      </c>
      <c r="L198" s="12">
        <f ca="1">IF(TOTALCO!L723="", "",TOTALCO!L723)</f>
        <v>3118.28</v>
      </c>
      <c r="M198" s="12" t="str">
        <f>IF(TOTALCO!M723="", "",TOTALCO!M723)</f>
        <v/>
      </c>
      <c r="N198" s="12">
        <f ca="1">IF(TOTALCO!N723="", "",TOTALCO!N723)</f>
        <v>0</v>
      </c>
      <c r="O198" s="12">
        <f ca="1">IF(TOTALCO!O723="", "",TOTALCO!O723)</f>
        <v>0</v>
      </c>
      <c r="P198" s="12">
        <f ca="1">IF(TOTALCO!P723="", "",TOTALCO!P723)</f>
        <v>0</v>
      </c>
      <c r="Q198" s="12"/>
      <c r="R198" s="13"/>
    </row>
    <row r="199" spans="1:18" ht="15" x14ac:dyDescent="0.2">
      <c r="A199" s="382">
        <f>IF(TOTALCO!A724="", "",TOTALCO!A724)</f>
        <v>37</v>
      </c>
      <c r="B199" s="4" t="str">
        <f>IF(TOTALCO!B724="", "",TOTALCO!B724)</f>
        <v xml:space="preserve"> 369-SERVICES</v>
      </c>
      <c r="C199" s="4" t="str">
        <f>IF(TOTALCO!C724="", "",TOTALCO!C724)</f>
        <v>CUST369T</v>
      </c>
      <c r="D199" s="12">
        <f ca="1">IF(TOTALCO!D724="", "",TOTALCO!D724)</f>
        <v>254.62</v>
      </c>
      <c r="E199" s="12" t="str">
        <f>IF(TOTALCO!E724="", "",TOTALCO!E724)</f>
        <v/>
      </c>
      <c r="F199" s="12">
        <f ca="1">IF(TOTALCO!F724="", "",TOTALCO!F724)</f>
        <v>0</v>
      </c>
      <c r="G199" s="12" t="str">
        <f>IF(TOTALCO!G724="", "",TOTALCO!G724)</f>
        <v/>
      </c>
      <c r="H199" s="12">
        <f ca="1">IF(TOTALCO!H724="", "",TOTALCO!H724)</f>
        <v>0</v>
      </c>
      <c r="I199" s="12">
        <f ca="1">IF(TOTALCO!I724="", "",TOTALCO!I724)</f>
        <v>254.62</v>
      </c>
      <c r="J199" s="12" t="str">
        <f>IF(TOTALCO!J724="", "",TOTALCO!J724)</f>
        <v/>
      </c>
      <c r="K199" s="12" t="str">
        <f>IF(TOTALCO!K724="", "",TOTALCO!K724)</f>
        <v/>
      </c>
      <c r="L199" s="12">
        <f ca="1">IF(TOTALCO!L724="", "",TOTALCO!L724)</f>
        <v>254.62</v>
      </c>
      <c r="M199" s="12" t="str">
        <f>IF(TOTALCO!M724="", "",TOTALCO!M724)</f>
        <v/>
      </c>
      <c r="N199" s="12">
        <f ca="1">IF(TOTALCO!N724="", "",TOTALCO!N724)</f>
        <v>0</v>
      </c>
      <c r="O199" s="12">
        <f ca="1">IF(TOTALCO!O724="", "",TOTALCO!O724)</f>
        <v>0</v>
      </c>
      <c r="P199" s="12">
        <f ca="1">IF(TOTALCO!P724="", "",TOTALCO!P724)</f>
        <v>0</v>
      </c>
      <c r="Q199" s="12"/>
      <c r="R199" s="13"/>
    </row>
    <row r="200" spans="1:18" ht="15" x14ac:dyDescent="0.2">
      <c r="A200" s="382">
        <f>IF(TOTALCO!A725="", "",TOTALCO!A725)</f>
        <v>38</v>
      </c>
      <c r="B200" s="4" t="str">
        <f>IF(TOTALCO!B725="", "",TOTALCO!B725)</f>
        <v xml:space="preserve"> 370-METERS</v>
      </c>
      <c r="C200" s="4" t="str">
        <f>IF(TOTALCO!C725="", "",TOTALCO!C725)</f>
        <v>CUST370T</v>
      </c>
      <c r="D200" s="12">
        <f ca="1">IF(TOTALCO!D725="", "",TOTALCO!D725)</f>
        <v>111.07999999999993</v>
      </c>
      <c r="E200" s="12" t="str">
        <f>IF(TOTALCO!E725="", "",TOTALCO!E725)</f>
        <v/>
      </c>
      <c r="F200" s="12">
        <f ca="1">IF(TOTALCO!F725="", "",TOTALCO!F725)</f>
        <v>0</v>
      </c>
      <c r="G200" s="12" t="str">
        <f>IF(TOTALCO!G725="", "",TOTALCO!G725)</f>
        <v/>
      </c>
      <c r="H200" s="12">
        <f ca="1">IF(TOTALCO!H725="", "",TOTALCO!H725)</f>
        <v>0</v>
      </c>
      <c r="I200" s="12">
        <f ca="1">IF(TOTALCO!I725="", "",TOTALCO!I725)</f>
        <v>111.07999999999993</v>
      </c>
      <c r="J200" s="12" t="str">
        <f>IF(TOTALCO!J725="", "",TOTALCO!J725)</f>
        <v/>
      </c>
      <c r="K200" s="12" t="str">
        <f>IF(TOTALCO!K725="", "",TOTALCO!K725)</f>
        <v/>
      </c>
      <c r="L200" s="12">
        <f ca="1">IF(TOTALCO!L725="", "",TOTALCO!L725)</f>
        <v>111.07999999999993</v>
      </c>
      <c r="M200" s="12" t="str">
        <f>IF(TOTALCO!M725="", "",TOTALCO!M725)</f>
        <v/>
      </c>
      <c r="N200" s="12">
        <f ca="1">IF(TOTALCO!N725="", "",TOTALCO!N725)</f>
        <v>0</v>
      </c>
      <c r="O200" s="12">
        <f ca="1">IF(TOTALCO!O725="", "",TOTALCO!O725)</f>
        <v>0</v>
      </c>
      <c r="P200" s="12">
        <f ca="1">IF(TOTALCO!P725="", "",TOTALCO!P725)</f>
        <v>0</v>
      </c>
      <c r="Q200" s="12"/>
      <c r="R200" s="13"/>
    </row>
    <row r="201" spans="1:18" ht="15" x14ac:dyDescent="0.2">
      <c r="A201" s="382">
        <f>IF(TOTALCO!A726="", "",TOTALCO!A726)</f>
        <v>39</v>
      </c>
      <c r="B201" s="4" t="str">
        <f>IF(TOTALCO!B726="", "",TOTALCO!B726)</f>
        <v xml:space="preserve"> 371-INSTALL ON CUSTOMER PREMISES</v>
      </c>
      <c r="C201" s="4" t="str">
        <f>IF(TOTALCO!C726="", "",TOTALCO!C726)</f>
        <v>CUST371T</v>
      </c>
      <c r="D201" s="12">
        <f ca="1">IF(TOTALCO!D726="", "",TOTALCO!D726)</f>
        <v>0</v>
      </c>
      <c r="E201" s="12" t="str">
        <f>IF(TOTALCO!E726="", "",TOTALCO!E726)</f>
        <v/>
      </c>
      <c r="F201" s="12">
        <f ca="1">IF(TOTALCO!F726="", "",TOTALCO!F726)</f>
        <v>0</v>
      </c>
      <c r="G201" s="12" t="str">
        <f>IF(TOTALCO!G726="", "",TOTALCO!G726)</f>
        <v/>
      </c>
      <c r="H201" s="12">
        <f ca="1">IF(TOTALCO!H726="", "",TOTALCO!H726)</f>
        <v>0</v>
      </c>
      <c r="I201" s="12">
        <f ca="1">IF(TOTALCO!I726="", "",TOTALCO!I726)</f>
        <v>0</v>
      </c>
      <c r="J201" s="12" t="str">
        <f>IF(TOTALCO!J726="", "",TOTALCO!J726)</f>
        <v/>
      </c>
      <c r="K201" s="12" t="str">
        <f>IF(TOTALCO!K726="", "",TOTALCO!K726)</f>
        <v/>
      </c>
      <c r="L201" s="12">
        <f ca="1">IF(TOTALCO!L726="", "",TOTALCO!L726)</f>
        <v>0</v>
      </c>
      <c r="M201" s="12" t="str">
        <f>IF(TOTALCO!M726="", "",TOTALCO!M726)</f>
        <v/>
      </c>
      <c r="N201" s="12">
        <f ca="1">IF(TOTALCO!N726="", "",TOTALCO!N726)</f>
        <v>0</v>
      </c>
      <c r="O201" s="12">
        <f ca="1">IF(TOTALCO!O726="", "",TOTALCO!O726)</f>
        <v>0</v>
      </c>
      <c r="P201" s="12">
        <f ca="1">IF(TOTALCO!P726="", "",TOTALCO!P726)</f>
        <v>0</v>
      </c>
      <c r="Q201" s="12"/>
      <c r="R201" s="13"/>
    </row>
    <row r="202" spans="1:18" ht="15" x14ac:dyDescent="0.2">
      <c r="A202" s="382">
        <f>IF(TOTALCO!A727="", "",TOTALCO!A727)</f>
        <v>40</v>
      </c>
      <c r="B202" s="4" t="str">
        <f>IF(TOTALCO!B727="", "",TOTALCO!B727)</f>
        <v xml:space="preserve"> TOTAL TENNESSEE DISTRIB PLANT</v>
      </c>
      <c r="C202" s="4" t="str">
        <f>IF(TOTALCO!C727="", "",TOTALCO!C727)</f>
        <v/>
      </c>
      <c r="D202" s="12">
        <f ca="1">IF(TOTALCO!D727="", "",TOTALCO!D727)</f>
        <v>162042.68</v>
      </c>
      <c r="E202" s="12" t="str">
        <f>IF(TOTALCO!E727="", "",TOTALCO!E727)</f>
        <v/>
      </c>
      <c r="F202" s="12">
        <f ca="1">IF(TOTALCO!F727="", "",TOTALCO!F727)</f>
        <v>0</v>
      </c>
      <c r="G202" s="12" t="str">
        <f>IF(TOTALCO!G727="", "",TOTALCO!G727)</f>
        <v/>
      </c>
      <c r="H202" s="12">
        <f ca="1">IF(TOTALCO!H727="", "",TOTALCO!H727)</f>
        <v>0</v>
      </c>
      <c r="I202" s="12">
        <f ca="1">IF(TOTALCO!I727="", "",TOTALCO!I727)</f>
        <v>162042.68</v>
      </c>
      <c r="J202" s="12" t="str">
        <f>IF(TOTALCO!J727="", "",TOTALCO!J727)</f>
        <v/>
      </c>
      <c r="K202" s="12" t="str">
        <f>IF(TOTALCO!K727="", "",TOTALCO!K727)</f>
        <v/>
      </c>
      <c r="L202" s="12">
        <f ca="1">IF(TOTALCO!L727="", "",TOTALCO!L727)</f>
        <v>162042.68</v>
      </c>
      <c r="M202" s="12" t="str">
        <f>IF(TOTALCO!M727="", "",TOTALCO!M727)</f>
        <v/>
      </c>
      <c r="N202" s="12">
        <f ca="1">IF(TOTALCO!N727="", "",TOTALCO!N727)</f>
        <v>0</v>
      </c>
      <c r="O202" s="12">
        <f ca="1">IF(TOTALCO!O727="", "",TOTALCO!O727)</f>
        <v>0</v>
      </c>
      <c r="P202" s="12">
        <f ca="1">IF(TOTALCO!P727="", "",TOTALCO!P727)</f>
        <v>0</v>
      </c>
      <c r="Q202" s="12"/>
      <c r="R202" s="13"/>
    </row>
    <row r="203" spans="1:18" ht="15" x14ac:dyDescent="0.2">
      <c r="A203" s="382" t="str">
        <f>IF(TOTALCO!A728="", "",TOTALCO!A728)</f>
        <v/>
      </c>
      <c r="B203" s="4" t="str">
        <f>IF(TOTALCO!B728="", "",TOTALCO!B728)</f>
        <v/>
      </c>
      <c r="C203" s="4" t="str">
        <f>IF(TOTALCO!C728="", "",TOTALCO!C728)</f>
        <v/>
      </c>
      <c r="D203" s="12" t="str">
        <f>IF(TOTALCO!D728="", "",TOTALCO!D728)</f>
        <v/>
      </c>
      <c r="E203" s="12" t="str">
        <f>IF(TOTALCO!E728="", "",TOTALCO!E728)</f>
        <v/>
      </c>
      <c r="F203" s="12" t="str">
        <f>IF(TOTALCO!F728="", "",TOTALCO!F728)</f>
        <v/>
      </c>
      <c r="G203" s="12" t="str">
        <f>IF(TOTALCO!G728="", "",TOTALCO!G728)</f>
        <v/>
      </c>
      <c r="H203" s="12" t="str">
        <f>IF(TOTALCO!H728="", "",TOTALCO!H728)</f>
        <v/>
      </c>
      <c r="I203" s="12" t="str">
        <f>IF(TOTALCO!I728="", "",TOTALCO!I728)</f>
        <v/>
      </c>
      <c r="J203" s="12" t="str">
        <f>IF(TOTALCO!J728="", "",TOTALCO!J728)</f>
        <v/>
      </c>
      <c r="K203" s="12" t="str">
        <f>IF(TOTALCO!K728="", "",TOTALCO!K728)</f>
        <v/>
      </c>
      <c r="L203" s="12" t="str">
        <f>IF(TOTALCO!L728="", "",TOTALCO!L728)</f>
        <v/>
      </c>
      <c r="M203" s="12" t="str">
        <f>IF(TOTALCO!M728="", "",TOTALCO!M728)</f>
        <v/>
      </c>
      <c r="N203" s="12" t="str">
        <f>IF(TOTALCO!N728="", "",TOTALCO!N728)</f>
        <v/>
      </c>
      <c r="O203" s="12" t="str">
        <f>IF(TOTALCO!O728="", "",TOTALCO!O728)</f>
        <v/>
      </c>
      <c r="P203" s="12" t="str">
        <f>IF(TOTALCO!P728="", "",TOTALCO!P728)</f>
        <v/>
      </c>
      <c r="Q203" s="12"/>
      <c r="R203" s="13"/>
    </row>
    <row r="204" spans="1:18" ht="15" x14ac:dyDescent="0.2">
      <c r="A204" s="382">
        <f>IF(TOTALCO!A729="", "",TOTALCO!A729)</f>
        <v>41</v>
      </c>
      <c r="B204" s="4" t="str">
        <f>IF(TOTALCO!B729="", "",TOTALCO!B729)</f>
        <v>TOTAL DISTRIBUTION PLANT</v>
      </c>
      <c r="C204" s="4" t="str">
        <f>IF(TOTALCO!C729="", "",TOTALCO!C729)</f>
        <v/>
      </c>
      <c r="D204" s="12">
        <f ca="1">IF(TOTALCO!D729="", "",TOTALCO!D729)</f>
        <v>1433759656.6499999</v>
      </c>
      <c r="E204" s="12" t="str">
        <f>IF(TOTALCO!E729="", "",TOTALCO!E729)</f>
        <v/>
      </c>
      <c r="F204" s="12">
        <f ca="1">IF(TOTALCO!F729="", "",TOTALCO!F729)</f>
        <v>1348948019.5461249</v>
      </c>
      <c r="G204" s="12" t="str">
        <f>IF(TOTALCO!G729="", "",TOTALCO!G729)</f>
        <v/>
      </c>
      <c r="H204" s="12">
        <f ca="1">IF(TOTALCO!H729="", "",TOTALCO!H729)</f>
        <v>80327605.579999998</v>
      </c>
      <c r="I204" s="12">
        <f ca="1">IF(TOTALCO!I729="", "",TOTALCO!I729)</f>
        <v>4484031.5238750307</v>
      </c>
      <c r="J204" s="12" t="str">
        <f>IF(TOTALCO!J729="", "",TOTALCO!J729)</f>
        <v/>
      </c>
      <c r="K204" s="12" t="str">
        <f>IF(TOTALCO!K729="", "",TOTALCO!K729)</f>
        <v/>
      </c>
      <c r="L204" s="12">
        <f ca="1">IF(TOTALCO!L729="", "",TOTALCO!L729)</f>
        <v>162042.68</v>
      </c>
      <c r="M204" s="12" t="str">
        <f>IF(TOTALCO!M729="", "",TOTALCO!M729)</f>
        <v/>
      </c>
      <c r="N204" s="12">
        <f ca="1">IF(TOTALCO!N729="", "",TOTALCO!N729)</f>
        <v>4321988.843875031</v>
      </c>
      <c r="O204" s="12">
        <f ca="1">IF(TOTALCO!O729="", "",TOTALCO!O729)</f>
        <v>3714063.0443994557</v>
      </c>
      <c r="P204" s="12">
        <f ca="1">IF(TOTALCO!P729="", "",TOTALCO!P729)</f>
        <v>607925.79947557533</v>
      </c>
      <c r="Q204" s="12"/>
      <c r="R204" s="13"/>
    </row>
    <row r="205" spans="1:18" ht="15" x14ac:dyDescent="0.2">
      <c r="A205" s="382" t="str">
        <f>IF(TOTALCO!A730="", "",TOTALCO!A730)</f>
        <v/>
      </c>
      <c r="B205" s="4" t="str">
        <f>IF(TOTALCO!B730="", "",TOTALCO!B730)</f>
        <v/>
      </c>
      <c r="C205" s="4" t="str">
        <f>IF(TOTALCO!C730="", "",TOTALCO!C730)</f>
        <v/>
      </c>
      <c r="D205" s="12" t="str">
        <f>IF(TOTALCO!D730="", "",TOTALCO!D730)</f>
        <v/>
      </c>
      <c r="E205" s="12" t="str">
        <f>IF(TOTALCO!E730="", "",TOTALCO!E730)</f>
        <v/>
      </c>
      <c r="F205" s="12" t="str">
        <f>IF(TOTALCO!F730="", "",TOTALCO!F730)</f>
        <v/>
      </c>
      <c r="G205" s="12" t="str">
        <f>IF(TOTALCO!G730="", "",TOTALCO!G730)</f>
        <v/>
      </c>
      <c r="H205" s="12" t="str">
        <f>IF(TOTALCO!H730="", "",TOTALCO!H730)</f>
        <v/>
      </c>
      <c r="I205" s="12" t="str">
        <f>IF(TOTALCO!I730="", "",TOTALCO!I730)</f>
        <v/>
      </c>
      <c r="J205" s="12" t="str">
        <f>IF(TOTALCO!J730="", "",TOTALCO!J730)</f>
        <v/>
      </c>
      <c r="K205" s="12" t="str">
        <f>IF(TOTALCO!K730="", "",TOTALCO!K730)</f>
        <v/>
      </c>
      <c r="L205" s="12" t="str">
        <f>IF(TOTALCO!L730="", "",TOTALCO!L730)</f>
        <v/>
      </c>
      <c r="M205" s="12" t="str">
        <f>IF(TOTALCO!M730="", "",TOTALCO!M730)</f>
        <v/>
      </c>
      <c r="N205" s="12" t="str">
        <f>IF(TOTALCO!N730="", "",TOTALCO!N730)</f>
        <v/>
      </c>
      <c r="O205" s="12" t="str">
        <f>IF(TOTALCO!O730="", "",TOTALCO!O730)</f>
        <v/>
      </c>
      <c r="P205" s="12" t="str">
        <f>IF(TOTALCO!P730="", "",TOTALCO!P730)</f>
        <v/>
      </c>
      <c r="Q205" s="12"/>
      <c r="R205" s="13"/>
    </row>
    <row r="206" spans="1:18" ht="15" x14ac:dyDescent="0.2">
      <c r="A206" s="382" t="str">
        <f>IF(TOTALCO!A731="", "",TOTALCO!A731)</f>
        <v/>
      </c>
      <c r="B206" s="4" t="str">
        <f>IF(TOTALCO!B731="", "",TOTALCO!B731)</f>
        <v>ELECTRIC PLANT IN SERVICE CON'T</v>
      </c>
      <c r="C206" s="4" t="str">
        <f>IF(TOTALCO!C731="", "",TOTALCO!C731)</f>
        <v/>
      </c>
      <c r="D206" s="12" t="str">
        <f>IF(TOTALCO!D731="", "",TOTALCO!D731)</f>
        <v/>
      </c>
      <c r="E206" s="12" t="str">
        <f>IF(TOTALCO!E731="", "",TOTALCO!E731)</f>
        <v/>
      </c>
      <c r="F206" s="12" t="str">
        <f>IF(TOTALCO!F731="", "",TOTALCO!F731)</f>
        <v/>
      </c>
      <c r="G206" s="12" t="str">
        <f>IF(TOTALCO!G731="", "",TOTALCO!G731)</f>
        <v/>
      </c>
      <c r="H206" s="12" t="str">
        <f>IF(TOTALCO!H731="", "",TOTALCO!H731)</f>
        <v/>
      </c>
      <c r="I206" s="12" t="str">
        <f>IF(TOTALCO!I731="", "",TOTALCO!I731)</f>
        <v/>
      </c>
      <c r="J206" s="12" t="str">
        <f>IF(TOTALCO!J731="", "",TOTALCO!J731)</f>
        <v/>
      </c>
      <c r="K206" s="12" t="str">
        <f>IF(TOTALCO!K731="", "",TOTALCO!K731)</f>
        <v/>
      </c>
      <c r="L206" s="12" t="str">
        <f>IF(TOTALCO!L731="", "",TOTALCO!L731)</f>
        <v/>
      </c>
      <c r="M206" s="12" t="str">
        <f>IF(TOTALCO!M731="", "",TOTALCO!M731)</f>
        <v/>
      </c>
      <c r="N206" s="12" t="str">
        <f>IF(TOTALCO!N731="", "",TOTALCO!N731)</f>
        <v/>
      </c>
      <c r="O206" s="12" t="str">
        <f>IF(TOTALCO!O731="", "",TOTALCO!O731)</f>
        <v/>
      </c>
      <c r="P206" s="12" t="str">
        <f>IF(TOTALCO!P731="", "",TOTALCO!P731)</f>
        <v/>
      </c>
      <c r="Q206" s="12"/>
      <c r="R206" s="13"/>
    </row>
    <row r="207" spans="1:18" ht="15" x14ac:dyDescent="0.2">
      <c r="A207" s="382" t="str">
        <f>IF(TOTALCO!A732="", "",TOTALCO!A732)</f>
        <v/>
      </c>
      <c r="B207" s="4" t="str">
        <f>IF(TOTALCO!B732="", "",TOTALCO!B732)</f>
        <v/>
      </c>
      <c r="C207" s="4" t="str">
        <f>IF(TOTALCO!C732="", "",TOTALCO!C732)</f>
        <v/>
      </c>
      <c r="D207" s="12" t="str">
        <f>IF(TOTALCO!D732="", "",TOTALCO!D732)</f>
        <v/>
      </c>
      <c r="E207" s="12" t="str">
        <f>IF(TOTALCO!E732="", "",TOTALCO!E732)</f>
        <v/>
      </c>
      <c r="F207" s="12" t="str">
        <f>IF(TOTALCO!F732="", "",TOTALCO!F732)</f>
        <v/>
      </c>
      <c r="G207" s="12" t="str">
        <f>IF(TOTALCO!G732="", "",TOTALCO!G732)</f>
        <v/>
      </c>
      <c r="H207" s="12" t="str">
        <f>IF(TOTALCO!H732="", "",TOTALCO!H732)</f>
        <v/>
      </c>
      <c r="I207" s="12" t="str">
        <f>IF(TOTALCO!I732="", "",TOTALCO!I732)</f>
        <v/>
      </c>
      <c r="J207" s="12" t="str">
        <f>IF(TOTALCO!J732="", "",TOTALCO!J732)</f>
        <v/>
      </c>
      <c r="K207" s="12" t="str">
        <f>IF(TOTALCO!K732="", "",TOTALCO!K732)</f>
        <v/>
      </c>
      <c r="L207" s="12" t="str">
        <f>IF(TOTALCO!L732="", "",TOTALCO!L732)</f>
        <v/>
      </c>
      <c r="M207" s="12" t="str">
        <f>IF(TOTALCO!M732="", "",TOTALCO!M732)</f>
        <v/>
      </c>
      <c r="N207" s="12" t="str">
        <f>IF(TOTALCO!N732="", "",TOTALCO!N732)</f>
        <v/>
      </c>
      <c r="O207" s="12" t="str">
        <f>IF(TOTALCO!O732="", "",TOTALCO!O732)</f>
        <v/>
      </c>
      <c r="P207" s="12" t="str">
        <f>IF(TOTALCO!P732="", "",TOTALCO!P732)</f>
        <v/>
      </c>
      <c r="Q207" s="12"/>
      <c r="R207" s="13"/>
    </row>
    <row r="208" spans="1:18" ht="15" x14ac:dyDescent="0.2">
      <c r="A208" s="382" t="str">
        <f>IF(TOTALCO!A733="", "",TOTALCO!A733)</f>
        <v/>
      </c>
      <c r="B208" s="4" t="str">
        <f>IF(TOTALCO!B733="", "",TOTALCO!B733)</f>
        <v xml:space="preserve"> GENERAL PLANT</v>
      </c>
      <c r="C208" s="4" t="str">
        <f>IF(TOTALCO!C733="", "",TOTALCO!C733)</f>
        <v/>
      </c>
      <c r="D208" s="12" t="str">
        <f>IF(TOTALCO!D733="", "",TOTALCO!D733)</f>
        <v/>
      </c>
      <c r="E208" s="12" t="str">
        <f>IF(TOTALCO!E733="", "",TOTALCO!E733)</f>
        <v/>
      </c>
      <c r="F208" s="12" t="str">
        <f>IF(TOTALCO!F733="", "",TOTALCO!F733)</f>
        <v/>
      </c>
      <c r="G208" s="12" t="str">
        <f>IF(TOTALCO!G733="", "",TOTALCO!G733)</f>
        <v/>
      </c>
      <c r="H208" s="12" t="str">
        <f>IF(TOTALCO!H733="", "",TOTALCO!H733)</f>
        <v/>
      </c>
      <c r="I208" s="12" t="str">
        <f>IF(TOTALCO!I733="", "",TOTALCO!I733)</f>
        <v/>
      </c>
      <c r="J208" s="12" t="str">
        <f>IF(TOTALCO!J733="", "",TOTALCO!J733)</f>
        <v/>
      </c>
      <c r="K208" s="12" t="str">
        <f>IF(TOTALCO!K733="", "",TOTALCO!K733)</f>
        <v/>
      </c>
      <c r="L208" s="12" t="str">
        <f>IF(TOTALCO!L733="", "",TOTALCO!L733)</f>
        <v/>
      </c>
      <c r="M208" s="12" t="str">
        <f>IF(TOTALCO!M733="", "",TOTALCO!M733)</f>
        <v/>
      </c>
      <c r="N208" s="12" t="str">
        <f>IF(TOTALCO!N733="", "",TOTALCO!N733)</f>
        <v/>
      </c>
      <c r="O208" s="12" t="str">
        <f>IF(TOTALCO!O733="", "",TOTALCO!O733)</f>
        <v/>
      </c>
      <c r="P208" s="12" t="str">
        <f>IF(TOTALCO!P733="", "",TOTALCO!P733)</f>
        <v/>
      </c>
      <c r="Q208" s="12"/>
      <c r="R208" s="13"/>
    </row>
    <row r="209" spans="1:18" ht="15" x14ac:dyDescent="0.2">
      <c r="A209" s="382">
        <f>IF(TOTALCO!A734="", "",TOTALCO!A734)</f>
        <v>1</v>
      </c>
      <c r="B209" s="4" t="str">
        <f>IF(TOTALCO!B734="", "",TOTALCO!B734)</f>
        <v xml:space="preserve"> 389-LAND &amp; LAND RIGHTS</v>
      </c>
      <c r="C209" s="4" t="str">
        <f>IF(TOTALCO!C734="", "",TOTALCO!C734)</f>
        <v>LABOR</v>
      </c>
      <c r="D209" s="12">
        <f ca="1">IF(TOTALCO!D734="", "",TOTALCO!D734)</f>
        <v>2629527.6200000006</v>
      </c>
      <c r="E209" s="12" t="str">
        <f>IF(TOTALCO!E734="", "",TOTALCO!E734)</f>
        <v/>
      </c>
      <c r="F209" s="12">
        <f ca="1">IF(TOTALCO!F734="", "",TOTALCO!F734)</f>
        <v>2338646.1876761313</v>
      </c>
      <c r="G209" s="12" t="str">
        <f>IF(TOTALCO!G734="", "",TOTALCO!G734)</f>
        <v/>
      </c>
      <c r="H209" s="12">
        <f ca="1">IF(TOTALCO!H734="", "",TOTALCO!H734)</f>
        <v>144079.66990106931</v>
      </c>
      <c r="I209" s="12">
        <f ca="1">IF(TOTALCO!I734="", "",TOTALCO!I734)</f>
        <v>146801.76242279992</v>
      </c>
      <c r="J209" s="12" t="str">
        <f>IF(TOTALCO!J734="", "",TOTALCO!J734)</f>
        <v/>
      </c>
      <c r="K209" s="12" t="str">
        <f>IF(TOTALCO!K734="", "",TOTALCO!K734)</f>
        <v/>
      </c>
      <c r="L209" s="12">
        <f ca="1">IF(TOTALCO!L734="", "",TOTALCO!L734)</f>
        <v>80.722897591639082</v>
      </c>
      <c r="M209" s="12" t="str">
        <f>IF(TOTALCO!M734="", "",TOTALCO!M734)</f>
        <v/>
      </c>
      <c r="N209" s="12">
        <f ca="1">IF(TOTALCO!N734="", "",TOTALCO!N734)</f>
        <v>146721.03952520827</v>
      </c>
      <c r="O209" s="12">
        <f ca="1">IF(TOTALCO!O734="", "",TOTALCO!O734)</f>
        <v>47664.173027435208</v>
      </c>
      <c r="P209" s="12">
        <f ca="1">IF(TOTALCO!P734="", "",TOTALCO!P734)</f>
        <v>99056.866497773066</v>
      </c>
      <c r="Q209" s="12"/>
      <c r="R209" s="13"/>
    </row>
    <row r="210" spans="1:18" ht="15" x14ac:dyDescent="0.2">
      <c r="A210" s="382">
        <f>IF(TOTALCO!A735="", "",TOTALCO!A735)</f>
        <v>2</v>
      </c>
      <c r="B210" s="4" t="str">
        <f>IF(TOTALCO!B735="", "",TOTALCO!B735)</f>
        <v xml:space="preserve"> 390-STRUCTURES AND IMPROVEMENTS</v>
      </c>
      <c r="C210" s="4" t="str">
        <f>IF(TOTALCO!C735="", "",TOTALCO!C735)</f>
        <v>LABOR</v>
      </c>
      <c r="D210" s="12">
        <f ca="1">IF(TOTALCO!D735="", "",TOTALCO!D735)</f>
        <v>46799329.669999987</v>
      </c>
      <c r="E210" s="12" t="str">
        <f>IF(TOTALCO!E735="", "",TOTALCO!E735)</f>
        <v/>
      </c>
      <c r="F210" s="12">
        <f ca="1">IF(TOTALCO!F735="", "",TOTALCO!F735)</f>
        <v>41622332.880665429</v>
      </c>
      <c r="G210" s="12" t="str">
        <f>IF(TOTALCO!G735="", "",TOTALCO!G735)</f>
        <v/>
      </c>
      <c r="H210" s="12">
        <f ca="1">IF(TOTALCO!H735="", "",TOTALCO!H735)</f>
        <v>2564275.0124240629</v>
      </c>
      <c r="I210" s="12">
        <f ca="1">IF(TOTALCO!I735="", "",TOTALCO!I735)</f>
        <v>2612721.7769104964</v>
      </c>
      <c r="J210" s="12" t="str">
        <f>IF(TOTALCO!J735="", "",TOTALCO!J735)</f>
        <v/>
      </c>
      <c r="K210" s="12" t="str">
        <f>IF(TOTALCO!K735="", "",TOTALCO!K735)</f>
        <v/>
      </c>
      <c r="L210" s="12">
        <f ca="1">IF(TOTALCO!L735="", "",TOTALCO!L735)</f>
        <v>1436.6753433488427</v>
      </c>
      <c r="M210" s="12" t="str">
        <f>IF(TOTALCO!M735="", "",TOTALCO!M735)</f>
        <v/>
      </c>
      <c r="N210" s="12">
        <f ca="1">IF(TOTALCO!N735="", "",TOTALCO!N735)</f>
        <v>2611285.1015671478</v>
      </c>
      <c r="O210" s="12">
        <f ca="1">IF(TOTALCO!O735="", "",TOTALCO!O735)</f>
        <v>848308.77226490655</v>
      </c>
      <c r="P210" s="12">
        <f ca="1">IF(TOTALCO!P735="", "",TOTALCO!P735)</f>
        <v>1762976.3293022411</v>
      </c>
      <c r="Q210" s="12"/>
      <c r="R210" s="13"/>
    </row>
    <row r="211" spans="1:18" ht="15" x14ac:dyDescent="0.2">
      <c r="A211" s="382">
        <f>IF(TOTALCO!A736="", "",TOTALCO!A736)</f>
        <v>3</v>
      </c>
      <c r="B211" s="4" t="str">
        <f>IF(TOTALCO!B736="", "",TOTALCO!B736)</f>
        <v xml:space="preserve"> 391-OFFICE EQUIPMENT</v>
      </c>
      <c r="C211" s="4" t="str">
        <f>IF(TOTALCO!C736="", "",TOTALCO!C736)</f>
        <v>LABOR</v>
      </c>
      <c r="D211" s="12">
        <f ca="1">IF(TOTALCO!D736="", "",TOTALCO!D736)</f>
        <v>32854980.949999999</v>
      </c>
      <c r="E211" s="12" t="str">
        <f>IF(TOTALCO!E736="", "",TOTALCO!E736)</f>
        <v/>
      </c>
      <c r="F211" s="12">
        <f ca="1">IF(TOTALCO!F736="", "",TOTALCO!F736)</f>
        <v>29220524.386387467</v>
      </c>
      <c r="G211" s="12" t="str">
        <f>IF(TOTALCO!G736="", "",TOTALCO!G736)</f>
        <v/>
      </c>
      <c r="H211" s="12">
        <f ca="1">IF(TOTALCO!H736="", "",TOTALCO!H736)</f>
        <v>1800222.5091219691</v>
      </c>
      <c r="I211" s="12">
        <f ca="1">IF(TOTALCO!I736="", "",TOTALCO!I736)</f>
        <v>1834234.0544905614</v>
      </c>
      <c r="J211" s="12" t="str">
        <f>IF(TOTALCO!J736="", "",TOTALCO!J736)</f>
        <v/>
      </c>
      <c r="K211" s="12" t="str">
        <f>IF(TOTALCO!K736="", "",TOTALCO!K736)</f>
        <v/>
      </c>
      <c r="L211" s="12">
        <f ca="1">IF(TOTALCO!L736="", "",TOTALCO!L736)</f>
        <v>1008.6029302107511</v>
      </c>
      <c r="M211" s="12" t="str">
        <f>IF(TOTALCO!M736="", "",TOTALCO!M736)</f>
        <v/>
      </c>
      <c r="N211" s="12">
        <f ca="1">IF(TOTALCO!N736="", "",TOTALCO!N736)</f>
        <v>1833225.4515603506</v>
      </c>
      <c r="O211" s="12">
        <f ca="1">IF(TOTALCO!O736="", "",TOTALCO!O736)</f>
        <v>595546.31976593856</v>
      </c>
      <c r="P211" s="12">
        <f ca="1">IF(TOTALCO!P736="", "",TOTALCO!P736)</f>
        <v>1237679.1317944122</v>
      </c>
      <c r="Q211" s="12"/>
      <c r="R211" s="13"/>
    </row>
    <row r="212" spans="1:18" ht="15" x14ac:dyDescent="0.2">
      <c r="A212" s="382">
        <f>IF(TOTALCO!A737="", "",TOTALCO!A737)</f>
        <v>4</v>
      </c>
      <c r="B212" s="4" t="str">
        <f>IF(TOTALCO!B737="", "",TOTALCO!B737)</f>
        <v xml:space="preserve"> 392-TRANSPORTATION EQUIPMENT</v>
      </c>
      <c r="C212" s="4" t="str">
        <f>IF(TOTALCO!C737="", "",TOTALCO!C737)</f>
        <v>LABOR</v>
      </c>
      <c r="D212" s="12">
        <f ca="1">IF(TOTALCO!D737="", "",TOTALCO!D737)</f>
        <v>15969954.879999997</v>
      </c>
      <c r="E212" s="12" t="str">
        <f>IF(TOTALCO!E737="", "",TOTALCO!E737)</f>
        <v/>
      </c>
      <c r="F212" s="12">
        <f ca="1">IF(TOTALCO!F737="", "",TOTALCO!F737)</f>
        <v>14203339.722847944</v>
      </c>
      <c r="G212" s="12" t="str">
        <f>IF(TOTALCO!G737="", "",TOTALCO!G737)</f>
        <v/>
      </c>
      <c r="H212" s="12">
        <f ca="1">IF(TOTALCO!H737="", "",TOTALCO!H737)</f>
        <v>875041.51313891518</v>
      </c>
      <c r="I212" s="12">
        <f ca="1">IF(TOTALCO!I737="", "",TOTALCO!I737)</f>
        <v>891573.64401313779</v>
      </c>
      <c r="J212" s="12" t="str">
        <f>IF(TOTALCO!J737="", "",TOTALCO!J737)</f>
        <v/>
      </c>
      <c r="K212" s="12" t="str">
        <f>IF(TOTALCO!K737="", "",TOTALCO!K737)</f>
        <v/>
      </c>
      <c r="L212" s="12">
        <f ca="1">IF(TOTALCO!L737="", "",TOTALCO!L737)</f>
        <v>490.25574879541915</v>
      </c>
      <c r="M212" s="12" t="str">
        <f>IF(TOTALCO!M737="", "",TOTALCO!M737)</f>
        <v/>
      </c>
      <c r="N212" s="12">
        <f ca="1">IF(TOTALCO!N737="", "",TOTALCO!N737)</f>
        <v>891083.38826434233</v>
      </c>
      <c r="O212" s="12">
        <f ca="1">IF(TOTALCO!O737="", "",TOTALCO!O737)</f>
        <v>289479.63385174598</v>
      </c>
      <c r="P212" s="12">
        <f ca="1">IF(TOTALCO!P737="", "",TOTALCO!P737)</f>
        <v>601603.75441259635</v>
      </c>
      <c r="Q212" s="12"/>
      <c r="R212" s="13"/>
    </row>
    <row r="213" spans="1:18" ht="15" x14ac:dyDescent="0.2">
      <c r="A213" s="382">
        <f>IF(TOTALCO!A738="", "",TOTALCO!A738)</f>
        <v>5</v>
      </c>
      <c r="B213" s="4" t="str">
        <f>IF(TOTALCO!B738="", "",TOTALCO!B738)</f>
        <v xml:space="preserve"> 393-STORES EQUIPMENT</v>
      </c>
      <c r="C213" s="4" t="str">
        <f>IF(TOTALCO!C738="", "",TOTALCO!C738)</f>
        <v>LABOR</v>
      </c>
      <c r="D213" s="12">
        <f ca="1">IF(TOTALCO!D738="", "",TOTALCO!D738)</f>
        <v>551794.27</v>
      </c>
      <c r="E213" s="12" t="str">
        <f>IF(TOTALCO!E738="", "",TOTALCO!E738)</f>
        <v/>
      </c>
      <c r="F213" s="12">
        <f ca="1">IF(TOTALCO!F738="", "",TOTALCO!F738)</f>
        <v>490754.1400599677</v>
      </c>
      <c r="G213" s="12" t="str">
        <f>IF(TOTALCO!G738="", "",TOTALCO!G738)</f>
        <v/>
      </c>
      <c r="H213" s="12">
        <f ca="1">IF(TOTALCO!H738="", "",TOTALCO!H738)</f>
        <v>30234.455675693378</v>
      </c>
      <c r="I213" s="12">
        <f ca="1">IF(TOTALCO!I738="", "",TOTALCO!I738)</f>
        <v>30805.674264338893</v>
      </c>
      <c r="J213" s="12" t="str">
        <f>IF(TOTALCO!J738="", "",TOTALCO!J738)</f>
        <v/>
      </c>
      <c r="K213" s="12" t="str">
        <f>IF(TOTALCO!K738="", "",TOTALCO!K738)</f>
        <v/>
      </c>
      <c r="L213" s="12">
        <f ca="1">IF(TOTALCO!L738="", "",TOTALCO!L738)</f>
        <v>16.939328573724293</v>
      </c>
      <c r="M213" s="12" t="str">
        <f>IF(TOTALCO!M738="", "",TOTALCO!M738)</f>
        <v/>
      </c>
      <c r="N213" s="12">
        <f ca="1">IF(TOTALCO!N738="", "",TOTALCO!N738)</f>
        <v>30788.734935765169</v>
      </c>
      <c r="O213" s="12">
        <f ca="1">IF(TOTALCO!O738="", "",TOTALCO!O738)</f>
        <v>10002.107359810618</v>
      </c>
      <c r="P213" s="12">
        <f ca="1">IF(TOTALCO!P738="", "",TOTALCO!P738)</f>
        <v>20786.62757595455</v>
      </c>
      <c r="Q213" s="12"/>
      <c r="R213" s="13"/>
    </row>
    <row r="214" spans="1:18" ht="15" x14ac:dyDescent="0.2">
      <c r="A214" s="382">
        <f>IF(TOTALCO!A739="", "",TOTALCO!A739)</f>
        <v>6</v>
      </c>
      <c r="B214" s="4" t="str">
        <f>IF(TOTALCO!B739="", "",TOTALCO!B739)</f>
        <v xml:space="preserve"> 394-TOOLS, SHOP, AND GARAGE EQUIP</v>
      </c>
      <c r="C214" s="4" t="str">
        <f>IF(TOTALCO!C739="", "",TOTALCO!C739)</f>
        <v>LABOR</v>
      </c>
      <c r="D214" s="12">
        <f ca="1">IF(TOTALCO!D739="", "",TOTALCO!D739)</f>
        <v>8221696.5200000005</v>
      </c>
      <c r="E214" s="12" t="str">
        <f>IF(TOTALCO!E739="", "",TOTALCO!E739)</f>
        <v/>
      </c>
      <c r="F214" s="12">
        <f ca="1">IF(TOTALCO!F739="", "",TOTALCO!F739)</f>
        <v>7312202.7988921115</v>
      </c>
      <c r="G214" s="12" t="str">
        <f>IF(TOTALCO!G739="", "",TOTALCO!G739)</f>
        <v/>
      </c>
      <c r="H214" s="12">
        <f ca="1">IF(TOTALCO!H739="", "",TOTALCO!H739)</f>
        <v>450491.30179068825</v>
      </c>
      <c r="I214" s="12">
        <f ca="1">IF(TOTALCO!I739="", "",TOTALCO!I739)</f>
        <v>459002.41931720072</v>
      </c>
      <c r="J214" s="12" t="str">
        <f>IF(TOTALCO!J739="", "",TOTALCO!J739)</f>
        <v/>
      </c>
      <c r="K214" s="12" t="str">
        <f>IF(TOTALCO!K739="", "",TOTALCO!K739)</f>
        <v/>
      </c>
      <c r="L214" s="12">
        <f ca="1">IF(TOTALCO!L739="", "",TOTALCO!L739)</f>
        <v>252.39482603856254</v>
      </c>
      <c r="M214" s="12" t="str">
        <f>IF(TOTALCO!M739="", "",TOTALCO!M739)</f>
        <v/>
      </c>
      <c r="N214" s="12">
        <f ca="1">IF(TOTALCO!N739="", "",TOTALCO!N739)</f>
        <v>458750.02449116216</v>
      </c>
      <c r="O214" s="12">
        <f ca="1">IF(TOTALCO!O739="", "",TOTALCO!O739)</f>
        <v>149030.70898656009</v>
      </c>
      <c r="P214" s="12">
        <f ca="1">IF(TOTALCO!P739="", "",TOTALCO!P739)</f>
        <v>309719.31550460204</v>
      </c>
      <c r="Q214" s="12"/>
      <c r="R214" s="13"/>
    </row>
    <row r="215" spans="1:18" ht="15" x14ac:dyDescent="0.2">
      <c r="A215" s="382">
        <f>IF(TOTALCO!A740="", "",TOTALCO!A740)</f>
        <v>7</v>
      </c>
      <c r="B215" s="4" t="str">
        <f>IF(TOTALCO!B740="", "",TOTALCO!B740)</f>
        <v xml:space="preserve"> 395-LABORATORY EQUIPMENT</v>
      </c>
      <c r="C215" s="4" t="str">
        <f>IF(TOTALCO!C740="", "",TOTALCO!C740)</f>
        <v>LABOR</v>
      </c>
      <c r="D215" s="12">
        <f ca="1">IF(TOTALCO!D740="", "",TOTALCO!D740)</f>
        <v>0</v>
      </c>
      <c r="E215" s="12" t="str">
        <f>IF(TOTALCO!E740="", "",TOTALCO!E740)</f>
        <v/>
      </c>
      <c r="F215" s="12">
        <f ca="1">IF(TOTALCO!F740="", "",TOTALCO!F740)</f>
        <v>0</v>
      </c>
      <c r="G215" s="12" t="str">
        <f>IF(TOTALCO!G740="", "",TOTALCO!G740)</f>
        <v/>
      </c>
      <c r="H215" s="12">
        <f ca="1">IF(TOTALCO!H740="", "",TOTALCO!H740)</f>
        <v>0</v>
      </c>
      <c r="I215" s="12">
        <f ca="1">IF(TOTALCO!I740="", "",TOTALCO!I740)</f>
        <v>0</v>
      </c>
      <c r="J215" s="12" t="str">
        <f>IF(TOTALCO!J740="", "",TOTALCO!J740)</f>
        <v/>
      </c>
      <c r="K215" s="12" t="str">
        <f>IF(TOTALCO!K740="", "",TOTALCO!K740)</f>
        <v/>
      </c>
      <c r="L215" s="12">
        <f ca="1">IF(TOTALCO!L740="", "",TOTALCO!L740)</f>
        <v>0</v>
      </c>
      <c r="M215" s="12" t="str">
        <f>IF(TOTALCO!M740="", "",TOTALCO!M740)</f>
        <v/>
      </c>
      <c r="N215" s="12">
        <f ca="1">IF(TOTALCO!N740="", "",TOTALCO!N740)</f>
        <v>0</v>
      </c>
      <c r="O215" s="12">
        <f ca="1">IF(TOTALCO!O740="", "",TOTALCO!O740)</f>
        <v>0</v>
      </c>
      <c r="P215" s="12">
        <f ca="1">IF(TOTALCO!P740="", "",TOTALCO!P740)</f>
        <v>0</v>
      </c>
      <c r="Q215" s="12"/>
      <c r="R215" s="13"/>
    </row>
    <row r="216" spans="1:18" ht="15" x14ac:dyDescent="0.2">
      <c r="A216" s="382">
        <f>IF(TOTALCO!A741="", "",TOTALCO!A741)</f>
        <v>8</v>
      </c>
      <c r="B216" s="4" t="str">
        <f>IF(TOTALCO!B741="", "",TOTALCO!B741)</f>
        <v xml:space="preserve"> 396-POWER OPERATED EQUIPMENT</v>
      </c>
      <c r="C216" s="4" t="str">
        <f>IF(TOTALCO!C741="", "",TOTALCO!C741)</f>
        <v>LABOR</v>
      </c>
      <c r="D216" s="12">
        <f ca="1">IF(TOTALCO!D741="", "",TOTALCO!D741)</f>
        <v>1188992.9399999997</v>
      </c>
      <c r="E216" s="12" t="str">
        <f>IF(TOTALCO!E741="", "",TOTALCO!E741)</f>
        <v/>
      </c>
      <c r="F216" s="12">
        <f ca="1">IF(TOTALCO!F741="", "",TOTALCO!F741)</f>
        <v>1057465.1451293118</v>
      </c>
      <c r="G216" s="12" t="str">
        <f>IF(TOTALCO!G741="", "",TOTALCO!G741)</f>
        <v/>
      </c>
      <c r="H216" s="12">
        <f ca="1">IF(TOTALCO!H741="", "",TOTALCO!H741)</f>
        <v>65148.473439462054</v>
      </c>
      <c r="I216" s="12">
        <f ca="1">IF(TOTALCO!I741="", "",TOTALCO!I741)</f>
        <v>66379.321431225864</v>
      </c>
      <c r="J216" s="12" t="str">
        <f>IF(TOTALCO!J741="", "",TOTALCO!J741)</f>
        <v/>
      </c>
      <c r="K216" s="12" t="str">
        <f>IF(TOTALCO!K741="", "",TOTALCO!K741)</f>
        <v/>
      </c>
      <c r="L216" s="12">
        <f ca="1">IF(TOTALCO!L741="", "",TOTALCO!L741)</f>
        <v>36.500455291966794</v>
      </c>
      <c r="M216" s="12" t="str">
        <f>IF(TOTALCO!M741="", "",TOTALCO!M741)</f>
        <v/>
      </c>
      <c r="N216" s="12">
        <f ca="1">IF(TOTALCO!N741="", "",TOTALCO!N741)</f>
        <v>66342.820975933893</v>
      </c>
      <c r="O216" s="12">
        <f ca="1">IF(TOTALCO!O741="", "",TOTALCO!O741)</f>
        <v>21552.298895631633</v>
      </c>
      <c r="P216" s="12">
        <f ca="1">IF(TOTALCO!P741="", "",TOTALCO!P741)</f>
        <v>44790.522080302268</v>
      </c>
      <c r="Q216" s="12"/>
      <c r="R216" s="13"/>
    </row>
    <row r="217" spans="1:18" ht="15" x14ac:dyDescent="0.2">
      <c r="A217" s="382">
        <f>IF(TOTALCO!A742="", "",TOTALCO!A742)</f>
        <v>9</v>
      </c>
      <c r="B217" s="4" t="str">
        <f>IF(TOTALCO!B742="", "",TOTALCO!B742)</f>
        <v xml:space="preserve"> 397-COMMUNICATION EQUIPMENT</v>
      </c>
      <c r="C217" s="4" t="str">
        <f>IF(TOTALCO!C742="", "",TOTALCO!C742)</f>
        <v>LABOR</v>
      </c>
      <c r="D217" s="12">
        <f ca="1">IF(TOTALCO!D742="", "",TOTALCO!D742)</f>
        <v>31878274.709999997</v>
      </c>
      <c r="E217" s="12" t="str">
        <f>IF(TOTALCO!E742="", "",TOTALCO!E742)</f>
        <v/>
      </c>
      <c r="F217" s="12">
        <f ca="1">IF(TOTALCO!F742="", "",TOTALCO!F742)</f>
        <v>28351862.537284892</v>
      </c>
      <c r="G217" s="12" t="str">
        <f>IF(TOTALCO!G742="", "",TOTALCO!G742)</f>
        <v/>
      </c>
      <c r="H217" s="12">
        <f ca="1">IF(TOTALCO!H742="", "",TOTALCO!H742)</f>
        <v>1746705.8578500135</v>
      </c>
      <c r="I217" s="12">
        <f ca="1">IF(TOTALCO!I742="", "",TOTALCO!I742)</f>
        <v>1779706.3148650895</v>
      </c>
      <c r="J217" s="12" t="str">
        <f>IF(TOTALCO!J742="", "",TOTALCO!J742)</f>
        <v/>
      </c>
      <c r="K217" s="12" t="str">
        <f>IF(TOTALCO!K742="", "",TOTALCO!K742)</f>
        <v/>
      </c>
      <c r="L217" s="12">
        <f ca="1">IF(TOTALCO!L742="", "",TOTALCO!L742)</f>
        <v>978.61938594638798</v>
      </c>
      <c r="M217" s="12" t="str">
        <f>IF(TOTALCO!M742="", "",TOTALCO!M742)</f>
        <v/>
      </c>
      <c r="N217" s="12">
        <f ca="1">IF(TOTALCO!N742="", "",TOTALCO!N742)</f>
        <v>1778727.6954791432</v>
      </c>
      <c r="O217" s="12">
        <f ca="1">IF(TOTALCO!O742="", "",TOTALCO!O742)</f>
        <v>577842.03901746869</v>
      </c>
      <c r="P217" s="12">
        <f ca="1">IF(TOTALCO!P742="", "",TOTALCO!P742)</f>
        <v>1200885.6564616745</v>
      </c>
      <c r="Q217" s="12"/>
      <c r="R217" s="13"/>
    </row>
    <row r="218" spans="1:18" ht="15" x14ac:dyDescent="0.2">
      <c r="A218" s="382">
        <f>IF(TOTALCO!A743="", "",TOTALCO!A743)</f>
        <v>10</v>
      </c>
      <c r="B218" s="4" t="str">
        <f>IF(TOTALCO!B743="", "",TOTALCO!B743)</f>
        <v xml:space="preserve"> 398-MISC EQUIPMENT</v>
      </c>
      <c r="C218" s="4" t="str">
        <f>IF(TOTALCO!C743="", "",TOTALCO!C743)</f>
        <v>LABOR</v>
      </c>
      <c r="D218" s="12">
        <f ca="1">IF(TOTALCO!D743="", "",TOTALCO!D743)</f>
        <v>0</v>
      </c>
      <c r="E218" s="12" t="str">
        <f>IF(TOTALCO!E743="", "",TOTALCO!E743)</f>
        <v/>
      </c>
      <c r="F218" s="12">
        <f ca="1">IF(TOTALCO!F743="", "",TOTALCO!F743)</f>
        <v>0</v>
      </c>
      <c r="G218" s="12" t="str">
        <f>IF(TOTALCO!G743="", "",TOTALCO!G743)</f>
        <v/>
      </c>
      <c r="H218" s="12">
        <f ca="1">IF(TOTALCO!H743="", "",TOTALCO!H743)</f>
        <v>0</v>
      </c>
      <c r="I218" s="12">
        <f ca="1">IF(TOTALCO!I743="", "",TOTALCO!I743)</f>
        <v>0</v>
      </c>
      <c r="J218" s="12" t="str">
        <f>IF(TOTALCO!J743="", "",TOTALCO!J743)</f>
        <v/>
      </c>
      <c r="K218" s="12" t="str">
        <f>IF(TOTALCO!K743="", "",TOTALCO!K743)</f>
        <v/>
      </c>
      <c r="L218" s="12">
        <f ca="1">IF(TOTALCO!L743="", "",TOTALCO!L743)</f>
        <v>0</v>
      </c>
      <c r="M218" s="12" t="str">
        <f>IF(TOTALCO!M743="", "",TOTALCO!M743)</f>
        <v/>
      </c>
      <c r="N218" s="12">
        <f ca="1">IF(TOTALCO!N743="", "",TOTALCO!N743)</f>
        <v>0</v>
      </c>
      <c r="O218" s="12">
        <f ca="1">IF(TOTALCO!O743="", "",TOTALCO!O743)</f>
        <v>0</v>
      </c>
      <c r="P218" s="12">
        <f ca="1">IF(TOTALCO!P743="", "",TOTALCO!P743)</f>
        <v>0</v>
      </c>
      <c r="Q218" s="12"/>
      <c r="R218" s="13"/>
    </row>
    <row r="219" spans="1:18" ht="15" x14ac:dyDescent="0.2">
      <c r="A219" s="382">
        <f>IF(TOTALCO!A744="", "",TOTALCO!A744)</f>
        <v>11</v>
      </c>
      <c r="B219" s="4" t="str">
        <f>IF(TOTALCO!B744="", "",TOTALCO!B744)</f>
        <v xml:space="preserve"> TOTAL GENERAL PLANT</v>
      </c>
      <c r="C219" s="4" t="str">
        <f>IF(TOTALCO!C744="", "",TOTALCO!C744)</f>
        <v/>
      </c>
      <c r="D219" s="12">
        <f ca="1">IF(TOTALCO!D744="", "",TOTALCO!D744)</f>
        <v>140094551.55999997</v>
      </c>
      <c r="E219" s="12" t="str">
        <f>IF(TOTALCO!E744="", "",TOTALCO!E744)</f>
        <v/>
      </c>
      <c r="F219" s="12">
        <f ca="1">IF(TOTALCO!F744="", "",TOTALCO!F744)</f>
        <v>124597127.79894324</v>
      </c>
      <c r="G219" s="12" t="str">
        <f>IF(TOTALCO!G744="", "",TOTALCO!G744)</f>
        <v/>
      </c>
      <c r="H219" s="12">
        <f ca="1">IF(TOTALCO!H744="", "",TOTALCO!H744)</f>
        <v>7676198.7933418741</v>
      </c>
      <c r="I219" s="12">
        <f ca="1">IF(TOTALCO!I744="", "",TOTALCO!I744)</f>
        <v>7821224.9677148508</v>
      </c>
      <c r="J219" s="12" t="str">
        <f>IF(TOTALCO!J744="", "",TOTALCO!J744)</f>
        <v/>
      </c>
      <c r="K219" s="12" t="str">
        <f>IF(TOTALCO!K744="", "",TOTALCO!K744)</f>
        <v/>
      </c>
      <c r="L219" s="12">
        <f ca="1">IF(TOTALCO!L744="", "",TOTALCO!L744)</f>
        <v>4300.7109157972936</v>
      </c>
      <c r="M219" s="12" t="str">
        <f>IF(TOTALCO!M744="", "",TOTALCO!M744)</f>
        <v/>
      </c>
      <c r="N219" s="12">
        <f ca="1">IF(TOTALCO!N744="", "",TOTALCO!N744)</f>
        <v>7816924.2567990534</v>
      </c>
      <c r="O219" s="12">
        <f ca="1">IF(TOTALCO!O744="", "",TOTALCO!O744)</f>
        <v>2539426.0531694978</v>
      </c>
      <c r="P219" s="12">
        <f ca="1">IF(TOTALCO!P744="", "",TOTALCO!P744)</f>
        <v>5277498.2036295561</v>
      </c>
      <c r="Q219" s="12"/>
      <c r="R219" s="13"/>
    </row>
    <row r="220" spans="1:18" ht="15" x14ac:dyDescent="0.2">
      <c r="A220" s="382" t="str">
        <f>IF(TOTALCO!A745="", "",TOTALCO!A745)</f>
        <v/>
      </c>
      <c r="B220" s="4" t="str">
        <f>IF(TOTALCO!B745="", "",TOTALCO!B745)</f>
        <v/>
      </c>
      <c r="C220" s="4" t="str">
        <f>IF(TOTALCO!C745="", "",TOTALCO!C745)</f>
        <v/>
      </c>
      <c r="D220" s="12" t="str">
        <f>IF(TOTALCO!D745="", "",TOTALCO!D745)</f>
        <v/>
      </c>
      <c r="E220" s="12" t="str">
        <f>IF(TOTALCO!E745="", "",TOTALCO!E745)</f>
        <v/>
      </c>
      <c r="F220" s="12" t="str">
        <f>IF(TOTALCO!F745="", "",TOTALCO!F745)</f>
        <v/>
      </c>
      <c r="G220" s="12" t="str">
        <f>IF(TOTALCO!G745="", "",TOTALCO!G745)</f>
        <v/>
      </c>
      <c r="H220" s="12" t="str">
        <f>IF(TOTALCO!H745="", "",TOTALCO!H745)</f>
        <v/>
      </c>
      <c r="I220" s="12" t="str">
        <f>IF(TOTALCO!I745="", "",TOTALCO!I745)</f>
        <v/>
      </c>
      <c r="J220" s="12" t="str">
        <f>IF(TOTALCO!J745="", "",TOTALCO!J745)</f>
        <v/>
      </c>
      <c r="K220" s="12" t="str">
        <f>IF(TOTALCO!K745="", "",TOTALCO!K745)</f>
        <v/>
      </c>
      <c r="L220" s="12" t="str">
        <f>IF(TOTALCO!L745="", "",TOTALCO!L745)</f>
        <v/>
      </c>
      <c r="M220" s="12" t="str">
        <f>IF(TOTALCO!M745="", "",TOTALCO!M745)</f>
        <v/>
      </c>
      <c r="N220" s="12" t="str">
        <f>IF(TOTALCO!N745="", "",TOTALCO!N745)</f>
        <v/>
      </c>
      <c r="O220" s="12" t="str">
        <f>IF(TOTALCO!O745="", "",TOTALCO!O745)</f>
        <v/>
      </c>
      <c r="P220" s="12" t="str">
        <f>IF(TOTALCO!P745="", "",TOTALCO!P745)</f>
        <v/>
      </c>
      <c r="Q220" s="12"/>
      <c r="R220" s="13"/>
    </row>
    <row r="221" spans="1:18" ht="15" x14ac:dyDescent="0.2">
      <c r="A221" s="382" t="str">
        <f>IF(TOTALCO!A746="", "",TOTALCO!A746)</f>
        <v/>
      </c>
      <c r="B221" s="4" t="str">
        <f>IF(TOTALCO!B746="", "",TOTALCO!B746)</f>
        <v xml:space="preserve"> PLANT HELD FOR FUTURE USE</v>
      </c>
      <c r="C221" s="4" t="str">
        <f>IF(TOTALCO!C746="", "",TOTALCO!C746)</f>
        <v/>
      </c>
      <c r="D221" s="12" t="str">
        <f>IF(TOTALCO!D746="", "",TOTALCO!D746)</f>
        <v/>
      </c>
      <c r="E221" s="12" t="str">
        <f>IF(TOTALCO!E746="", "",TOTALCO!E746)</f>
        <v/>
      </c>
      <c r="F221" s="12" t="str">
        <f>IF(TOTALCO!F746="", "",TOTALCO!F746)</f>
        <v/>
      </c>
      <c r="G221" s="12" t="str">
        <f>IF(TOTALCO!G746="", "",TOTALCO!G746)</f>
        <v/>
      </c>
      <c r="H221" s="12" t="str">
        <f>IF(TOTALCO!H746="", "",TOTALCO!H746)</f>
        <v/>
      </c>
      <c r="I221" s="12" t="str">
        <f>IF(TOTALCO!I746="", "",TOTALCO!I746)</f>
        <v/>
      </c>
      <c r="J221" s="12" t="str">
        <f>IF(TOTALCO!J746="", "",TOTALCO!J746)</f>
        <v/>
      </c>
      <c r="K221" s="12" t="str">
        <f>IF(TOTALCO!K746="", "",TOTALCO!K746)</f>
        <v/>
      </c>
      <c r="L221" s="12" t="str">
        <f>IF(TOTALCO!L746="", "",TOTALCO!L746)</f>
        <v/>
      </c>
      <c r="M221" s="12" t="str">
        <f>IF(TOTALCO!M746="", "",TOTALCO!M746)</f>
        <v/>
      </c>
      <c r="N221" s="12" t="str">
        <f>IF(TOTALCO!N746="", "",TOTALCO!N746)</f>
        <v/>
      </c>
      <c r="O221" s="12" t="str">
        <f>IF(TOTALCO!O746="", "",TOTALCO!O746)</f>
        <v/>
      </c>
      <c r="P221" s="12" t="str">
        <f>IF(TOTALCO!P746="", "",TOTALCO!P746)</f>
        <v/>
      </c>
      <c r="Q221" s="12"/>
      <c r="R221" s="13"/>
    </row>
    <row r="222" spans="1:18" ht="15" x14ac:dyDescent="0.2">
      <c r="A222" s="382">
        <f>IF(TOTALCO!A747="", "",TOTALCO!A747)</f>
        <v>12</v>
      </c>
      <c r="B222" s="4" t="str">
        <f>IF(TOTALCO!B747="", "",TOTALCO!B747)</f>
        <v xml:space="preserve"> PRODUCTION</v>
      </c>
      <c r="C222" s="4" t="str">
        <f>IF(TOTALCO!C747="", "",TOTALCO!C747)</f>
        <v>DEMPROD</v>
      </c>
      <c r="D222" s="12">
        <f ca="1">IF(TOTALCO!D747="", "",TOTALCO!D747)</f>
        <v>0</v>
      </c>
      <c r="E222" s="12" t="str">
        <f>IF(TOTALCO!E747="", "",TOTALCO!E747)</f>
        <v/>
      </c>
      <c r="F222" s="12">
        <f ca="1">IF(TOTALCO!F747="", "",TOTALCO!F747)</f>
        <v>0</v>
      </c>
      <c r="G222" s="12" t="str">
        <f>IF(TOTALCO!G747="", "",TOTALCO!G747)</f>
        <v/>
      </c>
      <c r="H222" s="12">
        <f ca="1">IF(TOTALCO!H747="", "",TOTALCO!H747)</f>
        <v>0</v>
      </c>
      <c r="I222" s="12">
        <f ca="1">IF(TOTALCO!I747="", "",TOTALCO!I747)</f>
        <v>0</v>
      </c>
      <c r="J222" s="12" t="str">
        <f>IF(TOTALCO!J747="", "",TOTALCO!J747)</f>
        <v/>
      </c>
      <c r="K222" s="12" t="str">
        <f>IF(TOTALCO!K747="", "",TOTALCO!K747)</f>
        <v/>
      </c>
      <c r="L222" s="12">
        <f ca="1">IF(TOTALCO!L747="", "",TOTALCO!L747)</f>
        <v>0</v>
      </c>
      <c r="M222" s="12" t="str">
        <f>IF(TOTALCO!M747="", "",TOTALCO!M747)</f>
        <v/>
      </c>
      <c r="N222" s="12">
        <f ca="1">IF(TOTALCO!N747="", "",TOTALCO!N747)</f>
        <v>0</v>
      </c>
      <c r="O222" s="12">
        <f ca="1">IF(TOTALCO!O747="", "",TOTALCO!O747)</f>
        <v>0</v>
      </c>
      <c r="P222" s="12">
        <f ca="1">IF(TOTALCO!P747="", "",TOTALCO!P747)</f>
        <v>0</v>
      </c>
      <c r="Q222" s="12"/>
      <c r="R222" s="13"/>
    </row>
    <row r="223" spans="1:18" ht="15" x14ac:dyDescent="0.2">
      <c r="A223" s="382">
        <f>IF(TOTALCO!A748="", "",TOTALCO!A748)</f>
        <v>13</v>
      </c>
      <c r="B223" s="4" t="str">
        <f>IF(TOTALCO!B748="", "",TOTALCO!B748)</f>
        <v xml:space="preserve"> TRANSMISSION</v>
      </c>
      <c r="C223" s="4" t="str">
        <f>IF(TOTALCO!C748="", "",TOTALCO!C748)</f>
        <v>DEMTRAN</v>
      </c>
      <c r="D223" s="12">
        <f ca="1">IF(TOTALCO!D748="", "",TOTALCO!D748)</f>
        <v>0</v>
      </c>
      <c r="E223" s="12" t="str">
        <f>IF(TOTALCO!E748="", "",TOTALCO!E748)</f>
        <v/>
      </c>
      <c r="F223" s="12">
        <f ca="1">IF(TOTALCO!F748="", "",TOTALCO!F748)</f>
        <v>0</v>
      </c>
      <c r="G223" s="12" t="str">
        <f>IF(TOTALCO!G748="", "",TOTALCO!G748)</f>
        <v/>
      </c>
      <c r="H223" s="12">
        <f ca="1">IF(TOTALCO!H748="", "",TOTALCO!H748)</f>
        <v>0</v>
      </c>
      <c r="I223" s="12">
        <f ca="1">IF(TOTALCO!I748="", "",TOTALCO!I748)</f>
        <v>0</v>
      </c>
      <c r="J223" s="12" t="str">
        <f>IF(TOTALCO!J748="", "",TOTALCO!J748)</f>
        <v/>
      </c>
      <c r="K223" s="12" t="str">
        <f>IF(TOTALCO!K748="", "",TOTALCO!K748)</f>
        <v/>
      </c>
      <c r="L223" s="12">
        <f ca="1">IF(TOTALCO!L748="", "",TOTALCO!L748)</f>
        <v>0</v>
      </c>
      <c r="M223" s="12" t="str">
        <f>IF(TOTALCO!M748="", "",TOTALCO!M748)</f>
        <v/>
      </c>
      <c r="N223" s="12">
        <f ca="1">IF(TOTALCO!N748="", "",TOTALCO!N748)</f>
        <v>0</v>
      </c>
      <c r="O223" s="12">
        <f ca="1">IF(TOTALCO!O748="", "",TOTALCO!O748)</f>
        <v>0</v>
      </c>
      <c r="P223" s="12">
        <f ca="1">IF(TOTALCO!P748="", "",TOTALCO!P748)</f>
        <v>0</v>
      </c>
      <c r="Q223" s="12"/>
      <c r="R223" s="13"/>
    </row>
    <row r="224" spans="1:18" ht="15" x14ac:dyDescent="0.2">
      <c r="A224" s="382">
        <f>IF(TOTALCO!A749="", "",TOTALCO!A749)</f>
        <v>14</v>
      </c>
      <c r="B224" s="4" t="str">
        <f>IF(TOTALCO!B749="", "",TOTALCO!B749)</f>
        <v xml:space="preserve"> DISTRIBUTION</v>
      </c>
      <c r="C224" s="4" t="str">
        <f>IF(TOTALCO!C749="", "",TOTALCO!C749)</f>
        <v>DPRODKY</v>
      </c>
      <c r="D224" s="12">
        <f ca="1">IF(TOTALCO!D749="", "",TOTALCO!D749)</f>
        <v>792599.21</v>
      </c>
      <c r="E224" s="12" t="str">
        <f>IF(TOTALCO!E749="", "",TOTALCO!E749)</f>
        <v/>
      </c>
      <c r="F224" s="12">
        <f ca="1">IF(TOTALCO!F749="", "",TOTALCO!F749)</f>
        <v>722726.88057473651</v>
      </c>
      <c r="G224" s="12" t="str">
        <f>IF(TOTALCO!G749="", "",TOTALCO!G749)</f>
        <v/>
      </c>
      <c r="H224" s="12">
        <f ca="1">IF(TOTALCO!H749="", "",TOTALCO!H749)</f>
        <v>0</v>
      </c>
      <c r="I224" s="12">
        <f ca="1">IF(TOTALCO!I749="", "",TOTALCO!I749)</f>
        <v>69872.329425263481</v>
      </c>
      <c r="J224" s="12" t="str">
        <f>IF(TOTALCO!J749="", "",TOTALCO!J749)</f>
        <v/>
      </c>
      <c r="K224" s="12" t="str">
        <f>IF(TOTALCO!K749="", "",TOTALCO!K749)</f>
        <v/>
      </c>
      <c r="L224" s="12">
        <f ca="1">IF(TOTALCO!L749="", "",TOTALCO!L749)</f>
        <v>0</v>
      </c>
      <c r="M224" s="12" t="str">
        <f>IF(TOTALCO!M749="", "",TOTALCO!M749)</f>
        <v/>
      </c>
      <c r="N224" s="12">
        <f ca="1">IF(TOTALCO!N749="", "",TOTALCO!N749)</f>
        <v>69872.329425263481</v>
      </c>
      <c r="O224" s="12">
        <f ca="1">IF(TOTALCO!O749="", "",TOTALCO!O749)</f>
        <v>21801.939600391364</v>
      </c>
      <c r="P224" s="12">
        <f ca="1">IF(TOTALCO!P749="", "",TOTALCO!P749)</f>
        <v>48070.389824872123</v>
      </c>
      <c r="Q224" s="12"/>
      <c r="R224" s="13"/>
    </row>
    <row r="225" spans="1:18" ht="15" x14ac:dyDescent="0.2">
      <c r="A225" s="382">
        <f>IF(TOTALCO!A750="", "",TOTALCO!A750)</f>
        <v>15</v>
      </c>
      <c r="B225" s="4" t="str">
        <f>IF(TOTALCO!B750="", "",TOTALCO!B750)</f>
        <v xml:space="preserve"> GENERAL</v>
      </c>
      <c r="C225" s="4" t="str">
        <f>IF(TOTALCO!C750="", "",TOTALCO!C750)</f>
        <v>LABOR</v>
      </c>
      <c r="D225" s="12">
        <f ca="1">IF(TOTALCO!D750="", "",TOTALCO!D750)</f>
        <v>0</v>
      </c>
      <c r="E225" s="12" t="str">
        <f>IF(TOTALCO!E750="", "",TOTALCO!E750)</f>
        <v/>
      </c>
      <c r="F225" s="12">
        <f ca="1">IF(TOTALCO!F750="", "",TOTALCO!F750)</f>
        <v>0</v>
      </c>
      <c r="G225" s="12" t="str">
        <f>IF(TOTALCO!G750="", "",TOTALCO!G750)</f>
        <v/>
      </c>
      <c r="H225" s="12">
        <f ca="1">IF(TOTALCO!H750="", "",TOTALCO!H750)</f>
        <v>0</v>
      </c>
      <c r="I225" s="12">
        <f ca="1">IF(TOTALCO!I750="", "",TOTALCO!I750)</f>
        <v>0</v>
      </c>
      <c r="J225" s="12" t="str">
        <f>IF(TOTALCO!J750="", "",TOTALCO!J750)</f>
        <v/>
      </c>
      <c r="K225" s="12" t="str">
        <f>IF(TOTALCO!K750="", "",TOTALCO!K750)</f>
        <v/>
      </c>
      <c r="L225" s="12">
        <f ca="1">IF(TOTALCO!L750="", "",TOTALCO!L750)</f>
        <v>0</v>
      </c>
      <c r="M225" s="12" t="str">
        <f>IF(TOTALCO!M750="", "",TOTALCO!M750)</f>
        <v/>
      </c>
      <c r="N225" s="12">
        <f ca="1">IF(TOTALCO!N750="", "",TOTALCO!N750)</f>
        <v>0</v>
      </c>
      <c r="O225" s="12">
        <f ca="1">IF(TOTALCO!O750="", "",TOTALCO!O750)</f>
        <v>0</v>
      </c>
      <c r="P225" s="12">
        <f ca="1">IF(TOTALCO!P750="", "",TOTALCO!P750)</f>
        <v>0</v>
      </c>
      <c r="Q225" s="12"/>
      <c r="R225" s="13"/>
    </row>
    <row r="226" spans="1:18" ht="15" x14ac:dyDescent="0.2">
      <c r="A226" s="382">
        <f>IF(TOTALCO!A751="", "",TOTALCO!A751)</f>
        <v>16</v>
      </c>
      <c r="B226" s="4" t="str">
        <f>IF(TOTALCO!B751="", "",TOTALCO!B751)</f>
        <v xml:space="preserve"> TOTAL PLANT HELD FOR FUTURE USE</v>
      </c>
      <c r="C226" s="4" t="str">
        <f>IF(TOTALCO!C751="", "",TOTALCO!C751)</f>
        <v/>
      </c>
      <c r="D226" s="12">
        <f ca="1">IF(TOTALCO!D751="", "",TOTALCO!D751)</f>
        <v>792599.21</v>
      </c>
      <c r="E226" s="12" t="str">
        <f>IF(TOTALCO!E751="", "",TOTALCO!E751)</f>
        <v/>
      </c>
      <c r="F226" s="12">
        <f ca="1">IF(TOTALCO!F751="", "",TOTALCO!F751)</f>
        <v>722726.88057473651</v>
      </c>
      <c r="G226" s="12" t="str">
        <f>IF(TOTALCO!G751="", "",TOTALCO!G751)</f>
        <v/>
      </c>
      <c r="H226" s="12">
        <f ca="1">IF(TOTALCO!H751="", "",TOTALCO!H751)</f>
        <v>0</v>
      </c>
      <c r="I226" s="12">
        <f ca="1">IF(TOTALCO!I751="", "",TOTALCO!I751)</f>
        <v>69872.329425263481</v>
      </c>
      <c r="J226" s="12" t="str">
        <f>IF(TOTALCO!J751="", "",TOTALCO!J751)</f>
        <v/>
      </c>
      <c r="K226" s="12" t="str">
        <f>IF(TOTALCO!K751="", "",TOTALCO!K751)</f>
        <v/>
      </c>
      <c r="L226" s="12">
        <f ca="1">IF(TOTALCO!L751="", "",TOTALCO!L751)</f>
        <v>0</v>
      </c>
      <c r="M226" s="12" t="str">
        <f>IF(TOTALCO!M751="", "",TOTALCO!M751)</f>
        <v/>
      </c>
      <c r="N226" s="12">
        <f ca="1">IF(TOTALCO!N751="", "",TOTALCO!N751)</f>
        <v>69872.329425263481</v>
      </c>
      <c r="O226" s="12">
        <f ca="1">IF(TOTALCO!O751="", "",TOTALCO!O751)</f>
        <v>21801.939600391364</v>
      </c>
      <c r="P226" s="12">
        <f ca="1">IF(TOTALCO!P751="", "",TOTALCO!P751)</f>
        <v>48070.389824872123</v>
      </c>
      <c r="Q226" s="12"/>
      <c r="R226" s="13"/>
    </row>
    <row r="227" spans="1:18" ht="15" x14ac:dyDescent="0.2">
      <c r="A227" s="382" t="str">
        <f>IF(TOTALCO!A752="", "",TOTALCO!A752)</f>
        <v/>
      </c>
      <c r="B227" s="4" t="str">
        <f>IF(TOTALCO!B752="", "",TOTALCO!B752)</f>
        <v/>
      </c>
      <c r="C227" s="4" t="str">
        <f>IF(TOTALCO!C752="", "",TOTALCO!C752)</f>
        <v/>
      </c>
      <c r="D227" s="12" t="str">
        <f>IF(TOTALCO!D752="", "",TOTALCO!D752)</f>
        <v/>
      </c>
      <c r="E227" s="12" t="str">
        <f>IF(TOTALCO!E752="", "",TOTALCO!E752)</f>
        <v/>
      </c>
      <c r="F227" s="12" t="str">
        <f>IF(TOTALCO!F752="", "",TOTALCO!F752)</f>
        <v/>
      </c>
      <c r="G227" s="12" t="str">
        <f>IF(TOTALCO!G752="", "",TOTALCO!G752)</f>
        <v/>
      </c>
      <c r="H227" s="12" t="str">
        <f>IF(TOTALCO!H752="", "",TOTALCO!H752)</f>
        <v/>
      </c>
      <c r="I227" s="12" t="str">
        <f>IF(TOTALCO!I752="", "",TOTALCO!I752)</f>
        <v/>
      </c>
      <c r="J227" s="12" t="str">
        <f>IF(TOTALCO!J752="", "",TOTALCO!J752)</f>
        <v/>
      </c>
      <c r="K227" s="12" t="str">
        <f>IF(TOTALCO!K752="", "",TOTALCO!K752)</f>
        <v/>
      </c>
      <c r="L227" s="12" t="str">
        <f>IF(TOTALCO!L752="", "",TOTALCO!L752)</f>
        <v/>
      </c>
      <c r="M227" s="12" t="str">
        <f>IF(TOTALCO!M752="", "",TOTALCO!M752)</f>
        <v/>
      </c>
      <c r="N227" s="12" t="str">
        <f>IF(TOTALCO!N752="", "",TOTALCO!N752)</f>
        <v/>
      </c>
      <c r="O227" s="12" t="str">
        <f>IF(TOTALCO!O752="", "",TOTALCO!O752)</f>
        <v/>
      </c>
      <c r="P227" s="12" t="str">
        <f>IF(TOTALCO!P752="", "",TOTALCO!P752)</f>
        <v/>
      </c>
      <c r="Q227" s="12"/>
      <c r="R227" s="13"/>
    </row>
    <row r="228" spans="1:18" ht="15" x14ac:dyDescent="0.2">
      <c r="A228" s="382">
        <f>IF(TOTALCO!A753="", "",TOTALCO!A753)</f>
        <v>17</v>
      </c>
      <c r="B228" s="4" t="str">
        <f>IF(TOTALCO!B753="", "",TOTALCO!B753)</f>
        <v>TOTAL ELECTRIC PLANT</v>
      </c>
      <c r="C228" s="4" t="str">
        <f>IF(TOTALCO!C753="", "",TOTALCO!C753)</f>
        <v/>
      </c>
      <c r="D228" s="12">
        <f ca="1">IF(TOTALCO!D753="", "",TOTALCO!D753)</f>
        <v>6492570022.5200014</v>
      </c>
      <c r="E228" s="12" t="str">
        <f>IF(TOTALCO!E753="", "",TOTALCO!E753)</f>
        <v/>
      </c>
      <c r="F228" s="12">
        <f ca="1">IF(TOTALCO!F753="", "",TOTALCO!F753)</f>
        <v>5653048566.0583582</v>
      </c>
      <c r="G228" s="12" t="str">
        <f>IF(TOTALCO!G753="", "",TOTALCO!G753)</f>
        <v/>
      </c>
      <c r="H228" s="12">
        <f ca="1">IF(TOTALCO!H753="", "",TOTALCO!H753)</f>
        <v>385619848.42484289</v>
      </c>
      <c r="I228" s="12">
        <f ca="1">IF(TOTALCO!I753="", "",TOTALCO!I753)</f>
        <v>453901608.03680044</v>
      </c>
      <c r="J228" s="12" t="str">
        <f>IF(TOTALCO!J753="", "",TOTALCO!J753)</f>
        <v/>
      </c>
      <c r="K228" s="12" t="str">
        <f>IF(TOTALCO!K753="", "",TOTALCO!K753)</f>
        <v/>
      </c>
      <c r="L228" s="12">
        <f ca="1">IF(TOTALCO!L753="", "",TOTALCO!L753)</f>
        <v>204724.27671333775</v>
      </c>
      <c r="M228" s="12" t="str">
        <f>IF(TOTALCO!M753="", "",TOTALCO!M753)</f>
        <v/>
      </c>
      <c r="N228" s="12">
        <f ca="1">IF(TOTALCO!N753="", "",TOTALCO!N753)</f>
        <v>453696883.76008713</v>
      </c>
      <c r="O228" s="12">
        <f ca="1">IF(TOTALCO!O753="", "",TOTALCO!O753)</f>
        <v>144053837.02218154</v>
      </c>
      <c r="P228" s="12">
        <f ca="1">IF(TOTALCO!P753="", "",TOTALCO!P753)</f>
        <v>309643046.73790562</v>
      </c>
      <c r="Q228" s="12"/>
      <c r="R228" s="13"/>
    </row>
    <row r="229" spans="1:18" ht="15" x14ac:dyDescent="0.2">
      <c r="A229" s="382" t="str">
        <f>IF(TOTALCO!A754="", "",TOTALCO!A754)</f>
        <v/>
      </c>
      <c r="B229" s="4" t="str">
        <f>IF(TOTALCO!B754="", "",TOTALCO!B754)</f>
        <v/>
      </c>
      <c r="C229" s="4" t="str">
        <f>IF(TOTALCO!C754="", "",TOTALCO!C754)</f>
        <v/>
      </c>
      <c r="D229" s="12" t="str">
        <f>IF(TOTALCO!D754="", "",TOTALCO!D754)</f>
        <v/>
      </c>
      <c r="E229" s="12" t="str">
        <f>IF(TOTALCO!E754="", "",TOTALCO!E754)</f>
        <v/>
      </c>
      <c r="F229" s="12" t="str">
        <f>IF(TOTALCO!F754="", "",TOTALCO!F754)</f>
        <v/>
      </c>
      <c r="G229" s="12" t="str">
        <f>IF(TOTALCO!G754="", "",TOTALCO!G754)</f>
        <v/>
      </c>
      <c r="H229" s="12" t="str">
        <f>IF(TOTALCO!H754="", "",TOTALCO!H754)</f>
        <v/>
      </c>
      <c r="I229" s="12" t="str">
        <f>IF(TOTALCO!I754="", "",TOTALCO!I754)</f>
        <v/>
      </c>
      <c r="J229" s="12" t="str">
        <f>IF(TOTALCO!J754="", "",TOTALCO!J754)</f>
        <v/>
      </c>
      <c r="K229" s="12" t="str">
        <f>IF(TOTALCO!K754="", "",TOTALCO!K754)</f>
        <v/>
      </c>
      <c r="L229" s="12" t="str">
        <f>IF(TOTALCO!L754="", "",TOTALCO!L754)</f>
        <v/>
      </c>
      <c r="M229" s="12" t="str">
        <f>IF(TOTALCO!M754="", "",TOTALCO!M754)</f>
        <v/>
      </c>
      <c r="N229" s="12" t="str">
        <f>IF(TOTALCO!N754="", "",TOTALCO!N754)</f>
        <v/>
      </c>
      <c r="O229" s="12" t="str">
        <f>IF(TOTALCO!O754="", "",TOTALCO!O754)</f>
        <v/>
      </c>
      <c r="P229" s="12" t="str">
        <f>IF(TOTALCO!P754="", "",TOTALCO!P754)</f>
        <v/>
      </c>
      <c r="Q229" s="12"/>
      <c r="R229" s="13"/>
    </row>
    <row r="230" spans="1:18" ht="15" x14ac:dyDescent="0.2">
      <c r="A230" s="382" t="str">
        <f>IF(TOTALCO!A755="", "",TOTALCO!A755)</f>
        <v/>
      </c>
      <c r="B230" s="4" t="str">
        <f>IF(TOTALCO!B755="", "",TOTALCO!B755)</f>
        <v>ELECTRIC PLANT IN SERVICE CON'T</v>
      </c>
      <c r="C230" s="4" t="str">
        <f>IF(TOTALCO!C755="", "",TOTALCO!C755)</f>
        <v/>
      </c>
      <c r="D230" s="12" t="str">
        <f>IF(TOTALCO!D755="", "",TOTALCO!D755)</f>
        <v/>
      </c>
      <c r="E230" s="12" t="str">
        <f>IF(TOTALCO!E755="", "",TOTALCO!E755)</f>
        <v/>
      </c>
      <c r="F230" s="12" t="str">
        <f>IF(TOTALCO!F755="", "",TOTALCO!F755)</f>
        <v/>
      </c>
      <c r="G230" s="12" t="str">
        <f>IF(TOTALCO!G755="", "",TOTALCO!G755)</f>
        <v/>
      </c>
      <c r="H230" s="12" t="str">
        <f>IF(TOTALCO!H755="", "",TOTALCO!H755)</f>
        <v/>
      </c>
      <c r="I230" s="12" t="str">
        <f>IF(TOTALCO!I755="", "",TOTALCO!I755)</f>
        <v/>
      </c>
      <c r="J230" s="12" t="str">
        <f>IF(TOTALCO!J755="", "",TOTALCO!J755)</f>
        <v/>
      </c>
      <c r="K230" s="12" t="str">
        <f>IF(TOTALCO!K755="", "",TOTALCO!K755)</f>
        <v/>
      </c>
      <c r="L230" s="12" t="str">
        <f>IF(TOTALCO!L755="", "",TOTALCO!L755)</f>
        <v/>
      </c>
      <c r="M230" s="12" t="str">
        <f>IF(TOTALCO!M755="", "",TOTALCO!M755)</f>
        <v/>
      </c>
      <c r="N230" s="12" t="str">
        <f>IF(TOTALCO!N755="", "",TOTALCO!N755)</f>
        <v/>
      </c>
      <c r="O230" s="12" t="str">
        <f>IF(TOTALCO!O755="", "",TOTALCO!O755)</f>
        <v/>
      </c>
      <c r="P230" s="12" t="str">
        <f>IF(TOTALCO!P755="", "",TOTALCO!P755)</f>
        <v/>
      </c>
      <c r="Q230" s="12"/>
      <c r="R230" s="13"/>
    </row>
    <row r="231" spans="1:18" ht="15" x14ac:dyDescent="0.2">
      <c r="A231" s="382" t="str">
        <f>IF(TOTALCO!A756="", "",TOTALCO!A756)</f>
        <v/>
      </c>
      <c r="B231" s="4" t="str">
        <f>IF(TOTALCO!B756="", "",TOTALCO!B756)</f>
        <v/>
      </c>
      <c r="C231" s="4" t="str">
        <f>IF(TOTALCO!C756="", "",TOTALCO!C756)</f>
        <v/>
      </c>
      <c r="D231" s="12" t="str">
        <f>IF(TOTALCO!D756="", "",TOTALCO!D756)</f>
        <v/>
      </c>
      <c r="E231" s="12" t="str">
        <f>IF(TOTALCO!E756="", "",TOTALCO!E756)</f>
        <v/>
      </c>
      <c r="F231" s="12" t="str">
        <f>IF(TOTALCO!F756="", "",TOTALCO!F756)</f>
        <v/>
      </c>
      <c r="G231" s="12" t="str">
        <f>IF(TOTALCO!G756="", "",TOTALCO!G756)</f>
        <v/>
      </c>
      <c r="H231" s="12" t="str">
        <f>IF(TOTALCO!H756="", "",TOTALCO!H756)</f>
        <v/>
      </c>
      <c r="I231" s="12" t="str">
        <f>IF(TOTALCO!I756="", "",TOTALCO!I756)</f>
        <v/>
      </c>
      <c r="J231" s="12" t="str">
        <f>IF(TOTALCO!J756="", "",TOTALCO!J756)</f>
        <v/>
      </c>
      <c r="K231" s="12" t="str">
        <f>IF(TOTALCO!K756="", "",TOTALCO!K756)</f>
        <v/>
      </c>
      <c r="L231" s="12" t="str">
        <f>IF(TOTALCO!L756="", "",TOTALCO!L756)</f>
        <v/>
      </c>
      <c r="M231" s="12" t="str">
        <f>IF(TOTALCO!M756="", "",TOTALCO!M756)</f>
        <v/>
      </c>
      <c r="N231" s="12" t="str">
        <f>IF(TOTALCO!N756="", "",TOTALCO!N756)</f>
        <v/>
      </c>
      <c r="O231" s="12" t="str">
        <f>IF(TOTALCO!O756="", "",TOTALCO!O756)</f>
        <v/>
      </c>
      <c r="P231" s="12" t="str">
        <f>IF(TOTALCO!P756="", "",TOTALCO!P756)</f>
        <v/>
      </c>
      <c r="Q231" s="12"/>
      <c r="R231" s="13"/>
    </row>
    <row r="232" spans="1:18" ht="15" x14ac:dyDescent="0.2">
      <c r="A232" s="382" t="str">
        <f>IF(TOTALCO!A757="", "",TOTALCO!A757)</f>
        <v/>
      </c>
      <c r="B232" s="4" t="str">
        <f>IF(TOTALCO!B757="", "",TOTALCO!B757)</f>
        <v>ACCUMULATED PROVISION FOR DEP</v>
      </c>
      <c r="C232" s="4" t="str">
        <f>IF(TOTALCO!C757="", "",TOTALCO!C757)</f>
        <v/>
      </c>
      <c r="D232" s="12" t="str">
        <f>IF(TOTALCO!D757="", "",TOTALCO!D757)</f>
        <v/>
      </c>
      <c r="E232" s="12" t="str">
        <f>IF(TOTALCO!E757="", "",TOTALCO!E757)</f>
        <v/>
      </c>
      <c r="F232" s="12" t="str">
        <f>IF(TOTALCO!F757="", "",TOTALCO!F757)</f>
        <v/>
      </c>
      <c r="G232" s="12" t="str">
        <f>IF(TOTALCO!G757="", "",TOTALCO!G757)</f>
        <v/>
      </c>
      <c r="H232" s="12" t="str">
        <f>IF(TOTALCO!H757="", "",TOTALCO!H757)</f>
        <v/>
      </c>
      <c r="I232" s="12" t="str">
        <f>IF(TOTALCO!I757="", "",TOTALCO!I757)</f>
        <v/>
      </c>
      <c r="J232" s="12" t="str">
        <f>IF(TOTALCO!J757="", "",TOTALCO!J757)</f>
        <v/>
      </c>
      <c r="K232" s="12" t="str">
        <f>IF(TOTALCO!K757="", "",TOTALCO!K757)</f>
        <v/>
      </c>
      <c r="L232" s="12" t="str">
        <f>IF(TOTALCO!L757="", "",TOTALCO!L757)</f>
        <v/>
      </c>
      <c r="M232" s="12" t="str">
        <f>IF(TOTALCO!M757="", "",TOTALCO!M757)</f>
        <v/>
      </c>
      <c r="N232" s="12" t="str">
        <f>IF(TOTALCO!N757="", "",TOTALCO!N757)</f>
        <v/>
      </c>
      <c r="O232" s="12" t="str">
        <f>IF(TOTALCO!O757="", "",TOTALCO!O757)</f>
        <v/>
      </c>
      <c r="P232" s="12" t="str">
        <f>IF(TOTALCO!P757="", "",TOTALCO!P757)</f>
        <v/>
      </c>
      <c r="Q232" s="12"/>
      <c r="R232" s="13"/>
    </row>
    <row r="233" spans="1:18" ht="15" x14ac:dyDescent="0.2">
      <c r="A233" s="382" t="str">
        <f>IF(TOTALCO!A758="", "",TOTALCO!A758)</f>
        <v/>
      </c>
      <c r="B233" s="4" t="str">
        <f>IF(TOTALCO!B758="", "",TOTALCO!B758)</f>
        <v/>
      </c>
      <c r="C233" s="4" t="str">
        <f>IF(TOTALCO!C758="", "",TOTALCO!C758)</f>
        <v/>
      </c>
      <c r="D233" s="12" t="str">
        <f>IF(TOTALCO!D758="", "",TOTALCO!D758)</f>
        <v/>
      </c>
      <c r="E233" s="12" t="str">
        <f>IF(TOTALCO!E758="", "",TOTALCO!E758)</f>
        <v/>
      </c>
      <c r="F233" s="12" t="str">
        <f>IF(TOTALCO!F758="", "",TOTALCO!F758)</f>
        <v/>
      </c>
      <c r="G233" s="12" t="str">
        <f>IF(TOTALCO!G758="", "",TOTALCO!G758)</f>
        <v/>
      </c>
      <c r="H233" s="12" t="str">
        <f>IF(TOTALCO!H758="", "",TOTALCO!H758)</f>
        <v/>
      </c>
      <c r="I233" s="12" t="str">
        <f>IF(TOTALCO!I758="", "",TOTALCO!I758)</f>
        <v/>
      </c>
      <c r="J233" s="12" t="str">
        <f>IF(TOTALCO!J758="", "",TOTALCO!J758)</f>
        <v/>
      </c>
      <c r="K233" s="12" t="str">
        <f>IF(TOTALCO!K758="", "",TOTALCO!K758)</f>
        <v/>
      </c>
      <c r="L233" s="12" t="str">
        <f>IF(TOTALCO!L758="", "",TOTALCO!L758)</f>
        <v/>
      </c>
      <c r="M233" s="12" t="str">
        <f>IF(TOTALCO!M758="", "",TOTALCO!M758)</f>
        <v/>
      </c>
      <c r="N233" s="12" t="str">
        <f>IF(TOTALCO!N758="", "",TOTALCO!N758)</f>
        <v/>
      </c>
      <c r="O233" s="12" t="str">
        <f>IF(TOTALCO!O758="", "",TOTALCO!O758)</f>
        <v/>
      </c>
      <c r="P233" s="12" t="str">
        <f>IF(TOTALCO!P758="", "",TOTALCO!P758)</f>
        <v/>
      </c>
      <c r="Q233" s="12"/>
      <c r="R233" s="13"/>
    </row>
    <row r="234" spans="1:18" ht="15" x14ac:dyDescent="0.2">
      <c r="A234" s="382" t="str">
        <f>IF(TOTALCO!A759="", "",TOTALCO!A759)</f>
        <v/>
      </c>
      <c r="B234" s="4" t="str">
        <f>IF(TOTALCO!B759="", "",TOTALCO!B759)</f>
        <v xml:space="preserve"> PRODUCTION PLANT</v>
      </c>
      <c r="C234" s="4" t="str">
        <f>IF(TOTALCO!C759="", "",TOTALCO!C759)</f>
        <v/>
      </c>
      <c r="D234" s="12" t="str">
        <f>IF(TOTALCO!D759="", "",TOTALCO!D759)</f>
        <v/>
      </c>
      <c r="E234" s="12" t="str">
        <f>IF(TOTALCO!E759="", "",TOTALCO!E759)</f>
        <v/>
      </c>
      <c r="F234" s="12" t="str">
        <f>IF(TOTALCO!F759="", "",TOTALCO!F759)</f>
        <v/>
      </c>
      <c r="G234" s="12" t="str">
        <f>IF(TOTALCO!G759="", "",TOTALCO!G759)</f>
        <v/>
      </c>
      <c r="H234" s="12" t="str">
        <f>IF(TOTALCO!H759="", "",TOTALCO!H759)</f>
        <v/>
      </c>
      <c r="I234" s="12" t="str">
        <f>IF(TOTALCO!I759="", "",TOTALCO!I759)</f>
        <v/>
      </c>
      <c r="J234" s="12" t="str">
        <f>IF(TOTALCO!J759="", "",TOTALCO!J759)</f>
        <v/>
      </c>
      <c r="K234" s="12" t="str">
        <f>IF(TOTALCO!K759="", "",TOTALCO!K759)</f>
        <v/>
      </c>
      <c r="L234" s="12" t="str">
        <f>IF(TOTALCO!L759="", "",TOTALCO!L759)</f>
        <v/>
      </c>
      <c r="M234" s="12" t="str">
        <f>IF(TOTALCO!M759="", "",TOTALCO!M759)</f>
        <v/>
      </c>
      <c r="N234" s="12" t="str">
        <f>IF(TOTALCO!N759="", "",TOTALCO!N759)</f>
        <v/>
      </c>
      <c r="O234" s="12" t="str">
        <f>IF(TOTALCO!O759="", "",TOTALCO!O759)</f>
        <v/>
      </c>
      <c r="P234" s="12" t="str">
        <f>IF(TOTALCO!P759="", "",TOTALCO!P759)</f>
        <v/>
      </c>
      <c r="Q234" s="12"/>
      <c r="R234" s="13"/>
    </row>
    <row r="235" spans="1:18" ht="15" x14ac:dyDescent="0.2">
      <c r="A235" s="382" t="str">
        <f>IF(TOTALCO!A760="", "",TOTALCO!A760)</f>
        <v/>
      </c>
      <c r="B235" s="4" t="str">
        <f>IF(TOTALCO!B760="", "",TOTALCO!B760)</f>
        <v xml:space="preserve">  STEAM PRODUCTION PLANT</v>
      </c>
      <c r="C235" s="4" t="str">
        <f>IF(TOTALCO!C760="", "",TOTALCO!C760)</f>
        <v/>
      </c>
      <c r="D235" s="12" t="str">
        <f>IF(TOTALCO!D760="", "",TOTALCO!D760)</f>
        <v/>
      </c>
      <c r="E235" s="12" t="str">
        <f>IF(TOTALCO!E760="", "",TOTALCO!E760)</f>
        <v/>
      </c>
      <c r="F235" s="12" t="str">
        <f>IF(TOTALCO!F760="", "",TOTALCO!F760)</f>
        <v/>
      </c>
      <c r="G235" s="12" t="str">
        <f>IF(TOTALCO!G760="", "",TOTALCO!G760)</f>
        <v/>
      </c>
      <c r="H235" s="12" t="str">
        <f>IF(TOTALCO!H760="", "",TOTALCO!H760)</f>
        <v/>
      </c>
      <c r="I235" s="12" t="str">
        <f>IF(TOTALCO!I760="", "",TOTALCO!I760)</f>
        <v/>
      </c>
      <c r="J235" s="12" t="str">
        <f>IF(TOTALCO!J760="", "",TOTALCO!J760)</f>
        <v/>
      </c>
      <c r="K235" s="12" t="str">
        <f>IF(TOTALCO!K760="", "",TOTALCO!K760)</f>
        <v/>
      </c>
      <c r="L235" s="12" t="str">
        <f>IF(TOTALCO!L760="", "",TOTALCO!L760)</f>
        <v/>
      </c>
      <c r="M235" s="12" t="str">
        <f>IF(TOTALCO!M760="", "",TOTALCO!M760)</f>
        <v/>
      </c>
      <c r="N235" s="12" t="str">
        <f>IF(TOTALCO!N760="", "",TOTALCO!N760)</f>
        <v/>
      </c>
      <c r="O235" s="12" t="str">
        <f>IF(TOTALCO!O760="", "",TOTALCO!O760)</f>
        <v/>
      </c>
      <c r="P235" s="12" t="str">
        <f>IF(TOTALCO!P760="", "",TOTALCO!P760)</f>
        <v/>
      </c>
      <c r="Q235" s="12"/>
      <c r="R235" s="13"/>
    </row>
    <row r="236" spans="1:18" ht="15" x14ac:dyDescent="0.2">
      <c r="A236" s="382">
        <f>IF(TOTALCO!A761="", "",TOTALCO!A761)</f>
        <v>1</v>
      </c>
      <c r="B236" s="4" t="str">
        <f>IF(TOTALCO!B761="", "",TOTALCO!B761)</f>
        <v xml:space="preserve">    SYSTEM</v>
      </c>
      <c r="C236" s="4" t="str">
        <f>IF(TOTALCO!C761="", "",TOTALCO!C761)</f>
        <v>STMSYS</v>
      </c>
      <c r="D236" s="12">
        <f ca="1">IF(TOTALCO!D761="", "",TOTALCO!D761)</f>
        <v>1247297917.4266667</v>
      </c>
      <c r="E236" s="12" t="str">
        <f>IF(TOTALCO!E761="", "",TOTALCO!E761)</f>
        <v/>
      </c>
      <c r="F236" s="12">
        <f ca="1">IF(TOTALCO!F761="", "",TOTALCO!F761)</f>
        <v>1079524090.5138526</v>
      </c>
      <c r="G236" s="12" t="str">
        <f>IF(TOTALCO!G761="", "",TOTALCO!G761)</f>
        <v/>
      </c>
      <c r="H236" s="12">
        <f ca="1">IF(TOTALCO!H761="", "",TOTALCO!H761)</f>
        <v>63397245.301753558</v>
      </c>
      <c r="I236" s="12">
        <f ca="1">IF(TOTALCO!I761="", "",TOTALCO!I761)</f>
        <v>104376581.61106068</v>
      </c>
      <c r="J236" s="12" t="str">
        <f>IF(TOTALCO!J761="", "",TOTALCO!J761)</f>
        <v/>
      </c>
      <c r="K236" s="12" t="str">
        <f>IF(TOTALCO!K761="", "",TOTALCO!K761)</f>
        <v/>
      </c>
      <c r="L236" s="12">
        <f ca="1">IF(TOTALCO!L761="", "",TOTALCO!L761)</f>
        <v>9544.9029361267021</v>
      </c>
      <c r="M236" s="12" t="str">
        <f>IF(TOTALCO!M761="", "",TOTALCO!M761)</f>
        <v/>
      </c>
      <c r="N236" s="12">
        <f ca="1">IF(TOTALCO!N761="", "",TOTALCO!N761)</f>
        <v>104367036.70812455</v>
      </c>
      <c r="O236" s="12">
        <f ca="1">IF(TOTALCO!O761="", "",TOTALCO!O761)</f>
        <v>32565163.481720846</v>
      </c>
      <c r="P236" s="12">
        <f ca="1">IF(TOTALCO!P761="", "",TOTALCO!P761)</f>
        <v>71801873.226403698</v>
      </c>
      <c r="Q236" s="12"/>
      <c r="R236" s="13"/>
    </row>
    <row r="237" spans="1:18" ht="15" x14ac:dyDescent="0.2">
      <c r="A237" s="382">
        <f>IF(TOTALCO!A762="", "",TOTALCO!A762)</f>
        <v>2</v>
      </c>
      <c r="B237" s="4" t="str">
        <f>IF(TOTALCO!B762="", "",TOTALCO!B762)</f>
        <v xml:space="preserve">    FERC-AFUDC PRE</v>
      </c>
      <c r="C237" s="4" t="str">
        <f>IF(TOTALCO!C762="", "",TOTALCO!C762)</f>
        <v>DEMFERC</v>
      </c>
      <c r="D237" s="12">
        <f ca="1">IF(TOTALCO!D762="", "",TOTALCO!D762)</f>
        <v>15482538.333333332</v>
      </c>
      <c r="E237" s="12" t="str">
        <f>IF(TOTALCO!E762="", "",TOTALCO!E762)</f>
        <v/>
      </c>
      <c r="F237" s="12">
        <f ca="1">IF(TOTALCO!F762="", "",TOTALCO!F762)</f>
        <v>0</v>
      </c>
      <c r="G237" s="12" t="str">
        <f>IF(TOTALCO!G762="", "",TOTALCO!G762)</f>
        <v/>
      </c>
      <c r="H237" s="12">
        <f ca="1">IF(TOTALCO!H762="", "",TOTALCO!H762)</f>
        <v>5850770.3120878944</v>
      </c>
      <c r="I237" s="12">
        <f ca="1">IF(TOTALCO!I762="", "",TOTALCO!I762)</f>
        <v>9631768.0212454386</v>
      </c>
      <c r="J237" s="12" t="str">
        <f>IF(TOTALCO!J762="", "",TOTALCO!J762)</f>
        <v/>
      </c>
      <c r="K237" s="12" t="str">
        <f>IF(TOTALCO!K762="", "",TOTALCO!K762)</f>
        <v/>
      </c>
      <c r="L237" s="12">
        <f ca="1">IF(TOTALCO!L762="", "",TOTALCO!L762)</f>
        <v>0</v>
      </c>
      <c r="M237" s="12" t="str">
        <f>IF(TOTALCO!M762="", "",TOTALCO!M762)</f>
        <v/>
      </c>
      <c r="N237" s="12">
        <f ca="1">IF(TOTALCO!N762="", "",TOTALCO!N762)</f>
        <v>9631768.0212454386</v>
      </c>
      <c r="O237" s="12">
        <f ca="1">IF(TOTALCO!O762="", "",TOTALCO!O762)</f>
        <v>3005356.0024613743</v>
      </c>
      <c r="P237" s="12">
        <f ca="1">IF(TOTALCO!P762="", "",TOTALCO!P762)</f>
        <v>6626412.0187840648</v>
      </c>
      <c r="Q237" s="12"/>
      <c r="R237" s="13"/>
    </row>
    <row r="238" spans="1:18" ht="15" x14ac:dyDescent="0.2">
      <c r="A238" s="382">
        <f>IF(TOTALCO!A763="", "",TOTALCO!A763)</f>
        <v>3</v>
      </c>
      <c r="B238" s="4" t="str">
        <f>IF(TOTALCO!B763="", "",TOTALCO!B763)</f>
        <v xml:space="preserve">    FERC-AFUDC POST</v>
      </c>
      <c r="C238" s="4" t="str">
        <f>IF(TOTALCO!C763="", "",TOTALCO!C763)</f>
        <v>DEMFERCP</v>
      </c>
      <c r="D238" s="12">
        <f ca="1">IF(TOTALCO!D763="", "",TOTALCO!D763)</f>
        <v>2872593</v>
      </c>
      <c r="E238" s="12" t="str">
        <f>IF(TOTALCO!E763="", "",TOTALCO!E763)</f>
        <v/>
      </c>
      <c r="F238" s="12">
        <f ca="1">IF(TOTALCO!F763="", "",TOTALCO!F763)</f>
        <v>0</v>
      </c>
      <c r="G238" s="12" t="str">
        <f>IF(TOTALCO!G763="", "",TOTALCO!G763)</f>
        <v/>
      </c>
      <c r="H238" s="12">
        <f ca="1">IF(TOTALCO!H763="", "",TOTALCO!H763)</f>
        <v>0</v>
      </c>
      <c r="I238" s="12">
        <f ca="1">IF(TOTALCO!I763="", "",TOTALCO!I763)</f>
        <v>2872593</v>
      </c>
      <c r="J238" s="12" t="str">
        <f>IF(TOTALCO!J763="", "",TOTALCO!J763)</f>
        <v/>
      </c>
      <c r="K238" s="12" t="str">
        <f>IF(TOTALCO!K763="", "",TOTALCO!K763)</f>
        <v/>
      </c>
      <c r="L238" s="12">
        <f ca="1">IF(TOTALCO!L763="", "",TOTALCO!L763)</f>
        <v>0</v>
      </c>
      <c r="M238" s="12" t="str">
        <f>IF(TOTALCO!M763="", "",TOTALCO!M763)</f>
        <v/>
      </c>
      <c r="N238" s="12">
        <f ca="1">IF(TOTALCO!N763="", "",TOTALCO!N763)</f>
        <v>2872593</v>
      </c>
      <c r="O238" s="12">
        <f ca="1">IF(TOTALCO!O763="", "",TOTALCO!O763)</f>
        <v>896321.90020936693</v>
      </c>
      <c r="P238" s="12">
        <f ca="1">IF(TOTALCO!P763="", "",TOTALCO!P763)</f>
        <v>1976271.099790633</v>
      </c>
      <c r="Q238" s="12"/>
      <c r="R238" s="13"/>
    </row>
    <row r="239" spans="1:18" ht="15" x14ac:dyDescent="0.2">
      <c r="A239" s="382">
        <f>IF(TOTALCO!A764="", "",TOTALCO!A764)</f>
        <v>4</v>
      </c>
      <c r="B239" s="4" t="str">
        <f>IF(TOTALCO!B764="", "",TOTALCO!B764)</f>
        <v xml:space="preserve">     TOTAL STEAM PROD PLT</v>
      </c>
      <c r="C239" s="4" t="str">
        <f>IF(TOTALCO!C764="", "",TOTALCO!C764)</f>
        <v/>
      </c>
      <c r="D239" s="12">
        <f ca="1">IF(TOTALCO!D764="", "",TOTALCO!D764)</f>
        <v>1265653048.7600002</v>
      </c>
      <c r="E239" s="12" t="str">
        <f>IF(TOTALCO!E764="", "",TOTALCO!E764)</f>
        <v/>
      </c>
      <c r="F239" s="12">
        <f ca="1">IF(TOTALCO!F764="", "",TOTALCO!F764)</f>
        <v>1079524090.5138526</v>
      </c>
      <c r="G239" s="12" t="str">
        <f>IF(TOTALCO!G764="", "",TOTALCO!G764)</f>
        <v/>
      </c>
      <c r="H239" s="12">
        <f ca="1">IF(TOTALCO!H764="", "",TOTALCO!H764)</f>
        <v>69248015.613841459</v>
      </c>
      <c r="I239" s="12">
        <f ca="1">IF(TOTALCO!I764="", "",TOTALCO!I764)</f>
        <v>116880942.63230611</v>
      </c>
      <c r="J239" s="12" t="str">
        <f>IF(TOTALCO!J764="", "",TOTALCO!J764)</f>
        <v/>
      </c>
      <c r="K239" s="12" t="str">
        <f>IF(TOTALCO!K764="", "",TOTALCO!K764)</f>
        <v/>
      </c>
      <c r="L239" s="12">
        <f ca="1">IF(TOTALCO!L764="", "",TOTALCO!L764)</f>
        <v>9544.9029361267021</v>
      </c>
      <c r="M239" s="12" t="str">
        <f>IF(TOTALCO!M764="", "",TOTALCO!M764)</f>
        <v/>
      </c>
      <c r="N239" s="12">
        <f ca="1">IF(TOTALCO!N764="", "",TOTALCO!N764)</f>
        <v>116871397.72936998</v>
      </c>
      <c r="O239" s="12">
        <f ca="1">IF(TOTALCO!O764="", "",TOTALCO!O764)</f>
        <v>36466841.384391591</v>
      </c>
      <c r="P239" s="12">
        <f ca="1">IF(TOTALCO!P764="", "",TOTALCO!P764)</f>
        <v>80404556.344978392</v>
      </c>
      <c r="Q239" s="12"/>
      <c r="R239" s="13"/>
    </row>
    <row r="240" spans="1:18" ht="15" x14ac:dyDescent="0.2">
      <c r="A240" s="382" t="str">
        <f>IF(TOTALCO!A765="", "",TOTALCO!A765)</f>
        <v/>
      </c>
      <c r="B240" s="4" t="str">
        <f>IF(TOTALCO!B765="", "",TOTALCO!B765)</f>
        <v/>
      </c>
      <c r="C240" s="4" t="str">
        <f>IF(TOTALCO!C765="", "",TOTALCO!C765)</f>
        <v/>
      </c>
      <c r="D240" s="12" t="str">
        <f>IF(TOTALCO!D765="", "",TOTALCO!D765)</f>
        <v/>
      </c>
      <c r="E240" s="12" t="str">
        <f>IF(TOTALCO!E765="", "",TOTALCO!E765)</f>
        <v/>
      </c>
      <c r="F240" s="12" t="str">
        <f>IF(TOTALCO!F765="", "",TOTALCO!F765)</f>
        <v/>
      </c>
      <c r="G240" s="12" t="str">
        <f>IF(TOTALCO!G765="", "",TOTALCO!G765)</f>
        <v/>
      </c>
      <c r="H240" s="12" t="str">
        <f>IF(TOTALCO!H765="", "",TOTALCO!H765)</f>
        <v/>
      </c>
      <c r="I240" s="12" t="str">
        <f>IF(TOTALCO!I765="", "",TOTALCO!I765)</f>
        <v/>
      </c>
      <c r="J240" s="12" t="str">
        <f>IF(TOTALCO!J765="", "",TOTALCO!J765)</f>
        <v/>
      </c>
      <c r="K240" s="12" t="str">
        <f>IF(TOTALCO!K765="", "",TOTALCO!K765)</f>
        <v/>
      </c>
      <c r="L240" s="12" t="str">
        <f>IF(TOTALCO!L765="", "",TOTALCO!L765)</f>
        <v/>
      </c>
      <c r="M240" s="12" t="str">
        <f>IF(TOTALCO!M765="", "",TOTALCO!M765)</f>
        <v/>
      </c>
      <c r="N240" s="12" t="str">
        <f>IF(TOTALCO!N765="", "",TOTALCO!N765)</f>
        <v/>
      </c>
      <c r="O240" s="12" t="str">
        <f>IF(TOTALCO!O765="", "",TOTALCO!O765)</f>
        <v/>
      </c>
      <c r="P240" s="12" t="str">
        <f>IF(TOTALCO!P765="", "",TOTALCO!P765)</f>
        <v/>
      </c>
      <c r="Q240" s="12"/>
      <c r="R240" s="13"/>
    </row>
    <row r="241" spans="1:18" ht="15" x14ac:dyDescent="0.2">
      <c r="A241" s="382" t="str">
        <f>IF(TOTALCO!A766="", "",TOTALCO!A766)</f>
        <v/>
      </c>
      <c r="B241" s="4" t="str">
        <f>IF(TOTALCO!B766="", "",TOTALCO!B766)</f>
        <v xml:space="preserve">  HYDRAULIC PRODUCTION PLANT</v>
      </c>
      <c r="C241" s="4" t="str">
        <f>IF(TOTALCO!C766="", "",TOTALCO!C766)</f>
        <v/>
      </c>
      <c r="D241" s="12" t="str">
        <f>IF(TOTALCO!D766="", "",TOTALCO!D766)</f>
        <v/>
      </c>
      <c r="E241" s="12" t="str">
        <f>IF(TOTALCO!E766="", "",TOTALCO!E766)</f>
        <v/>
      </c>
      <c r="F241" s="12" t="str">
        <f>IF(TOTALCO!F766="", "",TOTALCO!F766)</f>
        <v/>
      </c>
      <c r="G241" s="12" t="str">
        <f>IF(TOTALCO!G766="", "",TOTALCO!G766)</f>
        <v/>
      </c>
      <c r="H241" s="12" t="str">
        <f>IF(TOTALCO!H766="", "",TOTALCO!H766)</f>
        <v/>
      </c>
      <c r="I241" s="12" t="str">
        <f>IF(TOTALCO!I766="", "",TOTALCO!I766)</f>
        <v/>
      </c>
      <c r="J241" s="12" t="str">
        <f>IF(TOTALCO!J766="", "",TOTALCO!J766)</f>
        <v/>
      </c>
      <c r="K241" s="12" t="str">
        <f>IF(TOTALCO!K766="", "",TOTALCO!K766)</f>
        <v/>
      </c>
      <c r="L241" s="12" t="str">
        <f>IF(TOTALCO!L766="", "",TOTALCO!L766)</f>
        <v/>
      </c>
      <c r="M241" s="12" t="str">
        <f>IF(TOTALCO!M766="", "",TOTALCO!M766)</f>
        <v/>
      </c>
      <c r="N241" s="12" t="str">
        <f>IF(TOTALCO!N766="", "",TOTALCO!N766)</f>
        <v/>
      </c>
      <c r="O241" s="12" t="str">
        <f>IF(TOTALCO!O766="", "",TOTALCO!O766)</f>
        <v/>
      </c>
      <c r="P241" s="12" t="str">
        <f>IF(TOTALCO!P766="", "",TOTALCO!P766)</f>
        <v/>
      </c>
      <c r="Q241" s="12"/>
      <c r="R241" s="13"/>
    </row>
    <row r="242" spans="1:18" ht="15" x14ac:dyDescent="0.2">
      <c r="A242" s="382">
        <f>IF(TOTALCO!A767="", "",TOTALCO!A767)</f>
        <v>5</v>
      </c>
      <c r="B242" s="4" t="str">
        <f>IF(TOTALCO!B767="", "",TOTALCO!B767)</f>
        <v xml:space="preserve">    SYSTEM</v>
      </c>
      <c r="C242" s="4" t="str">
        <f>IF(TOTALCO!C767="", "",TOTALCO!C767)</f>
        <v>HYDSYS</v>
      </c>
      <c r="D242" s="12">
        <f ca="1">IF(TOTALCO!D767="", "",TOTALCO!D767)</f>
        <v>7807864.1799999988</v>
      </c>
      <c r="E242" s="12" t="str">
        <f>IF(TOTALCO!E767="", "",TOTALCO!E767)</f>
        <v/>
      </c>
      <c r="F242" s="12">
        <f ca="1">IF(TOTALCO!F767="", "",TOTALCO!F767)</f>
        <v>6757629.7210211167</v>
      </c>
      <c r="G242" s="12" t="str">
        <f>IF(TOTALCO!G767="", "",TOTALCO!G767)</f>
        <v/>
      </c>
      <c r="H242" s="12">
        <f ca="1">IF(TOTALCO!H767="", "",TOTALCO!H767)</f>
        <v>396855.53369917948</v>
      </c>
      <c r="I242" s="12">
        <f ca="1">IF(TOTALCO!I767="", "",TOTALCO!I767)</f>
        <v>653378.92527970287</v>
      </c>
      <c r="J242" s="12" t="str">
        <f>IF(TOTALCO!J767="", "",TOTALCO!J767)</f>
        <v/>
      </c>
      <c r="K242" s="12" t="str">
        <f>IF(TOTALCO!K767="", "",TOTALCO!K767)</f>
        <v/>
      </c>
      <c r="L242" s="12">
        <f ca="1">IF(TOTALCO!L767="", "",TOTALCO!L767)</f>
        <v>59.74940284540493</v>
      </c>
      <c r="M242" s="12" t="str">
        <f>IF(TOTALCO!M767="", "",TOTALCO!M767)</f>
        <v/>
      </c>
      <c r="N242" s="12">
        <f ca="1">IF(TOTALCO!N767="", "",TOTALCO!N767)</f>
        <v>653319.17587685748</v>
      </c>
      <c r="O242" s="12">
        <f ca="1">IF(TOTALCO!O767="", "",TOTALCO!O767)</f>
        <v>203852.15906505467</v>
      </c>
      <c r="P242" s="12">
        <f ca="1">IF(TOTALCO!P767="", "",TOTALCO!P767)</f>
        <v>449467.01681180287</v>
      </c>
      <c r="Q242" s="12"/>
      <c r="R242" s="13"/>
    </row>
    <row r="243" spans="1:18" ht="15" x14ac:dyDescent="0.2">
      <c r="A243" s="382">
        <f>IF(TOTALCO!A768="", "",TOTALCO!A768)</f>
        <v>6</v>
      </c>
      <c r="B243" s="4" t="str">
        <f>IF(TOTALCO!B768="", "",TOTALCO!B768)</f>
        <v xml:space="preserve">    FERC-AFUDC PRE</v>
      </c>
      <c r="C243" s="4" t="str">
        <f>IF(TOTALCO!C768="", "",TOTALCO!C768)</f>
        <v>DEMFERC</v>
      </c>
      <c r="D243" s="12">
        <f ca="1">IF(TOTALCO!D768="", "",TOTALCO!D768)</f>
        <v>3252.5</v>
      </c>
      <c r="E243" s="12" t="str">
        <f>IF(TOTALCO!E768="", "",TOTALCO!E768)</f>
        <v/>
      </c>
      <c r="F243" s="12">
        <f ca="1">IF(TOTALCO!F768="", "",TOTALCO!F768)</f>
        <v>0</v>
      </c>
      <c r="G243" s="12" t="str">
        <f>IF(TOTALCO!G768="", "",TOTALCO!G768)</f>
        <v/>
      </c>
      <c r="H243" s="12">
        <f ca="1">IF(TOTALCO!H768="", "",TOTALCO!H768)</f>
        <v>1229.1027498440474</v>
      </c>
      <c r="I243" s="12">
        <f ca="1">IF(TOTALCO!I768="", "",TOTALCO!I768)</f>
        <v>2023.3972501559524</v>
      </c>
      <c r="J243" s="12" t="str">
        <f>IF(TOTALCO!J768="", "",TOTALCO!J768)</f>
        <v/>
      </c>
      <c r="K243" s="12" t="str">
        <f>IF(TOTALCO!K768="", "",TOTALCO!K768)</f>
        <v/>
      </c>
      <c r="L243" s="12">
        <f ca="1">IF(TOTALCO!L768="", "",TOTALCO!L768)</f>
        <v>0</v>
      </c>
      <c r="M243" s="12" t="str">
        <f>IF(TOTALCO!M768="", "",TOTALCO!M768)</f>
        <v/>
      </c>
      <c r="N243" s="12">
        <f ca="1">IF(TOTALCO!N768="", "",TOTALCO!N768)</f>
        <v>2023.3972501559524</v>
      </c>
      <c r="O243" s="12">
        <f ca="1">IF(TOTALCO!O768="", "",TOTALCO!O768)</f>
        <v>631.35128023294328</v>
      </c>
      <c r="P243" s="12">
        <f ca="1">IF(TOTALCO!P768="", "",TOTALCO!P768)</f>
        <v>1392.0459699230091</v>
      </c>
      <c r="Q243" s="12"/>
      <c r="R243" s="13"/>
    </row>
    <row r="244" spans="1:18" ht="15" x14ac:dyDescent="0.2">
      <c r="A244" s="382">
        <f>IF(TOTALCO!A769="", "",TOTALCO!A769)</f>
        <v>7</v>
      </c>
      <c r="B244" s="4" t="str">
        <f>IF(TOTALCO!B769="", "",TOTALCO!B769)</f>
        <v xml:space="preserve">    FERC-AFUDC POST</v>
      </c>
      <c r="C244" s="4" t="str">
        <f>IF(TOTALCO!C769="", "",TOTALCO!C769)</f>
        <v>DEMFERCP</v>
      </c>
      <c r="D244" s="12">
        <f ca="1">IF(TOTALCO!D769="", "",TOTALCO!D769)</f>
        <v>947.5</v>
      </c>
      <c r="E244" s="12" t="str">
        <f>IF(TOTALCO!E769="", "",TOTALCO!E769)</f>
        <v/>
      </c>
      <c r="F244" s="12">
        <f ca="1">IF(TOTALCO!F769="", "",TOTALCO!F769)</f>
        <v>0</v>
      </c>
      <c r="G244" s="12" t="str">
        <f>IF(TOTALCO!G769="", "",TOTALCO!G769)</f>
        <v/>
      </c>
      <c r="H244" s="12">
        <f ca="1">IF(TOTALCO!H769="", "",TOTALCO!H769)</f>
        <v>0</v>
      </c>
      <c r="I244" s="12">
        <f ca="1">IF(TOTALCO!I769="", "",TOTALCO!I769)</f>
        <v>947.5</v>
      </c>
      <c r="J244" s="12" t="str">
        <f>IF(TOTALCO!J769="", "",TOTALCO!J769)</f>
        <v/>
      </c>
      <c r="K244" s="12" t="str">
        <f>IF(TOTALCO!K769="", "",TOTALCO!K769)</f>
        <v/>
      </c>
      <c r="L244" s="12">
        <f ca="1">IF(TOTALCO!L769="", "",TOTALCO!L769)</f>
        <v>0</v>
      </c>
      <c r="M244" s="12" t="str">
        <f>IF(TOTALCO!M769="", "",TOTALCO!M769)</f>
        <v/>
      </c>
      <c r="N244" s="12">
        <f ca="1">IF(TOTALCO!N769="", "",TOTALCO!N769)</f>
        <v>947.5</v>
      </c>
      <c r="O244" s="12">
        <f ca="1">IF(TOTALCO!O769="", "",TOTALCO!O769)</f>
        <v>295.64404022720072</v>
      </c>
      <c r="P244" s="12">
        <f ca="1">IF(TOTALCO!P769="", "",TOTALCO!P769)</f>
        <v>651.85595977279922</v>
      </c>
      <c r="Q244" s="12"/>
      <c r="R244" s="13"/>
    </row>
    <row r="245" spans="1:18" ht="15" x14ac:dyDescent="0.2">
      <c r="A245" s="382">
        <f>IF(TOTALCO!A770="", "",TOTALCO!A770)</f>
        <v>8</v>
      </c>
      <c r="B245" s="4" t="str">
        <f>IF(TOTALCO!B770="", "",TOTALCO!B770)</f>
        <v xml:space="preserve">     TOTAL HYDRO PROD PLT</v>
      </c>
      <c r="C245" s="4" t="str">
        <f>IF(TOTALCO!C770="", "",TOTALCO!C770)</f>
        <v/>
      </c>
      <c r="D245" s="12">
        <f ca="1">IF(TOTALCO!D770="", "",TOTALCO!D770)</f>
        <v>7812064.1799999988</v>
      </c>
      <c r="E245" s="12" t="str">
        <f>IF(TOTALCO!E770="", "",TOTALCO!E770)</f>
        <v/>
      </c>
      <c r="F245" s="12">
        <f ca="1">IF(TOTALCO!F770="", "",TOTALCO!F770)</f>
        <v>6757629.7210211167</v>
      </c>
      <c r="G245" s="12" t="str">
        <f>IF(TOTALCO!G770="", "",TOTALCO!G770)</f>
        <v/>
      </c>
      <c r="H245" s="12">
        <f ca="1">IF(TOTALCO!H770="", "",TOTALCO!H770)</f>
        <v>398084.6364490235</v>
      </c>
      <c r="I245" s="12">
        <f ca="1">IF(TOTALCO!I770="", "",TOTALCO!I770)</f>
        <v>656349.82252985891</v>
      </c>
      <c r="J245" s="12" t="str">
        <f>IF(TOTALCO!J770="", "",TOTALCO!J770)</f>
        <v/>
      </c>
      <c r="K245" s="12" t="str">
        <f>IF(TOTALCO!K770="", "",TOTALCO!K770)</f>
        <v/>
      </c>
      <c r="L245" s="12">
        <f ca="1">IF(TOTALCO!L770="", "",TOTALCO!L770)</f>
        <v>59.74940284540493</v>
      </c>
      <c r="M245" s="12" t="str">
        <f>IF(TOTALCO!M770="", "",TOTALCO!M770)</f>
        <v/>
      </c>
      <c r="N245" s="12">
        <f ca="1">IF(TOTALCO!N770="", "",TOTALCO!N770)</f>
        <v>656290.07312701351</v>
      </c>
      <c r="O245" s="12">
        <f ca="1">IF(TOTALCO!O770="", "",TOTALCO!O770)</f>
        <v>204779.15438551482</v>
      </c>
      <c r="P245" s="12">
        <f ca="1">IF(TOTALCO!P770="", "",TOTALCO!P770)</f>
        <v>451510.91874149867</v>
      </c>
      <c r="Q245" s="12"/>
      <c r="R245" s="13"/>
    </row>
    <row r="246" spans="1:18" ht="15" x14ac:dyDescent="0.2">
      <c r="A246" s="382" t="str">
        <f>IF(TOTALCO!A771="", "",TOTALCO!A771)</f>
        <v/>
      </c>
      <c r="B246" s="4" t="str">
        <f>IF(TOTALCO!B771="", "",TOTALCO!B771)</f>
        <v/>
      </c>
      <c r="C246" s="4" t="str">
        <f>IF(TOTALCO!C771="", "",TOTALCO!C771)</f>
        <v/>
      </c>
      <c r="D246" s="12" t="str">
        <f>IF(TOTALCO!D771="", "",TOTALCO!D771)</f>
        <v/>
      </c>
      <c r="E246" s="12" t="str">
        <f>IF(TOTALCO!E771="", "",TOTALCO!E771)</f>
        <v/>
      </c>
      <c r="F246" s="12" t="str">
        <f>IF(TOTALCO!F771="", "",TOTALCO!F771)</f>
        <v/>
      </c>
      <c r="G246" s="12" t="str">
        <f>IF(TOTALCO!G771="", "",TOTALCO!G771)</f>
        <v/>
      </c>
      <c r="H246" s="12" t="str">
        <f>IF(TOTALCO!H771="", "",TOTALCO!H771)</f>
        <v/>
      </c>
      <c r="I246" s="12" t="str">
        <f>IF(TOTALCO!I771="", "",TOTALCO!I771)</f>
        <v/>
      </c>
      <c r="J246" s="12" t="str">
        <f>IF(TOTALCO!J771="", "",TOTALCO!J771)</f>
        <v/>
      </c>
      <c r="K246" s="12" t="str">
        <f>IF(TOTALCO!K771="", "",TOTALCO!K771)</f>
        <v/>
      </c>
      <c r="L246" s="12" t="str">
        <f>IF(TOTALCO!L771="", "",TOTALCO!L771)</f>
        <v/>
      </c>
      <c r="M246" s="12" t="str">
        <f>IF(TOTALCO!M771="", "",TOTALCO!M771)</f>
        <v/>
      </c>
      <c r="N246" s="12" t="str">
        <f>IF(TOTALCO!N771="", "",TOTALCO!N771)</f>
        <v/>
      </c>
      <c r="O246" s="12" t="str">
        <f>IF(TOTALCO!O771="", "",TOTALCO!O771)</f>
        <v/>
      </c>
      <c r="P246" s="12" t="str">
        <f>IF(TOTALCO!P771="", "",TOTALCO!P771)</f>
        <v/>
      </c>
      <c r="Q246" s="12"/>
      <c r="R246" s="13"/>
    </row>
    <row r="247" spans="1:18" ht="15" x14ac:dyDescent="0.2">
      <c r="A247" s="382" t="str">
        <f>IF(TOTALCO!A772="", "",TOTALCO!A772)</f>
        <v/>
      </c>
      <c r="B247" s="4" t="str">
        <f>IF(TOTALCO!B772="", "",TOTALCO!B772)</f>
        <v xml:space="preserve">  OTHER PRODUCTION PLANT</v>
      </c>
      <c r="C247" s="4" t="str">
        <f>IF(TOTALCO!C772="", "",TOTALCO!C772)</f>
        <v/>
      </c>
      <c r="D247" s="12" t="str">
        <f>IF(TOTALCO!D772="", "",TOTALCO!D772)</f>
        <v/>
      </c>
      <c r="E247" s="12" t="str">
        <f>IF(TOTALCO!E772="", "",TOTALCO!E772)</f>
        <v/>
      </c>
      <c r="F247" s="12" t="str">
        <f>IF(TOTALCO!F772="", "",TOTALCO!F772)</f>
        <v/>
      </c>
      <c r="G247" s="12" t="str">
        <f>IF(TOTALCO!G772="", "",TOTALCO!G772)</f>
        <v/>
      </c>
      <c r="H247" s="12" t="str">
        <f>IF(TOTALCO!H772="", "",TOTALCO!H772)</f>
        <v/>
      </c>
      <c r="I247" s="12" t="str">
        <f>IF(TOTALCO!I772="", "",TOTALCO!I772)</f>
        <v/>
      </c>
      <c r="J247" s="12" t="str">
        <f>IF(TOTALCO!J772="", "",TOTALCO!J772)</f>
        <v/>
      </c>
      <c r="K247" s="12" t="str">
        <f>IF(TOTALCO!K772="", "",TOTALCO!K772)</f>
        <v/>
      </c>
      <c r="L247" s="12" t="str">
        <f>IF(TOTALCO!L772="", "",TOTALCO!L772)</f>
        <v/>
      </c>
      <c r="M247" s="12" t="str">
        <f>IF(TOTALCO!M772="", "",TOTALCO!M772)</f>
        <v/>
      </c>
      <c r="N247" s="12" t="str">
        <f>IF(TOTALCO!N772="", "",TOTALCO!N772)</f>
        <v/>
      </c>
      <c r="O247" s="12" t="str">
        <f>IF(TOTALCO!O772="", "",TOTALCO!O772)</f>
        <v/>
      </c>
      <c r="P247" s="12" t="str">
        <f>IF(TOTALCO!P772="", "",TOTALCO!P772)</f>
        <v/>
      </c>
      <c r="Q247" s="12"/>
      <c r="R247" s="13"/>
    </row>
    <row r="248" spans="1:18" ht="15" x14ac:dyDescent="0.2">
      <c r="A248" s="382">
        <f>IF(TOTALCO!A773="", "",TOTALCO!A773)</f>
        <v>9</v>
      </c>
      <c r="B248" s="4" t="str">
        <f>IF(TOTALCO!B773="", "",TOTALCO!B773)</f>
        <v xml:space="preserve">    SYSTEM</v>
      </c>
      <c r="C248" s="4" t="str">
        <f>IF(TOTALCO!C773="", "",TOTALCO!C773)</f>
        <v>OTHSYS</v>
      </c>
      <c r="D248" s="12">
        <f ca="1">IF(TOTALCO!D773="", "",TOTALCO!D773)</f>
        <v>178845192.44000003</v>
      </c>
      <c r="E248" s="12" t="str">
        <f>IF(TOTALCO!E773="", "",TOTALCO!E773)</f>
        <v/>
      </c>
      <c r="F248" s="12">
        <f ca="1">IF(TOTALCO!F773="", "",TOTALCO!F773)</f>
        <v>154788756.57059464</v>
      </c>
      <c r="G248" s="12" t="str">
        <f>IF(TOTALCO!G773="", "",TOTALCO!G773)</f>
        <v/>
      </c>
      <c r="H248" s="12">
        <f ca="1">IF(TOTALCO!H773="", "",TOTALCO!H773)</f>
        <v>9090284.1877186261</v>
      </c>
      <c r="I248" s="12">
        <f ca="1">IF(TOTALCO!I773="", "",TOTALCO!I773)</f>
        <v>14966151.68168677</v>
      </c>
      <c r="J248" s="12" t="str">
        <f>IF(TOTALCO!J773="", "",TOTALCO!J773)</f>
        <v/>
      </c>
      <c r="K248" s="12" t="str">
        <f>IF(TOTALCO!K773="", "",TOTALCO!K773)</f>
        <v/>
      </c>
      <c r="L248" s="12">
        <f ca="1">IF(TOTALCO!L773="", "",TOTALCO!L773)</f>
        <v>1368.6064721045811</v>
      </c>
      <c r="M248" s="12" t="str">
        <f>IF(TOTALCO!M773="", "",TOTALCO!M773)</f>
        <v/>
      </c>
      <c r="N248" s="12">
        <f ca="1">IF(TOTALCO!N773="", "",TOTALCO!N773)</f>
        <v>14964783.075214665</v>
      </c>
      <c r="O248" s="12">
        <f ca="1">IF(TOTALCO!O773="", "",TOTALCO!O773)</f>
        <v>4669392.01000538</v>
      </c>
      <c r="P248" s="12">
        <f ca="1">IF(TOTALCO!P773="", "",TOTALCO!P773)</f>
        <v>10295391.065209286</v>
      </c>
      <c r="Q248" s="12"/>
      <c r="R248" s="13"/>
    </row>
    <row r="249" spans="1:18" ht="15" x14ac:dyDescent="0.2">
      <c r="A249" s="382">
        <f>IF(TOTALCO!A774="", "",TOTALCO!A774)</f>
        <v>10</v>
      </c>
      <c r="B249" s="4" t="str">
        <f>IF(TOTALCO!B774="", "",TOTALCO!B774)</f>
        <v xml:space="preserve">    FERC-AFUDC PRE</v>
      </c>
      <c r="C249" s="4" t="str">
        <f>IF(TOTALCO!C774="", "",TOTALCO!C774)</f>
        <v>DEMFERC</v>
      </c>
      <c r="D249" s="12">
        <f ca="1">IF(TOTALCO!D774="", "",TOTALCO!D774)</f>
        <v>1236.75</v>
      </c>
      <c r="E249" s="12" t="str">
        <f>IF(TOTALCO!E774="", "",TOTALCO!E774)</f>
        <v/>
      </c>
      <c r="F249" s="12">
        <f ca="1">IF(TOTALCO!F774="", "",TOTALCO!F774)</f>
        <v>0</v>
      </c>
      <c r="G249" s="12" t="str">
        <f>IF(TOTALCO!G774="", "",TOTALCO!G774)</f>
        <v/>
      </c>
      <c r="H249" s="12">
        <f ca="1">IF(TOTALCO!H774="", "",TOTALCO!H774)</f>
        <v>467.36136075930074</v>
      </c>
      <c r="I249" s="12">
        <f ca="1">IF(TOTALCO!I774="", "",TOTALCO!I774)</f>
        <v>769.38863924069915</v>
      </c>
      <c r="J249" s="12" t="str">
        <f>IF(TOTALCO!J774="", "",TOTALCO!J774)</f>
        <v/>
      </c>
      <c r="K249" s="12" t="str">
        <f>IF(TOTALCO!K774="", "",TOTALCO!K774)</f>
        <v/>
      </c>
      <c r="L249" s="12">
        <f ca="1">IF(TOTALCO!L774="", "",TOTALCO!L774)</f>
        <v>0</v>
      </c>
      <c r="M249" s="12" t="str">
        <f>IF(TOTALCO!M774="", "",TOTALCO!M774)</f>
        <v/>
      </c>
      <c r="N249" s="12">
        <f ca="1">IF(TOTALCO!N774="", "",TOTALCO!N774)</f>
        <v>769.38863924069915</v>
      </c>
      <c r="O249" s="12">
        <f ca="1">IF(TOTALCO!O774="", "",TOTALCO!O774)</f>
        <v>240.06877658050502</v>
      </c>
      <c r="P249" s="12">
        <f ca="1">IF(TOTALCO!P774="", "",TOTALCO!P774)</f>
        <v>529.31986266019419</v>
      </c>
      <c r="Q249" s="12"/>
      <c r="R249" s="13"/>
    </row>
    <row r="250" spans="1:18" ht="15" x14ac:dyDescent="0.2">
      <c r="A250" s="382">
        <f>IF(TOTALCO!A775="", "",TOTALCO!A775)</f>
        <v>11</v>
      </c>
      <c r="B250" s="4" t="str">
        <f>IF(TOTALCO!B775="", "",TOTALCO!B775)</f>
        <v xml:space="preserve">    FERC-AFUDC POST</v>
      </c>
      <c r="C250" s="4" t="str">
        <f>IF(TOTALCO!C775="", "",TOTALCO!C775)</f>
        <v>DEMFERCP</v>
      </c>
      <c r="D250" s="12">
        <f ca="1">IF(TOTALCO!D775="", "",TOTALCO!D775)</f>
        <v>889035.5</v>
      </c>
      <c r="E250" s="12" t="str">
        <f>IF(TOTALCO!E775="", "",TOTALCO!E775)</f>
        <v/>
      </c>
      <c r="F250" s="12">
        <f ca="1">IF(TOTALCO!F775="", "",TOTALCO!F775)</f>
        <v>0</v>
      </c>
      <c r="G250" s="12" t="str">
        <f>IF(TOTALCO!G775="", "",TOTALCO!G775)</f>
        <v/>
      </c>
      <c r="H250" s="12">
        <f ca="1">IF(TOTALCO!H775="", "",TOTALCO!H775)</f>
        <v>0</v>
      </c>
      <c r="I250" s="12">
        <f ca="1">IF(TOTALCO!I775="", "",TOTALCO!I775)</f>
        <v>889035.5</v>
      </c>
      <c r="J250" s="12" t="str">
        <f>IF(TOTALCO!J775="", "",TOTALCO!J775)</f>
        <v/>
      </c>
      <c r="K250" s="12" t="str">
        <f>IF(TOTALCO!K775="", "",TOTALCO!K775)</f>
        <v/>
      </c>
      <c r="L250" s="12">
        <f ca="1">IF(TOTALCO!L775="", "",TOTALCO!L775)</f>
        <v>0</v>
      </c>
      <c r="M250" s="12" t="str">
        <f>IF(TOTALCO!M775="", "",TOTALCO!M775)</f>
        <v/>
      </c>
      <c r="N250" s="12">
        <f ca="1">IF(TOTALCO!N775="", "",TOTALCO!N775)</f>
        <v>889035.5</v>
      </c>
      <c r="O250" s="12">
        <f ca="1">IF(TOTALCO!O775="", "",TOTALCO!O775)</f>
        <v>277401.63285003643</v>
      </c>
      <c r="P250" s="12">
        <f ca="1">IF(TOTALCO!P775="", "",TOTALCO!P775)</f>
        <v>611633.86714996351</v>
      </c>
      <c r="Q250" s="12"/>
      <c r="R250" s="13"/>
    </row>
    <row r="251" spans="1:18" ht="15" x14ac:dyDescent="0.2">
      <c r="A251" s="382">
        <f>IF(TOTALCO!A776="", "",TOTALCO!A776)</f>
        <v>12</v>
      </c>
      <c r="B251" s="4" t="str">
        <f>IF(TOTALCO!B776="", "",TOTALCO!B776)</f>
        <v xml:space="preserve">     TOTAL OTHER PROD PLT</v>
      </c>
      <c r="C251" s="4" t="str">
        <f>IF(TOTALCO!C776="", "",TOTALCO!C776)</f>
        <v/>
      </c>
      <c r="D251" s="12">
        <f ca="1">IF(TOTALCO!D776="", "",TOTALCO!D776)</f>
        <v>179735464.69000003</v>
      </c>
      <c r="E251" s="12" t="str">
        <f>IF(TOTALCO!E776="", "",TOTALCO!E776)</f>
        <v/>
      </c>
      <c r="F251" s="12">
        <f ca="1">IF(TOTALCO!F776="", "",TOTALCO!F776)</f>
        <v>154788756.57059464</v>
      </c>
      <c r="G251" s="12" t="str">
        <f>IF(TOTALCO!G776="", "",TOTALCO!G776)</f>
        <v/>
      </c>
      <c r="H251" s="12">
        <f ca="1">IF(TOTALCO!H776="", "",TOTALCO!H776)</f>
        <v>9090751.5490793847</v>
      </c>
      <c r="I251" s="12">
        <f ca="1">IF(TOTALCO!I776="", "",TOTALCO!I776)</f>
        <v>15855956.570326012</v>
      </c>
      <c r="J251" s="12" t="str">
        <f>IF(TOTALCO!J776="", "",TOTALCO!J776)</f>
        <v/>
      </c>
      <c r="K251" s="12" t="str">
        <f>IF(TOTALCO!K776="", "",TOTALCO!K776)</f>
        <v/>
      </c>
      <c r="L251" s="12">
        <f ca="1">IF(TOTALCO!L776="", "",TOTALCO!L776)</f>
        <v>1368.6064721045811</v>
      </c>
      <c r="M251" s="12" t="str">
        <f>IF(TOTALCO!M776="", "",TOTALCO!M776)</f>
        <v/>
      </c>
      <c r="N251" s="12">
        <f ca="1">IF(TOTALCO!N776="", "",TOTALCO!N776)</f>
        <v>15854587.963853907</v>
      </c>
      <c r="O251" s="12">
        <f ca="1">IF(TOTALCO!O776="", "",TOTALCO!O776)</f>
        <v>4947033.7116319966</v>
      </c>
      <c r="P251" s="12">
        <f ca="1">IF(TOTALCO!P776="", "",TOTALCO!P776)</f>
        <v>10907554.25222191</v>
      </c>
      <c r="Q251" s="12"/>
      <c r="R251" s="13"/>
    </row>
    <row r="252" spans="1:18" ht="15" x14ac:dyDescent="0.2">
      <c r="A252" s="382" t="str">
        <f>IF(TOTALCO!A777="", "",TOTALCO!A777)</f>
        <v/>
      </c>
      <c r="B252" s="4" t="str">
        <f>IF(TOTALCO!B777="", "",TOTALCO!B777)</f>
        <v/>
      </c>
      <c r="C252" s="4" t="str">
        <f>IF(TOTALCO!C777="", "",TOTALCO!C777)</f>
        <v/>
      </c>
      <c r="D252" s="12" t="str">
        <f>IF(TOTALCO!D777="", "",TOTALCO!D777)</f>
        <v/>
      </c>
      <c r="E252" s="12" t="str">
        <f>IF(TOTALCO!E777="", "",TOTALCO!E777)</f>
        <v/>
      </c>
      <c r="F252" s="12" t="str">
        <f>IF(TOTALCO!F777="", "",TOTALCO!F777)</f>
        <v/>
      </c>
      <c r="G252" s="12" t="str">
        <f>IF(TOTALCO!G777="", "",TOTALCO!G777)</f>
        <v/>
      </c>
      <c r="H252" s="12" t="str">
        <f>IF(TOTALCO!H777="", "",TOTALCO!H777)</f>
        <v/>
      </c>
      <c r="I252" s="12" t="str">
        <f>IF(TOTALCO!I777="", "",TOTALCO!I777)</f>
        <v/>
      </c>
      <c r="J252" s="12" t="str">
        <f>IF(TOTALCO!J777="", "",TOTALCO!J777)</f>
        <v/>
      </c>
      <c r="K252" s="12" t="str">
        <f>IF(TOTALCO!K777="", "",TOTALCO!K777)</f>
        <v/>
      </c>
      <c r="L252" s="12" t="str">
        <f>IF(TOTALCO!L777="", "",TOTALCO!L777)</f>
        <v/>
      </c>
      <c r="M252" s="12" t="str">
        <f>IF(TOTALCO!M777="", "",TOTALCO!M777)</f>
        <v/>
      </c>
      <c r="N252" s="12" t="str">
        <f>IF(TOTALCO!N777="", "",TOTALCO!N777)</f>
        <v/>
      </c>
      <c r="O252" s="12" t="str">
        <f>IF(TOTALCO!O777="", "",TOTALCO!O777)</f>
        <v/>
      </c>
      <c r="P252" s="12" t="str">
        <f>IF(TOTALCO!P777="", "",TOTALCO!P777)</f>
        <v/>
      </c>
      <c r="Q252" s="12"/>
      <c r="R252" s="13"/>
    </row>
    <row r="253" spans="1:18" ht="15" x14ac:dyDescent="0.2">
      <c r="A253" s="382">
        <f>IF(TOTALCO!A778="", "",TOTALCO!A778)</f>
        <v>13</v>
      </c>
      <c r="B253" s="4" t="str">
        <f>IF(TOTALCO!B778="", "",TOTALCO!B778)</f>
        <v xml:space="preserve"> TOTAL PRODUCTION PLANT</v>
      </c>
      <c r="C253" s="4" t="str">
        <f>IF(TOTALCO!C778="", "",TOTALCO!C778)</f>
        <v/>
      </c>
      <c r="D253" s="12">
        <f ca="1">IF(TOTALCO!D778="", "",TOTALCO!D778)</f>
        <v>1453200577.6300001</v>
      </c>
      <c r="E253" s="12" t="str">
        <f>IF(TOTALCO!E778="", "",TOTALCO!E778)</f>
        <v/>
      </c>
      <c r="F253" s="12">
        <f ca="1">IF(TOTALCO!F778="", "",TOTALCO!F778)</f>
        <v>1241070476.8054683</v>
      </c>
      <c r="G253" s="12" t="str">
        <f>IF(TOTALCO!G778="", "",TOTALCO!G778)</f>
        <v/>
      </c>
      <c r="H253" s="12">
        <f ca="1">IF(TOTALCO!H778="", "",TOTALCO!H778)</f>
        <v>78736851.799369872</v>
      </c>
      <c r="I253" s="12">
        <f ca="1">IF(TOTALCO!I778="", "",TOTALCO!I778)</f>
        <v>133393249.02516197</v>
      </c>
      <c r="J253" s="12" t="str">
        <f>IF(TOTALCO!J778="", "",TOTALCO!J778)</f>
        <v/>
      </c>
      <c r="K253" s="12" t="str">
        <f>IF(TOTALCO!K778="", "",TOTALCO!K778)</f>
        <v/>
      </c>
      <c r="L253" s="12">
        <f ca="1">IF(TOTALCO!L778="", "",TOTALCO!L778)</f>
        <v>10973.258811076688</v>
      </c>
      <c r="M253" s="12" t="str">
        <f>IF(TOTALCO!M778="", "",TOTALCO!M778)</f>
        <v/>
      </c>
      <c r="N253" s="12">
        <f ca="1">IF(TOTALCO!N778="", "",TOTALCO!N778)</f>
        <v>133382275.7663509</v>
      </c>
      <c r="O253" s="12">
        <f ca="1">IF(TOTALCO!O778="", "",TOTALCO!O778)</f>
        <v>41618654.250409104</v>
      </c>
      <c r="P253" s="12">
        <f ca="1">IF(TOTALCO!P778="", "",TOTALCO!P778)</f>
        <v>91763621.515941799</v>
      </c>
      <c r="Q253" s="12"/>
      <c r="R253" s="13"/>
    </row>
    <row r="254" spans="1:18" ht="15" x14ac:dyDescent="0.2">
      <c r="A254" s="382" t="str">
        <f>IF(TOTALCO!A779="", "",TOTALCO!A779)</f>
        <v/>
      </c>
      <c r="B254" s="4" t="str">
        <f>IF(TOTALCO!B779="", "",TOTALCO!B779)</f>
        <v/>
      </c>
      <c r="C254" s="4" t="str">
        <f>IF(TOTALCO!C779="", "",TOTALCO!C779)</f>
        <v/>
      </c>
      <c r="D254" s="12" t="str">
        <f>IF(TOTALCO!D779="", "",TOTALCO!D779)</f>
        <v/>
      </c>
      <c r="E254" s="12" t="str">
        <f>IF(TOTALCO!E779="", "",TOTALCO!E779)</f>
        <v/>
      </c>
      <c r="F254" s="12" t="str">
        <f>IF(TOTALCO!F779="", "",TOTALCO!F779)</f>
        <v/>
      </c>
      <c r="G254" s="12" t="str">
        <f>IF(TOTALCO!G779="", "",TOTALCO!G779)</f>
        <v/>
      </c>
      <c r="H254" s="12" t="str">
        <f>IF(TOTALCO!H779="", "",TOTALCO!H779)</f>
        <v/>
      </c>
      <c r="I254" s="12" t="str">
        <f>IF(TOTALCO!I779="", "",TOTALCO!I779)</f>
        <v/>
      </c>
      <c r="J254" s="12" t="str">
        <f>IF(TOTALCO!J779="", "",TOTALCO!J779)</f>
        <v/>
      </c>
      <c r="K254" s="12" t="str">
        <f>IF(TOTALCO!K779="", "",TOTALCO!K779)</f>
        <v/>
      </c>
      <c r="L254" s="12" t="str">
        <f>IF(TOTALCO!L779="", "",TOTALCO!L779)</f>
        <v/>
      </c>
      <c r="M254" s="12" t="str">
        <f>IF(TOTALCO!M779="", "",TOTALCO!M779)</f>
        <v/>
      </c>
      <c r="N254" s="12" t="str">
        <f>IF(TOTALCO!N779="", "",TOTALCO!N779)</f>
        <v/>
      </c>
      <c r="O254" s="12" t="str">
        <f>IF(TOTALCO!O779="", "",TOTALCO!O779)</f>
        <v/>
      </c>
      <c r="P254" s="12" t="str">
        <f>IF(TOTALCO!P779="", "",TOTALCO!P779)</f>
        <v/>
      </c>
      <c r="Q254" s="12"/>
      <c r="R254" s="13"/>
    </row>
    <row r="255" spans="1:18" ht="15" x14ac:dyDescent="0.2">
      <c r="A255" s="382" t="str">
        <f>IF(TOTALCO!A780="", "",TOTALCO!A780)</f>
        <v/>
      </c>
      <c r="B255" s="4" t="str">
        <f>IF(TOTALCO!B780="", "",TOTALCO!B780)</f>
        <v xml:space="preserve"> TRANSMISSION PLANT</v>
      </c>
      <c r="C255" s="4" t="str">
        <f>IF(TOTALCO!C780="", "",TOTALCO!C780)</f>
        <v/>
      </c>
      <c r="D255" s="12" t="str">
        <f>IF(TOTALCO!D780="", "",TOTALCO!D780)</f>
        <v/>
      </c>
      <c r="E255" s="12" t="str">
        <f>IF(TOTALCO!E780="", "",TOTALCO!E780)</f>
        <v/>
      </c>
      <c r="F255" s="12" t="str">
        <f>IF(TOTALCO!F780="", "",TOTALCO!F780)</f>
        <v/>
      </c>
      <c r="G255" s="12" t="str">
        <f>IF(TOTALCO!G780="", "",TOTALCO!G780)</f>
        <v/>
      </c>
      <c r="H255" s="12" t="str">
        <f>IF(TOTALCO!H780="", "",TOTALCO!H780)</f>
        <v/>
      </c>
      <c r="I255" s="12" t="str">
        <f>IF(TOTALCO!I780="", "",TOTALCO!I780)</f>
        <v/>
      </c>
      <c r="J255" s="12" t="str">
        <f>IF(TOTALCO!J780="", "",TOTALCO!J780)</f>
        <v/>
      </c>
      <c r="K255" s="12" t="str">
        <f>IF(TOTALCO!K780="", "",TOTALCO!K780)</f>
        <v/>
      </c>
      <c r="L255" s="12" t="str">
        <f>IF(TOTALCO!L780="", "",TOTALCO!L780)</f>
        <v/>
      </c>
      <c r="M255" s="12" t="str">
        <f>IF(TOTALCO!M780="", "",TOTALCO!M780)</f>
        <v/>
      </c>
      <c r="N255" s="12" t="str">
        <f>IF(TOTALCO!N780="", "",TOTALCO!N780)</f>
        <v/>
      </c>
      <c r="O255" s="12" t="str">
        <f>IF(TOTALCO!O780="", "",TOTALCO!O780)</f>
        <v/>
      </c>
      <c r="P255" s="12" t="str">
        <f>IF(TOTALCO!P780="", "",TOTALCO!P780)</f>
        <v/>
      </c>
      <c r="Q255" s="12"/>
      <c r="R255" s="13"/>
    </row>
    <row r="256" spans="1:18" ht="15" x14ac:dyDescent="0.2">
      <c r="A256" s="382">
        <f>IF(TOTALCO!A781="", "",TOTALCO!A781)</f>
        <v>14</v>
      </c>
      <c r="B256" s="4" t="str">
        <f>IF(TOTALCO!B781="", "",TOTALCO!B781)</f>
        <v xml:space="preserve">  KENTUCKY SYSTEM PROPERTY</v>
      </c>
      <c r="C256" s="4" t="str">
        <f>IF(TOTALCO!C781="", "",TOTALCO!C781)</f>
        <v>KYTRPLT</v>
      </c>
      <c r="D256" s="12">
        <f ca="1">IF(TOTALCO!D781="", "",TOTALCO!D781)</f>
        <v>296820640.15297103</v>
      </c>
      <c r="E256" s="12" t="str">
        <f>IF(TOTALCO!E781="", "",TOTALCO!E781)</f>
        <v/>
      </c>
      <c r="F256" s="12">
        <f ca="1">IF(TOTALCO!F781="", "",TOTALCO!F781)</f>
        <v>254981612.51285821</v>
      </c>
      <c r="G256" s="12" t="str">
        <f>IF(TOTALCO!G781="", "",TOTALCO!G781)</f>
        <v/>
      </c>
      <c r="H256" s="12">
        <f ca="1">IF(TOTALCO!H781="", "",TOTALCO!H781)</f>
        <v>15550572.166463915</v>
      </c>
      <c r="I256" s="12">
        <f ca="1">IF(TOTALCO!I781="", "",TOTALCO!I781)</f>
        <v>26288455.473648921</v>
      </c>
      <c r="J256" s="12" t="str">
        <f>IF(TOTALCO!J781="", "",TOTALCO!J781)</f>
        <v/>
      </c>
      <c r="K256" s="12" t="str">
        <f>IF(TOTALCO!K781="", "",TOTALCO!K781)</f>
        <v/>
      </c>
      <c r="L256" s="12">
        <f ca="1">IF(TOTALCO!L781="", "",TOTALCO!L781)</f>
        <v>2254.4885874421084</v>
      </c>
      <c r="M256" s="12" t="str">
        <f>IF(TOTALCO!M781="", "",TOTALCO!M781)</f>
        <v/>
      </c>
      <c r="N256" s="12">
        <f ca="1">IF(TOTALCO!N781="", "",TOTALCO!N781)</f>
        <v>26286200.985061478</v>
      </c>
      <c r="O256" s="12">
        <f ca="1">IF(TOTALCO!O781="", "",TOTALCO!O781)</f>
        <v>8201961.6479660133</v>
      </c>
      <c r="P256" s="12">
        <f ca="1">IF(TOTALCO!P781="", "",TOTALCO!P781)</f>
        <v>18084239.337095466</v>
      </c>
      <c r="Q256" s="12"/>
      <c r="R256" s="13"/>
    </row>
    <row r="257" spans="1:18" ht="15" x14ac:dyDescent="0.2">
      <c r="A257" s="382">
        <f>IF(TOTALCO!A782="", "",TOTALCO!A782)</f>
        <v>15</v>
      </c>
      <c r="B257" s="4" t="str">
        <f>IF(TOTALCO!B782="", "",TOTALCO!B782)</f>
        <v xml:space="preserve">  VIRGINIA PROPERTY</v>
      </c>
      <c r="C257" s="4" t="str">
        <f>IF(TOTALCO!C782="", "",TOTALCO!C782)</f>
        <v>TRPLTVA</v>
      </c>
      <c r="D257" s="12">
        <f ca="1">IF(TOTALCO!D782="", "",TOTALCO!D782)</f>
        <v>27212125.097029004</v>
      </c>
      <c r="E257" s="12" t="str">
        <f>IF(TOTALCO!E782="", "",TOTALCO!E782)</f>
        <v/>
      </c>
      <c r="F257" s="12">
        <f ca="1">IF(TOTALCO!F782="", "",TOTALCO!F782)</f>
        <v>3872986.8546178187</v>
      </c>
      <c r="G257" s="12" t="str">
        <f>IF(TOTALCO!G782="", "",TOTALCO!G782)</f>
        <v/>
      </c>
      <c r="H257" s="12">
        <f ca="1">IF(TOTALCO!H782="", "",TOTALCO!H782)</f>
        <v>22962328.923031393</v>
      </c>
      <c r="I257" s="12">
        <f ca="1">IF(TOTALCO!I782="", "",TOTALCO!I782)</f>
        <v>376809.31937978999</v>
      </c>
      <c r="J257" s="12" t="str">
        <f>IF(TOTALCO!J782="", "",TOTALCO!J782)</f>
        <v/>
      </c>
      <c r="K257" s="12" t="str">
        <f>IF(TOTALCO!K782="", "",TOTALCO!K782)</f>
        <v/>
      </c>
      <c r="L257" s="12">
        <f ca="1">IF(TOTALCO!L782="", "",TOTALCO!L782)</f>
        <v>34.244056177222824</v>
      </c>
      <c r="M257" s="12" t="str">
        <f>IF(TOTALCO!M782="", "",TOTALCO!M782)</f>
        <v/>
      </c>
      <c r="N257" s="12">
        <f ca="1">IF(TOTALCO!N782="", "",TOTALCO!N782)</f>
        <v>376775.07532361278</v>
      </c>
      <c r="O257" s="12">
        <f ca="1">IF(TOTALCO!O782="", "",TOTALCO!O782)</f>
        <v>117563.38314045461</v>
      </c>
      <c r="P257" s="12">
        <f ca="1">IF(TOTALCO!P782="", "",TOTALCO!P782)</f>
        <v>259211.69218315816</v>
      </c>
      <c r="Q257" s="12"/>
      <c r="R257" s="13"/>
    </row>
    <row r="258" spans="1:18" ht="15" x14ac:dyDescent="0.2">
      <c r="A258" s="382">
        <f>IF(TOTALCO!A783="", "",TOTALCO!A783)</f>
        <v>16</v>
      </c>
      <c r="B258" s="4" t="str">
        <f>IF(TOTALCO!B783="", "",TOTALCO!B783)</f>
        <v xml:space="preserve">  FERC-AFUDC PRE</v>
      </c>
      <c r="C258" s="4" t="str">
        <f>IF(TOTALCO!C783="", "",TOTALCO!C783)</f>
        <v>DEMFERCT</v>
      </c>
      <c r="D258" s="12">
        <f ca="1">IF(TOTALCO!D783="", "",TOTALCO!D783)</f>
        <v>2585483.5</v>
      </c>
      <c r="E258" s="12" t="str">
        <f>IF(TOTALCO!E783="", "",TOTALCO!E783)</f>
        <v/>
      </c>
      <c r="F258" s="12">
        <f ca="1">IF(TOTALCO!F783="", "",TOTALCO!F783)</f>
        <v>0</v>
      </c>
      <c r="G258" s="12" t="str">
        <f>IF(TOTALCO!G783="", "",TOTALCO!G783)</f>
        <v/>
      </c>
      <c r="H258" s="12">
        <f ca="1">IF(TOTALCO!H783="", "",TOTALCO!H783)</f>
        <v>977040.70085362403</v>
      </c>
      <c r="I258" s="12">
        <f ca="1">IF(TOTALCO!I783="", "",TOTALCO!I783)</f>
        <v>1608442.7991463759</v>
      </c>
      <c r="J258" s="12" t="str">
        <f>IF(TOTALCO!J783="", "",TOTALCO!J783)</f>
        <v/>
      </c>
      <c r="K258" s="12" t="str">
        <f>IF(TOTALCO!K783="", "",TOTALCO!K783)</f>
        <v/>
      </c>
      <c r="L258" s="12">
        <f ca="1">IF(TOTALCO!L783="", "",TOTALCO!L783)</f>
        <v>0</v>
      </c>
      <c r="M258" s="12" t="str">
        <f>IF(TOTALCO!M783="", "",TOTALCO!M783)</f>
        <v/>
      </c>
      <c r="N258" s="12">
        <f ca="1">IF(TOTALCO!N783="", "",TOTALCO!N783)</f>
        <v>1608442.7991463759</v>
      </c>
      <c r="O258" s="12">
        <f ca="1">IF(TOTALCO!O783="", "",TOTALCO!O783)</f>
        <v>501874.96318098414</v>
      </c>
      <c r="P258" s="12">
        <f ca="1">IF(TOTALCO!P783="", "",TOTALCO!P783)</f>
        <v>1106567.8359653917</v>
      </c>
      <c r="Q258" s="12"/>
      <c r="R258" s="13"/>
    </row>
    <row r="259" spans="1:18" ht="15" x14ac:dyDescent="0.2">
      <c r="A259" s="382">
        <f>IF(TOTALCO!A784="", "",TOTALCO!A784)</f>
        <v>17</v>
      </c>
      <c r="B259" s="4" t="str">
        <f>IF(TOTALCO!B784="", "",TOTALCO!B784)</f>
        <v xml:space="preserve">  FERC-AFUDC POST</v>
      </c>
      <c r="C259" s="4" t="str">
        <f>IF(TOTALCO!C784="", "",TOTALCO!C784)</f>
        <v>DFERCTP</v>
      </c>
      <c r="D259" s="12">
        <f ca="1">IF(TOTALCO!D784="", "",TOTALCO!D784)</f>
        <v>166226.5</v>
      </c>
      <c r="E259" s="12" t="str">
        <f>IF(TOTALCO!E784="", "",TOTALCO!E784)</f>
        <v/>
      </c>
      <c r="F259" s="12">
        <f ca="1">IF(TOTALCO!F784="", "",TOTALCO!F784)</f>
        <v>0</v>
      </c>
      <c r="G259" s="12" t="str">
        <f>IF(TOTALCO!G784="", "",TOTALCO!G784)</f>
        <v/>
      </c>
      <c r="H259" s="12">
        <f ca="1">IF(TOTALCO!H784="", "",TOTALCO!H784)</f>
        <v>0</v>
      </c>
      <c r="I259" s="12">
        <f ca="1">IF(TOTALCO!I784="", "",TOTALCO!I784)</f>
        <v>166226.5</v>
      </c>
      <c r="J259" s="12" t="str">
        <f>IF(TOTALCO!J784="", "",TOTALCO!J784)</f>
        <v/>
      </c>
      <c r="K259" s="12" t="str">
        <f>IF(TOTALCO!K784="", "",TOTALCO!K784)</f>
        <v/>
      </c>
      <c r="L259" s="12">
        <f ca="1">IF(TOTALCO!L784="", "",TOTALCO!L784)</f>
        <v>0</v>
      </c>
      <c r="M259" s="12" t="str">
        <f>IF(TOTALCO!M784="", "",TOTALCO!M784)</f>
        <v/>
      </c>
      <c r="N259" s="12">
        <f ca="1">IF(TOTALCO!N784="", "",TOTALCO!N784)</f>
        <v>166226.5</v>
      </c>
      <c r="O259" s="12">
        <f ca="1">IF(TOTALCO!O784="", "",TOTALCO!O784)</f>
        <v>51866.885543880504</v>
      </c>
      <c r="P259" s="12">
        <f ca="1">IF(TOTALCO!P784="", "",TOTALCO!P784)</f>
        <v>114359.61445611948</v>
      </c>
      <c r="Q259" s="12"/>
      <c r="R259" s="13"/>
    </row>
    <row r="260" spans="1:18" ht="15" x14ac:dyDescent="0.2">
      <c r="A260" s="382">
        <f>IF(TOTALCO!A785="", "",TOTALCO!A785)</f>
        <v>18</v>
      </c>
      <c r="B260" s="4" t="str">
        <f>IF(TOTALCO!B785="", "",TOTALCO!B785)</f>
        <v xml:space="preserve"> TOTAL TRANSMISSION PLANT</v>
      </c>
      <c r="C260" s="4" t="str">
        <f>IF(TOTALCO!C785="", "",TOTALCO!C785)</f>
        <v/>
      </c>
      <c r="D260" s="12">
        <f ca="1">IF(TOTALCO!D785="", "",TOTALCO!D785)</f>
        <v>326784475.25</v>
      </c>
      <c r="E260" s="12" t="str">
        <f>IF(TOTALCO!E785="", "",TOTALCO!E785)</f>
        <v/>
      </c>
      <c r="F260" s="12">
        <f ca="1">IF(TOTALCO!F785="", "",TOTALCO!F785)</f>
        <v>258854599.36747602</v>
      </c>
      <c r="G260" s="12" t="str">
        <f>IF(TOTALCO!G785="", "",TOTALCO!G785)</f>
        <v/>
      </c>
      <c r="H260" s="12">
        <f ca="1">IF(TOTALCO!H785="", "",TOTALCO!H785)</f>
        <v>39489941.790348932</v>
      </c>
      <c r="I260" s="12">
        <f ca="1">IF(TOTALCO!I785="", "",TOTALCO!I785)</f>
        <v>28439934.092175089</v>
      </c>
      <c r="J260" s="12" t="str">
        <f>IF(TOTALCO!J785="", "",TOTALCO!J785)</f>
        <v/>
      </c>
      <c r="K260" s="12" t="str">
        <f>IF(TOTALCO!K785="", "",TOTALCO!K785)</f>
        <v/>
      </c>
      <c r="L260" s="12">
        <f ca="1">IF(TOTALCO!L785="", "",TOTALCO!L785)</f>
        <v>2288.7326436193312</v>
      </c>
      <c r="M260" s="12" t="str">
        <f>IF(TOTALCO!M785="", "",TOTALCO!M785)</f>
        <v/>
      </c>
      <c r="N260" s="12">
        <f ca="1">IF(TOTALCO!N785="", "",TOTALCO!N785)</f>
        <v>28437645.35953147</v>
      </c>
      <c r="O260" s="12">
        <f ca="1">IF(TOTALCO!O785="", "",TOTALCO!O785)</f>
        <v>8873266.8798313327</v>
      </c>
      <c r="P260" s="12">
        <f ca="1">IF(TOTALCO!P785="", "",TOTALCO!P785)</f>
        <v>19564378.479700137</v>
      </c>
      <c r="Q260" s="12"/>
      <c r="R260" s="13"/>
    </row>
    <row r="261" spans="1:18" ht="15" x14ac:dyDescent="0.2">
      <c r="A261" s="382" t="str">
        <f>IF(TOTALCO!A786="", "",TOTALCO!A786)</f>
        <v/>
      </c>
      <c r="B261" s="4" t="str">
        <f>IF(TOTALCO!B786="", "",TOTALCO!B786)</f>
        <v/>
      </c>
      <c r="C261" s="4" t="str">
        <f>IF(TOTALCO!C786="", "",TOTALCO!C786)</f>
        <v/>
      </c>
      <c r="D261" s="12" t="str">
        <f>IF(TOTALCO!D786="", "",TOTALCO!D786)</f>
        <v/>
      </c>
      <c r="E261" s="12" t="str">
        <f>IF(TOTALCO!E786="", "",TOTALCO!E786)</f>
        <v/>
      </c>
      <c r="F261" s="12" t="str">
        <f>IF(TOTALCO!F786="", "",TOTALCO!F786)</f>
        <v/>
      </c>
      <c r="G261" s="12" t="str">
        <f>IF(TOTALCO!G786="", "",TOTALCO!G786)</f>
        <v/>
      </c>
      <c r="H261" s="12" t="str">
        <f>IF(TOTALCO!H786="", "",TOTALCO!H786)</f>
        <v/>
      </c>
      <c r="I261" s="12" t="str">
        <f>IF(TOTALCO!I786="", "",TOTALCO!I786)</f>
        <v/>
      </c>
      <c r="J261" s="12" t="str">
        <f>IF(TOTALCO!J786="", "",TOTALCO!J786)</f>
        <v/>
      </c>
      <c r="K261" s="12" t="str">
        <f>IF(TOTALCO!K786="", "",TOTALCO!K786)</f>
        <v/>
      </c>
      <c r="L261" s="12" t="str">
        <f>IF(TOTALCO!L786="", "",TOTALCO!L786)</f>
        <v/>
      </c>
      <c r="M261" s="12" t="str">
        <f>IF(TOTALCO!M786="", "",TOTALCO!M786)</f>
        <v/>
      </c>
      <c r="N261" s="12" t="str">
        <f>IF(TOTALCO!N786="", "",TOTALCO!N786)</f>
        <v/>
      </c>
      <c r="O261" s="12" t="str">
        <f>IF(TOTALCO!O786="", "",TOTALCO!O786)</f>
        <v/>
      </c>
      <c r="P261" s="12" t="str">
        <f>IF(TOTALCO!P786="", "",TOTALCO!P786)</f>
        <v/>
      </c>
      <c r="Q261" s="12"/>
      <c r="R261" s="13"/>
    </row>
    <row r="262" spans="1:18" ht="15" x14ac:dyDescent="0.2">
      <c r="A262" s="382">
        <f>IF(TOTALCO!A787="", "",TOTALCO!A787)</f>
        <v>19</v>
      </c>
      <c r="B262" s="4" t="str">
        <f>IF(TOTALCO!B787="", "",TOTALCO!B787)</f>
        <v xml:space="preserve"> DISTRIBUTION PLANT-VA &amp; TN </v>
      </c>
      <c r="C262" s="4" t="str">
        <f>IF(TOTALCO!C787="", "",TOTALCO!C787)</f>
        <v>DIRACDEP</v>
      </c>
      <c r="D262" s="12">
        <f ca="1">IF(TOTALCO!D787="", "",TOTALCO!D787)</f>
        <v>37401886.039999999</v>
      </c>
      <c r="E262" s="12" t="str">
        <f>IF(TOTALCO!E787="", "",TOTALCO!E787)</f>
        <v/>
      </c>
      <c r="F262" s="12">
        <f ca="1">IF(TOTALCO!F787="", "",TOTALCO!F787)</f>
        <v>0</v>
      </c>
      <c r="G262" s="12" t="str">
        <f>IF(TOTALCO!G787="", "",TOTALCO!G787)</f>
        <v/>
      </c>
      <c r="H262" s="12">
        <f ca="1">IF(TOTALCO!H787="", "",TOTALCO!H787)</f>
        <v>37260617.079999998</v>
      </c>
      <c r="I262" s="12">
        <f ca="1">IF(TOTALCO!I787="", "",TOTALCO!I787)</f>
        <v>141268.96</v>
      </c>
      <c r="J262" s="12" t="str">
        <f>IF(TOTALCO!J787="", "",TOTALCO!J787)</f>
        <v/>
      </c>
      <c r="K262" s="12" t="str">
        <f>IF(TOTALCO!K787="", "",TOTALCO!K787)</f>
        <v/>
      </c>
      <c r="L262" s="12">
        <f ca="1">IF(TOTALCO!L787="", "",TOTALCO!L787)</f>
        <v>141268.96</v>
      </c>
      <c r="M262" s="12" t="str">
        <f>IF(TOTALCO!M787="", "",TOTALCO!M787)</f>
        <v/>
      </c>
      <c r="N262" s="12">
        <f ca="1">IF(TOTALCO!N787="", "",TOTALCO!N787)</f>
        <v>0</v>
      </c>
      <c r="O262" s="12">
        <f ca="1">IF(TOTALCO!O787="", "",TOTALCO!O787)</f>
        <v>0</v>
      </c>
      <c r="P262" s="12">
        <f ca="1">IF(TOTALCO!P787="", "",TOTALCO!P787)</f>
        <v>0</v>
      </c>
      <c r="Q262" s="12"/>
      <c r="R262" s="13"/>
    </row>
    <row r="263" spans="1:18" ht="15" x14ac:dyDescent="0.2">
      <c r="A263" s="382">
        <f>IF(TOTALCO!A788="", "",TOTALCO!A788)</f>
        <v>20</v>
      </c>
      <c r="B263" s="4" t="str">
        <f>IF(TOTALCO!B788="", "",TOTALCO!B788)</f>
        <v xml:space="preserve"> DISTRIBUTION PLANT-KY &amp; FERC</v>
      </c>
      <c r="C263" s="4" t="str">
        <f>IF(TOTALCO!C788="", "",TOTALCO!C788)</f>
        <v>DISTPLTKF</v>
      </c>
      <c r="D263" s="12">
        <f ca="1">IF(TOTALCO!D788="", "",TOTALCO!D788)</f>
        <v>527227586.80000001</v>
      </c>
      <c r="E263" s="12" t="str">
        <f>IF(TOTALCO!E788="", "",TOTALCO!E788)</f>
        <v/>
      </c>
      <c r="F263" s="12">
        <f ca="1">IF(TOTALCO!F788="", "",TOTALCO!F788)</f>
        <v>525543760.41339171</v>
      </c>
      <c r="G263" s="12" t="str">
        <f>IF(TOTALCO!G788="", "",TOTALCO!G788)</f>
        <v/>
      </c>
      <c r="H263" s="12">
        <f ca="1">IF(TOTALCO!H788="", "",TOTALCO!H788)</f>
        <v>0</v>
      </c>
      <c r="I263" s="12">
        <f ca="1">IF(TOTALCO!I788="", "",TOTALCO!I788)</f>
        <v>1683826.3866083277</v>
      </c>
      <c r="J263" s="12" t="str">
        <f>IF(TOTALCO!J788="", "",TOTALCO!J788)</f>
        <v/>
      </c>
      <c r="K263" s="12" t="str">
        <f>IF(TOTALCO!K788="", "",TOTALCO!K788)</f>
        <v/>
      </c>
      <c r="L263" s="12">
        <f ca="1">IF(TOTALCO!L788="", "",TOTALCO!L788)</f>
        <v>0</v>
      </c>
      <c r="M263" s="12" t="str">
        <f>IF(TOTALCO!M788="", "",TOTALCO!M788)</f>
        <v/>
      </c>
      <c r="N263" s="12">
        <f ca="1">IF(TOTALCO!N788="", "",TOTALCO!N788)</f>
        <v>1683826.3866083277</v>
      </c>
      <c r="O263" s="12">
        <f ca="1">IF(TOTALCO!O788="", "",TOTALCO!O788)</f>
        <v>1446981.3739916002</v>
      </c>
      <c r="P263" s="12">
        <f ca="1">IF(TOTALCO!P788="", "",TOTALCO!P788)</f>
        <v>236845.01261672738</v>
      </c>
      <c r="Q263" s="12"/>
      <c r="R263" s="13"/>
    </row>
    <row r="264" spans="1:18" ht="15" x14ac:dyDescent="0.2">
      <c r="A264" s="382">
        <f>IF(TOTALCO!A789="", "",TOTALCO!A789)</f>
        <v>21</v>
      </c>
      <c r="B264" s="4" t="str">
        <f>IF(TOTALCO!B789="", "",TOTALCO!B789)</f>
        <v xml:space="preserve"> TOTAL DISTRIBUTION PLANT</v>
      </c>
      <c r="C264" s="4" t="str">
        <f>IF(TOTALCO!C789="", "",TOTALCO!C789)</f>
        <v/>
      </c>
      <c r="D264" s="12">
        <f ca="1">IF(TOTALCO!D789="", "",TOTALCO!D789)</f>
        <v>564629472.84000003</v>
      </c>
      <c r="E264" s="12" t="str">
        <f>IF(TOTALCO!E789="", "",TOTALCO!E789)</f>
        <v/>
      </c>
      <c r="F264" s="12">
        <f ca="1">IF(TOTALCO!F789="", "",TOTALCO!F789)</f>
        <v>525543760.41339171</v>
      </c>
      <c r="G264" s="12" t="str">
        <f>IF(TOTALCO!G789="", "",TOTALCO!G789)</f>
        <v/>
      </c>
      <c r="H264" s="12">
        <f ca="1">IF(TOTALCO!H789="", "",TOTALCO!H789)</f>
        <v>37260617.079999998</v>
      </c>
      <c r="I264" s="12">
        <f ca="1">IF(TOTALCO!I789="", "",TOTALCO!I789)</f>
        <v>1825095.3466083277</v>
      </c>
      <c r="J264" s="12" t="str">
        <f>IF(TOTALCO!J789="", "",TOTALCO!J789)</f>
        <v/>
      </c>
      <c r="K264" s="12" t="str">
        <f>IF(TOTALCO!K789="", "",TOTALCO!K789)</f>
        <v/>
      </c>
      <c r="L264" s="12">
        <f ca="1">IF(TOTALCO!L789="", "",TOTALCO!L789)</f>
        <v>141268.96</v>
      </c>
      <c r="M264" s="12" t="str">
        <f>IF(TOTALCO!M789="", "",TOTALCO!M789)</f>
        <v/>
      </c>
      <c r="N264" s="12">
        <f ca="1">IF(TOTALCO!N789="", "",TOTALCO!N789)</f>
        <v>1683826.3866083277</v>
      </c>
      <c r="O264" s="12">
        <f ca="1">IF(TOTALCO!O789="", "",TOTALCO!O789)</f>
        <v>1446981.3739916002</v>
      </c>
      <c r="P264" s="12">
        <f ca="1">IF(TOTALCO!P789="", "",TOTALCO!P789)</f>
        <v>236845.01261672738</v>
      </c>
      <c r="Q264" s="12"/>
      <c r="R264" s="13"/>
    </row>
    <row r="265" spans="1:18" ht="15" x14ac:dyDescent="0.2">
      <c r="A265" s="382" t="str">
        <f>IF(TOTALCO!A790="", "",TOTALCO!A790)</f>
        <v/>
      </c>
      <c r="B265" s="4" t="str">
        <f>IF(TOTALCO!B790="", "",TOTALCO!B790)</f>
        <v/>
      </c>
      <c r="C265" s="4" t="str">
        <f>IF(TOTALCO!C790="", "",TOTALCO!C790)</f>
        <v/>
      </c>
      <c r="D265" s="12" t="str">
        <f>IF(TOTALCO!D790="", "",TOTALCO!D790)</f>
        <v/>
      </c>
      <c r="E265" s="12" t="str">
        <f>IF(TOTALCO!E790="", "",TOTALCO!E790)</f>
        <v/>
      </c>
      <c r="F265" s="12" t="str">
        <f>IF(TOTALCO!F790="", "",TOTALCO!F790)</f>
        <v/>
      </c>
      <c r="G265" s="12" t="str">
        <f>IF(TOTALCO!G790="", "",TOTALCO!G790)</f>
        <v/>
      </c>
      <c r="H265" s="12" t="str">
        <f>IF(TOTALCO!H790="", "",TOTALCO!H790)</f>
        <v/>
      </c>
      <c r="I265" s="12" t="str">
        <f>IF(TOTALCO!I790="", "",TOTALCO!I790)</f>
        <v/>
      </c>
      <c r="J265" s="12" t="str">
        <f>IF(TOTALCO!J790="", "",TOTALCO!J790)</f>
        <v/>
      </c>
      <c r="K265" s="12" t="str">
        <f>IF(TOTALCO!K790="", "",TOTALCO!K790)</f>
        <v/>
      </c>
      <c r="L265" s="12" t="str">
        <f>IF(TOTALCO!L790="", "",TOTALCO!L790)</f>
        <v/>
      </c>
      <c r="M265" s="12" t="str">
        <f>IF(TOTALCO!M790="", "",TOTALCO!M790)</f>
        <v/>
      </c>
      <c r="N265" s="12" t="str">
        <f>IF(TOTALCO!N790="", "",TOTALCO!N790)</f>
        <v/>
      </c>
      <c r="O265" s="12" t="str">
        <f>IF(TOTALCO!O790="", "",TOTALCO!O790)</f>
        <v/>
      </c>
      <c r="P265" s="12" t="str">
        <f>IF(TOTALCO!P790="", "",TOTALCO!P790)</f>
        <v/>
      </c>
      <c r="Q265" s="12"/>
      <c r="R265" s="13"/>
    </row>
    <row r="266" spans="1:18" ht="15" x14ac:dyDescent="0.2">
      <c r="A266" s="382">
        <f>IF(TOTALCO!A791="", "",TOTALCO!A791)</f>
        <v>22</v>
      </c>
      <c r="B266" s="4" t="str">
        <f>IF(TOTALCO!B791="", "",TOTALCO!B791)</f>
        <v xml:space="preserve"> GENERAL PLANT</v>
      </c>
      <c r="C266" s="4" t="str">
        <f>IF(TOTALCO!C791="", "",TOTALCO!C791)</f>
        <v>GENPLT</v>
      </c>
      <c r="D266" s="12">
        <f ca="1">IF(TOTALCO!D791="", "",TOTALCO!D791)</f>
        <v>55605423.129999988</v>
      </c>
      <c r="E266" s="12" t="str">
        <f>IF(TOTALCO!E791="", "",TOTALCO!E791)</f>
        <v/>
      </c>
      <c r="F266" s="12">
        <f ca="1">IF(TOTALCO!F791="", "",TOTALCO!F791)</f>
        <v>49454285.943987392</v>
      </c>
      <c r="G266" s="12" t="str">
        <f>IF(TOTALCO!G791="", "",TOTALCO!G791)</f>
        <v/>
      </c>
      <c r="H266" s="12">
        <f ca="1">IF(TOTALCO!H791="", "",TOTALCO!H791)</f>
        <v>3046787.1675292323</v>
      </c>
      <c r="I266" s="12">
        <f ca="1">IF(TOTALCO!I791="", "",TOTALCO!I791)</f>
        <v>3104350.0184833664</v>
      </c>
      <c r="J266" s="12" t="str">
        <f>IF(TOTALCO!J791="", "",TOTALCO!J791)</f>
        <v/>
      </c>
      <c r="K266" s="12" t="str">
        <f>IF(TOTALCO!K791="", "",TOTALCO!K791)</f>
        <v/>
      </c>
      <c r="L266" s="12">
        <f ca="1">IF(TOTALCO!L791="", "",TOTALCO!L791)</f>
        <v>1707.0103552906392</v>
      </c>
      <c r="M266" s="12" t="str">
        <f>IF(TOTALCO!M791="", "",TOTALCO!M791)</f>
        <v/>
      </c>
      <c r="N266" s="12">
        <f ca="1">IF(TOTALCO!N791="", "",TOTALCO!N791)</f>
        <v>3102643.0081280759</v>
      </c>
      <c r="O266" s="12">
        <f ca="1">IF(TOTALCO!O791="", "",TOTALCO!O791)</f>
        <v>1007932.5614127105</v>
      </c>
      <c r="P266" s="12">
        <f ca="1">IF(TOTALCO!P791="", "",TOTALCO!P791)</f>
        <v>2094710.4467153654</v>
      </c>
      <c r="Q266" s="12"/>
      <c r="R266" s="13"/>
    </row>
    <row r="267" spans="1:18" ht="15" x14ac:dyDescent="0.2">
      <c r="A267" s="382" t="str">
        <f>IF(TOTALCO!A792="", "",TOTALCO!A792)</f>
        <v/>
      </c>
      <c r="B267" s="4" t="str">
        <f>IF(TOTALCO!B792="", "",TOTALCO!B792)</f>
        <v/>
      </c>
      <c r="C267" s="4" t="str">
        <f>IF(TOTALCO!C792="", "",TOTALCO!C792)</f>
        <v/>
      </c>
      <c r="D267" s="12" t="str">
        <f>IF(TOTALCO!D792="", "",TOTALCO!D792)</f>
        <v/>
      </c>
      <c r="E267" s="12" t="str">
        <f>IF(TOTALCO!E792="", "",TOTALCO!E792)</f>
        <v/>
      </c>
      <c r="F267" s="12" t="str">
        <f>IF(TOTALCO!F792="", "",TOTALCO!F792)</f>
        <v/>
      </c>
      <c r="G267" s="12" t="str">
        <f>IF(TOTALCO!G792="", "",TOTALCO!G792)</f>
        <v/>
      </c>
      <c r="H267" s="12" t="str">
        <f>IF(TOTALCO!H792="", "",TOTALCO!H792)</f>
        <v/>
      </c>
      <c r="I267" s="12" t="str">
        <f>IF(TOTALCO!I792="", "",TOTALCO!I792)</f>
        <v/>
      </c>
      <c r="J267" s="12" t="str">
        <f>IF(TOTALCO!J792="", "",TOTALCO!J792)</f>
        <v/>
      </c>
      <c r="K267" s="12" t="str">
        <f>IF(TOTALCO!K792="", "",TOTALCO!K792)</f>
        <v/>
      </c>
      <c r="L267" s="12" t="str">
        <f>IF(TOTALCO!L792="", "",TOTALCO!L792)</f>
        <v/>
      </c>
      <c r="M267" s="12" t="str">
        <f>IF(TOTALCO!M792="", "",TOTALCO!M792)</f>
        <v/>
      </c>
      <c r="N267" s="12" t="str">
        <f>IF(TOTALCO!N792="", "",TOTALCO!N792)</f>
        <v/>
      </c>
      <c r="O267" s="12" t="str">
        <f>IF(TOTALCO!O792="", "",TOTALCO!O792)</f>
        <v/>
      </c>
      <c r="P267" s="12" t="str">
        <f>IF(TOTALCO!P792="", "",TOTALCO!P792)</f>
        <v/>
      </c>
      <c r="Q267" s="12"/>
      <c r="R267" s="13"/>
    </row>
    <row r="268" spans="1:18" ht="15" x14ac:dyDescent="0.2">
      <c r="A268" s="382">
        <f>IF(TOTALCO!A793="", "",TOTALCO!A793)</f>
        <v>23</v>
      </c>
      <c r="B268" s="4" t="str">
        <f>IF(TOTALCO!B793="", "",TOTALCO!B793)</f>
        <v xml:space="preserve"> INTANGIBLE PLANT-FRANCHISES</v>
      </c>
      <c r="C268" s="4" t="str">
        <f>IF(TOTALCO!C793="", "",TOTALCO!C793)</f>
        <v>PLT302TOT</v>
      </c>
      <c r="D268" s="12">
        <f ca="1">IF(TOTALCO!D793="", "",TOTALCO!D793)</f>
        <v>34534.550000000003</v>
      </c>
      <c r="E268" s="12" t="str">
        <f>IF(TOTALCO!E793="", "",TOTALCO!E793)</f>
        <v/>
      </c>
      <c r="F268" s="12">
        <f ca="1">IF(TOTALCO!F793="", "",TOTALCO!F793)</f>
        <v>34534.550000000003</v>
      </c>
      <c r="G268" s="12" t="str">
        <f>IF(TOTALCO!G793="", "",TOTALCO!G793)</f>
        <v/>
      </c>
      <c r="H268" s="12">
        <f ca="1">IF(TOTALCO!H793="", "",TOTALCO!H793)</f>
        <v>0</v>
      </c>
      <c r="I268" s="12">
        <f ca="1">IF(TOTALCO!I793="", "",TOTALCO!I793)</f>
        <v>0</v>
      </c>
      <c r="J268" s="12" t="str">
        <f>IF(TOTALCO!J793="", "",TOTALCO!J793)</f>
        <v/>
      </c>
      <c r="K268" s="12" t="str">
        <f>IF(TOTALCO!K793="", "",TOTALCO!K793)</f>
        <v/>
      </c>
      <c r="L268" s="12">
        <f ca="1">IF(TOTALCO!L793="", "",TOTALCO!L793)</f>
        <v>0</v>
      </c>
      <c r="M268" s="12" t="str">
        <f>IF(TOTALCO!M793="", "",TOTALCO!M793)</f>
        <v/>
      </c>
      <c r="N268" s="12">
        <f ca="1">IF(TOTALCO!N793="", "",TOTALCO!N793)</f>
        <v>0</v>
      </c>
      <c r="O268" s="12">
        <f ca="1">IF(TOTALCO!O793="", "",TOTALCO!O793)</f>
        <v>0</v>
      </c>
      <c r="P268" s="12">
        <f ca="1">IF(TOTALCO!P793="", "",TOTALCO!P793)</f>
        <v>0</v>
      </c>
      <c r="Q268" s="12"/>
      <c r="R268" s="13"/>
    </row>
    <row r="269" spans="1:18" ht="15" x14ac:dyDescent="0.2">
      <c r="A269" s="382">
        <f>IF(TOTALCO!A794="", "",TOTALCO!A794)</f>
        <v>24</v>
      </c>
      <c r="B269" s="4" t="str">
        <f>IF(TOTALCO!B794="", "",TOTALCO!B794)</f>
        <v xml:space="preserve"> INTANGIBLE PLANT-SOFTWARE</v>
      </c>
      <c r="C269" s="4" t="str">
        <f>IF(TOTALCO!C794="", "",TOTALCO!C794)</f>
        <v>PLT303TOT</v>
      </c>
      <c r="D269" s="12">
        <f ca="1">IF(TOTALCO!D794="", "",TOTALCO!D794)</f>
        <v>19031719.870000001</v>
      </c>
      <c r="E269" s="12" t="str">
        <f>IF(TOTALCO!E794="", "",TOTALCO!E794)</f>
        <v/>
      </c>
      <c r="F269" s="12">
        <f ca="1">IF(TOTALCO!F794="", "",TOTALCO!F794)</f>
        <v>16570803.046553809</v>
      </c>
      <c r="G269" s="12" t="str">
        <f>IF(TOTALCO!G794="", "",TOTALCO!G794)</f>
        <v/>
      </c>
      <c r="H269" s="12">
        <f ca="1">IF(TOTALCO!H794="", "",TOTALCO!H794)</f>
        <v>1130380.1292264219</v>
      </c>
      <c r="I269" s="12">
        <f ca="1">IF(TOTALCO!I794="", "",TOTALCO!I794)</f>
        <v>1330536.6942197701</v>
      </c>
      <c r="J269" s="12" t="str">
        <f>IF(TOTALCO!J794="", "",TOTALCO!J794)</f>
        <v/>
      </c>
      <c r="K269" s="12" t="str">
        <f>IF(TOTALCO!K794="", "",TOTALCO!K794)</f>
        <v/>
      </c>
      <c r="L269" s="12">
        <f ca="1">IF(TOTALCO!L794="", "",TOTALCO!L794)</f>
        <v>600.11499748336064</v>
      </c>
      <c r="M269" s="12" t="str">
        <f>IF(TOTALCO!M794="", "",TOTALCO!M794)</f>
        <v/>
      </c>
      <c r="N269" s="12">
        <f ca="1">IF(TOTALCO!N794="", "",TOTALCO!N794)</f>
        <v>1329936.5792222868</v>
      </c>
      <c r="O269" s="12">
        <f ca="1">IF(TOTALCO!O794="", "",TOTALCO!O794)</f>
        <v>422269.74460426945</v>
      </c>
      <c r="P269" s="12">
        <f ca="1">IF(TOTALCO!P794="", "",TOTALCO!P794)</f>
        <v>907666.83461801743</v>
      </c>
      <c r="Q269" s="12"/>
      <c r="R269" s="13"/>
    </row>
    <row r="270" spans="1:18" ht="15" x14ac:dyDescent="0.2">
      <c r="A270" s="382" t="str">
        <f>IF(TOTALCO!A795="", "",TOTALCO!A795)</f>
        <v/>
      </c>
      <c r="B270" s="4" t="str">
        <f>IF(TOTALCO!B795="", "",TOTALCO!B795)</f>
        <v/>
      </c>
      <c r="C270" s="4" t="str">
        <f>IF(TOTALCO!C795="", "",TOTALCO!C795)</f>
        <v/>
      </c>
      <c r="D270" s="12" t="str">
        <f>IF(TOTALCO!D795="", "",TOTALCO!D795)</f>
        <v/>
      </c>
      <c r="E270" s="12" t="str">
        <f>IF(TOTALCO!E795="", "",TOTALCO!E795)</f>
        <v/>
      </c>
      <c r="F270" s="12" t="str">
        <f>IF(TOTALCO!F795="", "",TOTALCO!F795)</f>
        <v/>
      </c>
      <c r="G270" s="12" t="str">
        <f>IF(TOTALCO!G795="", "",TOTALCO!G795)</f>
        <v/>
      </c>
      <c r="H270" s="12" t="str">
        <f>IF(TOTALCO!H795="", "",TOTALCO!H795)</f>
        <v/>
      </c>
      <c r="I270" s="12" t="str">
        <f>IF(TOTALCO!I795="", "",TOTALCO!I795)</f>
        <v/>
      </c>
      <c r="J270" s="12" t="str">
        <f>IF(TOTALCO!J795="", "",TOTALCO!J795)</f>
        <v/>
      </c>
      <c r="K270" s="12" t="str">
        <f>IF(TOTALCO!K795="", "",TOTALCO!K795)</f>
        <v/>
      </c>
      <c r="L270" s="12" t="str">
        <f>IF(TOTALCO!L795="", "",TOTALCO!L795)</f>
        <v/>
      </c>
      <c r="M270" s="12" t="str">
        <f>IF(TOTALCO!M795="", "",TOTALCO!M795)</f>
        <v/>
      </c>
      <c r="N270" s="12" t="str">
        <f>IF(TOTALCO!N795="", "",TOTALCO!N795)</f>
        <v/>
      </c>
      <c r="O270" s="12" t="str">
        <f>IF(TOTALCO!O795="", "",TOTALCO!O795)</f>
        <v/>
      </c>
      <c r="P270" s="12" t="str">
        <f>IF(TOTALCO!P795="", "",TOTALCO!P795)</f>
        <v/>
      </c>
      <c r="Q270" s="12"/>
      <c r="R270" s="13"/>
    </row>
    <row r="271" spans="1:18" ht="15" x14ac:dyDescent="0.2">
      <c r="A271" s="382">
        <f>IF(TOTALCO!A796="", "",TOTALCO!A796)</f>
        <v>25</v>
      </c>
      <c r="B271" s="4" t="str">
        <f>IF(TOTALCO!B796="", "",TOTALCO!B796)</f>
        <v>TOTAL DEPRECIATION RESERVE</v>
      </c>
      <c r="C271" s="4" t="str">
        <f>IF(TOTALCO!C796="", "",TOTALCO!C796)</f>
        <v/>
      </c>
      <c r="D271" s="12">
        <f ca="1">IF(TOTALCO!D796="", "",TOTALCO!D796)</f>
        <v>2419286203.2700005</v>
      </c>
      <c r="E271" s="12" t="str">
        <f>IF(TOTALCO!E796="", "",TOTALCO!E796)</f>
        <v/>
      </c>
      <c r="F271" s="12">
        <f ca="1">IF(TOTALCO!F796="", "",TOTALCO!F796)</f>
        <v>2091528460.1268773</v>
      </c>
      <c r="G271" s="12" t="str">
        <f>IF(TOTALCO!G796="", "",TOTALCO!G796)</f>
        <v/>
      </c>
      <c r="H271" s="12">
        <f ca="1">IF(TOTALCO!H796="", "",TOTALCO!H796)</f>
        <v>159664577.96647444</v>
      </c>
      <c r="I271" s="12">
        <f ca="1">IF(TOTALCO!I796="", "",TOTALCO!I796)</f>
        <v>168093165.17664853</v>
      </c>
      <c r="J271" s="12" t="str">
        <f>IF(TOTALCO!J796="", "",TOTALCO!J796)</f>
        <v/>
      </c>
      <c r="K271" s="12" t="str">
        <f>IF(TOTALCO!K796="", "",TOTALCO!K796)</f>
        <v/>
      </c>
      <c r="L271" s="12">
        <f ca="1">IF(TOTALCO!L796="", "",TOTALCO!L796)</f>
        <v>156838.07680747</v>
      </c>
      <c r="M271" s="12" t="str">
        <f>IF(TOTALCO!M796="", "",TOTALCO!M796)</f>
        <v/>
      </c>
      <c r="N271" s="12">
        <f ca="1">IF(TOTALCO!N796="", "",TOTALCO!N796)</f>
        <v>167936327.09984106</v>
      </c>
      <c r="O271" s="12">
        <f ca="1">IF(TOTALCO!O796="", "",TOTALCO!O796)</f>
        <v>53369104.810249016</v>
      </c>
      <c r="P271" s="12">
        <f ca="1">IF(TOTALCO!P796="", "",TOTALCO!P796)</f>
        <v>114567222.28959204</v>
      </c>
      <c r="Q271" s="12"/>
      <c r="R271" s="13"/>
    </row>
    <row r="272" spans="1:18" ht="15" x14ac:dyDescent="0.2">
      <c r="A272" s="382" t="str">
        <f>IF(TOTALCO!A797="", "",TOTALCO!A797)</f>
        <v/>
      </c>
      <c r="B272" s="4" t="str">
        <f>IF(TOTALCO!B797="", "",TOTALCO!B797)</f>
        <v/>
      </c>
      <c r="C272" s="4" t="str">
        <f>IF(TOTALCO!C797="", "",TOTALCO!C797)</f>
        <v/>
      </c>
      <c r="D272" s="12" t="str">
        <f>IF(TOTALCO!D797="", "",TOTALCO!D797)</f>
        <v/>
      </c>
      <c r="E272" s="12" t="str">
        <f>IF(TOTALCO!E797="", "",TOTALCO!E797)</f>
        <v/>
      </c>
      <c r="F272" s="12" t="str">
        <f>IF(TOTALCO!F797="", "",TOTALCO!F797)</f>
        <v/>
      </c>
      <c r="G272" s="12" t="str">
        <f>IF(TOTALCO!G797="", "",TOTALCO!G797)</f>
        <v/>
      </c>
      <c r="H272" s="12" t="str">
        <f>IF(TOTALCO!H797="", "",TOTALCO!H797)</f>
        <v/>
      </c>
      <c r="I272" s="12" t="str">
        <f>IF(TOTALCO!I797="", "",TOTALCO!I797)</f>
        <v/>
      </c>
      <c r="J272" s="12" t="str">
        <f>IF(TOTALCO!J797="", "",TOTALCO!J797)</f>
        <v/>
      </c>
      <c r="K272" s="12" t="str">
        <f>IF(TOTALCO!K797="", "",TOTALCO!K797)</f>
        <v/>
      </c>
      <c r="L272" s="12" t="str">
        <f>IF(TOTALCO!L797="", "",TOTALCO!L797)</f>
        <v/>
      </c>
      <c r="M272" s="12" t="str">
        <f>IF(TOTALCO!M797="", "",TOTALCO!M797)</f>
        <v/>
      </c>
      <c r="N272" s="12" t="str">
        <f>IF(TOTALCO!N797="", "",TOTALCO!N797)</f>
        <v/>
      </c>
      <c r="O272" s="12" t="str">
        <f>IF(TOTALCO!O797="", "",TOTALCO!O797)</f>
        <v/>
      </c>
      <c r="P272" s="12" t="str">
        <f>IF(TOTALCO!P797="", "",TOTALCO!P797)</f>
        <v/>
      </c>
      <c r="Q272" s="12"/>
      <c r="R272" s="13"/>
    </row>
    <row r="273" spans="1:18" ht="15" x14ac:dyDescent="0.2">
      <c r="A273" s="382">
        <f>IF(TOTALCO!A798="", "",TOTALCO!A798)</f>
        <v>26</v>
      </c>
      <c r="B273" s="4" t="str">
        <f>IF(TOTALCO!B798="", "",TOTALCO!B798)</f>
        <v>NET ELECTRIC PLANT IN SERVICE</v>
      </c>
      <c r="C273" s="4" t="str">
        <f>IF(TOTALCO!C798="", "",TOTALCO!C798)</f>
        <v/>
      </c>
      <c r="D273" s="12">
        <f ca="1">IF(TOTALCO!D798="", "",TOTALCO!D798)</f>
        <v>4073283819.250001</v>
      </c>
      <c r="E273" s="12" t="str">
        <f>IF(TOTALCO!E798="", "",TOTALCO!E798)</f>
        <v/>
      </c>
      <c r="F273" s="12">
        <f ca="1">IF(TOTALCO!F798="", "",TOTALCO!F798)</f>
        <v>3561520105.9314809</v>
      </c>
      <c r="G273" s="12" t="str">
        <f>IF(TOTALCO!G798="", "",TOTALCO!G798)</f>
        <v/>
      </c>
      <c r="H273" s="12">
        <f ca="1">IF(TOTALCO!H798="", "",TOTALCO!H798)</f>
        <v>225955270.45836845</v>
      </c>
      <c r="I273" s="12">
        <f ca="1">IF(TOTALCO!I798="", "",TOTALCO!I798)</f>
        <v>285808442.86015201</v>
      </c>
      <c r="J273" s="12" t="str">
        <f>IF(TOTALCO!J798="", "",TOTALCO!J798)</f>
        <v/>
      </c>
      <c r="K273" s="12" t="str">
        <f>IF(TOTALCO!K798="", "",TOTALCO!K798)</f>
        <v/>
      </c>
      <c r="L273" s="12">
        <f ca="1">IF(TOTALCO!L798="", "",TOTALCO!L798)</f>
        <v>47886.199905867747</v>
      </c>
      <c r="M273" s="12" t="str">
        <f>IF(TOTALCO!M798="", "",TOTALCO!M798)</f>
        <v/>
      </c>
      <c r="N273" s="12">
        <f ca="1">IF(TOTALCO!N798="", "",TOTALCO!N798)</f>
        <v>285760556.66024613</v>
      </c>
      <c r="O273" s="12">
        <f ca="1">IF(TOTALCO!O798="", "",TOTALCO!O798)</f>
        <v>90684732.211932525</v>
      </c>
      <c r="P273" s="12">
        <f ca="1">IF(TOTALCO!P798="", "",TOTALCO!P798)</f>
        <v>195075824.44831359</v>
      </c>
      <c r="Q273" s="12"/>
      <c r="R273" s="13"/>
    </row>
    <row r="274" spans="1:18" ht="15" x14ac:dyDescent="0.2">
      <c r="A274" s="382" t="str">
        <f>IF(TOTALCO!A799="", "",TOTALCO!A799)</f>
        <v/>
      </c>
      <c r="B274" s="4" t="str">
        <f>IF(TOTALCO!B799="", "",TOTALCO!B799)</f>
        <v/>
      </c>
      <c r="C274" s="4" t="str">
        <f>IF(TOTALCO!C799="", "",TOTALCO!C799)</f>
        <v/>
      </c>
      <c r="D274" s="12" t="str">
        <f>IF(TOTALCO!D799="", "",TOTALCO!D799)</f>
        <v/>
      </c>
      <c r="E274" s="12" t="str">
        <f>IF(TOTALCO!E799="", "",TOTALCO!E799)</f>
        <v/>
      </c>
      <c r="F274" s="12" t="str">
        <f>IF(TOTALCO!F799="", "",TOTALCO!F799)</f>
        <v/>
      </c>
      <c r="G274" s="12" t="str">
        <f>IF(TOTALCO!G799="", "",TOTALCO!G799)</f>
        <v/>
      </c>
      <c r="H274" s="12" t="str">
        <f>IF(TOTALCO!H799="", "",TOTALCO!H799)</f>
        <v/>
      </c>
      <c r="I274" s="12" t="str">
        <f>IF(TOTALCO!I799="", "",TOTALCO!I799)</f>
        <v/>
      </c>
      <c r="J274" s="12" t="str">
        <f>IF(TOTALCO!J799="", "",TOTALCO!J799)</f>
        <v/>
      </c>
      <c r="K274" s="12" t="str">
        <f>IF(TOTALCO!K799="", "",TOTALCO!K799)</f>
        <v/>
      </c>
      <c r="L274" s="12" t="str">
        <f>IF(TOTALCO!L799="", "",TOTALCO!L799)</f>
        <v/>
      </c>
      <c r="M274" s="12" t="str">
        <f>IF(TOTALCO!M799="", "",TOTALCO!M799)</f>
        <v/>
      </c>
      <c r="N274" s="12" t="str">
        <f>IF(TOTALCO!N799="", "",TOTALCO!N799)</f>
        <v/>
      </c>
      <c r="O274" s="12" t="str">
        <f>IF(TOTALCO!O799="", "",TOTALCO!O799)</f>
        <v/>
      </c>
      <c r="P274" s="12" t="str">
        <f>IF(TOTALCO!P799="", "",TOTALCO!P799)</f>
        <v/>
      </c>
      <c r="Q274" s="12"/>
      <c r="R274" s="13"/>
    </row>
    <row r="275" spans="1:18" ht="15" x14ac:dyDescent="0.2">
      <c r="A275" s="382" t="str">
        <f>IF(TOTALCO!A800="", "",TOTALCO!A800)</f>
        <v/>
      </c>
      <c r="B275" s="4" t="str">
        <f>IF(TOTALCO!B800="", "",TOTALCO!B800)</f>
        <v/>
      </c>
      <c r="C275" s="4" t="str">
        <f>IF(TOTALCO!C800="", "",TOTALCO!C800)</f>
        <v/>
      </c>
      <c r="D275" s="12" t="str">
        <f>IF(TOTALCO!D800="", "",TOTALCO!D800)</f>
        <v/>
      </c>
      <c r="E275" s="12" t="str">
        <f>IF(TOTALCO!E800="", "",TOTALCO!E800)</f>
        <v/>
      </c>
      <c r="F275" s="12" t="str">
        <f>IF(TOTALCO!F800="", "",TOTALCO!F800)</f>
        <v/>
      </c>
      <c r="G275" s="12" t="str">
        <f>IF(TOTALCO!G800="", "",TOTALCO!G800)</f>
        <v/>
      </c>
      <c r="H275" s="12" t="str">
        <f>IF(TOTALCO!H800="", "",TOTALCO!H800)</f>
        <v/>
      </c>
      <c r="I275" s="12" t="str">
        <f>IF(TOTALCO!I800="", "",TOTALCO!I800)</f>
        <v/>
      </c>
      <c r="J275" s="12" t="str">
        <f>IF(TOTALCO!J800="", "",TOTALCO!J800)</f>
        <v/>
      </c>
      <c r="K275" s="12" t="str">
        <f>IF(TOTALCO!K800="", "",TOTALCO!K800)</f>
        <v/>
      </c>
      <c r="L275" s="12" t="str">
        <f>IF(TOTALCO!L800="", "",TOTALCO!L800)</f>
        <v/>
      </c>
      <c r="M275" s="12" t="str">
        <f>IF(TOTALCO!M800="", "",TOTALCO!M800)</f>
        <v/>
      </c>
      <c r="N275" s="12" t="str">
        <f>IF(TOTALCO!N800="", "",TOTALCO!N800)</f>
        <v/>
      </c>
      <c r="O275" s="12" t="str">
        <f>IF(TOTALCO!O800="", "",TOTALCO!O800)</f>
        <v/>
      </c>
      <c r="P275" s="12" t="str">
        <f>IF(TOTALCO!P800="", "",TOTALCO!P800)</f>
        <v/>
      </c>
      <c r="Q275" s="12"/>
      <c r="R275" s="13"/>
    </row>
    <row r="276" spans="1:18" ht="15" x14ac:dyDescent="0.2">
      <c r="A276" s="382" t="str">
        <f>IF(TOTALCO!A801="", "",TOTALCO!A801)</f>
        <v/>
      </c>
      <c r="B276" s="4" t="str">
        <f>IF(TOTALCO!B801="", "",TOTALCO!B801)</f>
        <v>ADDITIONS TO NET PLANT</v>
      </c>
      <c r="C276" s="4" t="str">
        <f>IF(TOTALCO!C801="", "",TOTALCO!C801)</f>
        <v/>
      </c>
      <c r="D276" s="12" t="str">
        <f>IF(TOTALCO!D801="", "",TOTALCO!D801)</f>
        <v/>
      </c>
      <c r="E276" s="12" t="str">
        <f>IF(TOTALCO!E801="", "",TOTALCO!E801)</f>
        <v/>
      </c>
      <c r="F276" s="12" t="str">
        <f>IF(TOTALCO!F801="", "",TOTALCO!F801)</f>
        <v/>
      </c>
      <c r="G276" s="12" t="str">
        <f>IF(TOTALCO!G801="", "",TOTALCO!G801)</f>
        <v/>
      </c>
      <c r="H276" s="12" t="str">
        <f>IF(TOTALCO!H801="", "",TOTALCO!H801)</f>
        <v/>
      </c>
      <c r="I276" s="12" t="str">
        <f>IF(TOTALCO!I801="", "",TOTALCO!I801)</f>
        <v/>
      </c>
      <c r="J276" s="12" t="str">
        <f>IF(TOTALCO!J801="", "",TOTALCO!J801)</f>
        <v/>
      </c>
      <c r="K276" s="12" t="str">
        <f>IF(TOTALCO!K801="", "",TOTALCO!K801)</f>
        <v/>
      </c>
      <c r="L276" s="12" t="str">
        <f>IF(TOTALCO!L801="", "",TOTALCO!L801)</f>
        <v/>
      </c>
      <c r="M276" s="12" t="str">
        <f>IF(TOTALCO!M801="", "",TOTALCO!M801)</f>
        <v/>
      </c>
      <c r="N276" s="12" t="str">
        <f>IF(TOTALCO!N801="", "",TOTALCO!N801)</f>
        <v/>
      </c>
      <c r="O276" s="12" t="str">
        <f>IF(TOTALCO!O801="", "",TOTALCO!O801)</f>
        <v/>
      </c>
      <c r="P276" s="12" t="str">
        <f>IF(TOTALCO!P801="", "",TOTALCO!P801)</f>
        <v/>
      </c>
      <c r="Q276" s="12"/>
      <c r="R276" s="13"/>
    </row>
    <row r="277" spans="1:18" ht="15" x14ac:dyDescent="0.2">
      <c r="A277" s="382" t="str">
        <f>IF(TOTALCO!A802="", "",TOTALCO!A802)</f>
        <v/>
      </c>
      <c r="B277" s="4" t="str">
        <f>IF(TOTALCO!B802="", "",TOTALCO!B802)</f>
        <v/>
      </c>
      <c r="C277" s="4" t="str">
        <f>IF(TOTALCO!C802="", "",TOTALCO!C802)</f>
        <v/>
      </c>
      <c r="D277" s="12" t="str">
        <f>IF(TOTALCO!D802="", "",TOTALCO!D802)</f>
        <v/>
      </c>
      <c r="E277" s="12" t="str">
        <f>IF(TOTALCO!E802="", "",TOTALCO!E802)</f>
        <v/>
      </c>
      <c r="F277" s="12" t="str">
        <f>IF(TOTALCO!F802="", "",TOTALCO!F802)</f>
        <v/>
      </c>
      <c r="G277" s="12" t="str">
        <f>IF(TOTALCO!G802="", "",TOTALCO!G802)</f>
        <v/>
      </c>
      <c r="H277" s="12" t="str">
        <f>IF(TOTALCO!H802="", "",TOTALCO!H802)</f>
        <v/>
      </c>
      <c r="I277" s="12" t="str">
        <f>IF(TOTALCO!I802="", "",TOTALCO!I802)</f>
        <v/>
      </c>
      <c r="J277" s="12" t="str">
        <f>IF(TOTALCO!J802="", "",TOTALCO!J802)</f>
        <v/>
      </c>
      <c r="K277" s="12" t="str">
        <f>IF(TOTALCO!K802="", "",TOTALCO!K802)</f>
        <v/>
      </c>
      <c r="L277" s="12" t="str">
        <f>IF(TOTALCO!L802="", "",TOTALCO!L802)</f>
        <v/>
      </c>
      <c r="M277" s="12" t="str">
        <f>IF(TOTALCO!M802="", "",TOTALCO!M802)</f>
        <v/>
      </c>
      <c r="N277" s="12" t="str">
        <f>IF(TOTALCO!N802="", "",TOTALCO!N802)</f>
        <v/>
      </c>
      <c r="O277" s="12" t="str">
        <f>IF(TOTALCO!O802="", "",TOTALCO!O802)</f>
        <v/>
      </c>
      <c r="P277" s="12" t="str">
        <f>IF(TOTALCO!P802="", "",TOTALCO!P802)</f>
        <v/>
      </c>
      <c r="Q277" s="12"/>
      <c r="R277" s="13"/>
    </row>
    <row r="278" spans="1:18" ht="15" x14ac:dyDescent="0.2">
      <c r="A278" s="382" t="str">
        <f>IF(TOTALCO!A803="", "",TOTALCO!A803)</f>
        <v/>
      </c>
      <c r="B278" s="4" t="str">
        <f>IF(TOTALCO!B803="", "",TOTALCO!B803)</f>
        <v>CONSTRUCTION WORK IN PROGRESS</v>
      </c>
      <c r="C278" s="4" t="str">
        <f>IF(TOTALCO!C803="", "",TOTALCO!C803)</f>
        <v/>
      </c>
      <c r="D278" s="12" t="str">
        <f>IF(TOTALCO!D803="", "",TOTALCO!D803)</f>
        <v/>
      </c>
      <c r="E278" s="12" t="str">
        <f>IF(TOTALCO!E803="", "",TOTALCO!E803)</f>
        <v/>
      </c>
      <c r="F278" s="12" t="str">
        <f>IF(TOTALCO!F803="", "",TOTALCO!F803)</f>
        <v/>
      </c>
      <c r="G278" s="12" t="str">
        <f>IF(TOTALCO!G803="", "",TOTALCO!G803)</f>
        <v/>
      </c>
      <c r="H278" s="12" t="str">
        <f>IF(TOTALCO!H803="", "",TOTALCO!H803)</f>
        <v/>
      </c>
      <c r="I278" s="12" t="str">
        <f>IF(TOTALCO!I803="", "",TOTALCO!I803)</f>
        <v/>
      </c>
      <c r="J278" s="12" t="str">
        <f>IF(TOTALCO!J803="", "",TOTALCO!J803)</f>
        <v/>
      </c>
      <c r="K278" s="12" t="str">
        <f>IF(TOTALCO!K803="", "",TOTALCO!K803)</f>
        <v/>
      </c>
      <c r="L278" s="12" t="str">
        <f>IF(TOTALCO!L803="", "",TOTALCO!L803)</f>
        <v/>
      </c>
      <c r="M278" s="12" t="str">
        <f>IF(TOTALCO!M803="", "",TOTALCO!M803)</f>
        <v/>
      </c>
      <c r="N278" s="12" t="str">
        <f>IF(TOTALCO!N803="", "",TOTALCO!N803)</f>
        <v/>
      </c>
      <c r="O278" s="12" t="str">
        <f>IF(TOTALCO!O803="", "",TOTALCO!O803)</f>
        <v/>
      </c>
      <c r="P278" s="12" t="str">
        <f>IF(TOTALCO!P803="", "",TOTALCO!P803)</f>
        <v/>
      </c>
      <c r="Q278" s="12"/>
      <c r="R278" s="13"/>
    </row>
    <row r="279" spans="1:18" ht="15" x14ac:dyDescent="0.2">
      <c r="A279" s="382" t="str">
        <f>IF(TOTALCO!A804="", "",TOTALCO!A804)</f>
        <v/>
      </c>
      <c r="B279" s="4" t="str">
        <f>IF(TOTALCO!B804="", "",TOTALCO!B804)</f>
        <v/>
      </c>
      <c r="C279" s="4" t="str">
        <f>IF(TOTALCO!C804="", "",TOTALCO!C804)</f>
        <v/>
      </c>
      <c r="D279" s="12" t="str">
        <f>IF(TOTALCO!D804="", "",TOTALCO!D804)</f>
        <v/>
      </c>
      <c r="E279" s="12" t="str">
        <f>IF(TOTALCO!E804="", "",TOTALCO!E804)</f>
        <v/>
      </c>
      <c r="F279" s="12" t="str">
        <f>IF(TOTALCO!F804="", "",TOTALCO!F804)</f>
        <v/>
      </c>
      <c r="G279" s="12" t="str">
        <f>IF(TOTALCO!G804="", "",TOTALCO!G804)</f>
        <v/>
      </c>
      <c r="H279" s="12" t="str">
        <f>IF(TOTALCO!H804="", "",TOTALCO!H804)</f>
        <v/>
      </c>
      <c r="I279" s="12" t="str">
        <f>IF(TOTALCO!I804="", "",TOTALCO!I804)</f>
        <v/>
      </c>
      <c r="J279" s="12" t="str">
        <f>IF(TOTALCO!J804="", "",TOTALCO!J804)</f>
        <v/>
      </c>
      <c r="K279" s="12" t="str">
        <f>IF(TOTALCO!K804="", "",TOTALCO!K804)</f>
        <v/>
      </c>
      <c r="L279" s="12" t="str">
        <f>IF(TOTALCO!L804="", "",TOTALCO!L804)</f>
        <v/>
      </c>
      <c r="M279" s="12" t="str">
        <f>IF(TOTALCO!M804="", "",TOTALCO!M804)</f>
        <v/>
      </c>
      <c r="N279" s="12" t="str">
        <f>IF(TOTALCO!N804="", "",TOTALCO!N804)</f>
        <v/>
      </c>
      <c r="O279" s="12" t="str">
        <f>IF(TOTALCO!O804="", "",TOTALCO!O804)</f>
        <v/>
      </c>
      <c r="P279" s="12" t="str">
        <f>IF(TOTALCO!P804="", "",TOTALCO!P804)</f>
        <v/>
      </c>
      <c r="Q279" s="12"/>
      <c r="R279" s="13"/>
    </row>
    <row r="280" spans="1:18" ht="15" x14ac:dyDescent="0.2">
      <c r="A280" s="382" t="str">
        <f>IF(TOTALCO!A805="", "",TOTALCO!A805)</f>
        <v/>
      </c>
      <c r="B280" s="4" t="str">
        <f>IF(TOTALCO!B805="", "",TOTALCO!B805)</f>
        <v xml:space="preserve"> PRODUCTION PLANT</v>
      </c>
      <c r="C280" s="4" t="str">
        <f>IF(TOTALCO!C805="", "",TOTALCO!C805)</f>
        <v/>
      </c>
      <c r="D280" s="12" t="str">
        <f>IF(TOTALCO!D805="", "",TOTALCO!D805)</f>
        <v/>
      </c>
      <c r="E280" s="12" t="str">
        <f>IF(TOTALCO!E805="", "",TOTALCO!E805)</f>
        <v/>
      </c>
      <c r="F280" s="12" t="str">
        <f>IF(TOTALCO!F805="", "",TOTALCO!F805)</f>
        <v/>
      </c>
      <c r="G280" s="12" t="str">
        <f>IF(TOTALCO!G805="", "",TOTALCO!G805)</f>
        <v/>
      </c>
      <c r="H280" s="12" t="str">
        <f>IF(TOTALCO!H805="", "",TOTALCO!H805)</f>
        <v/>
      </c>
      <c r="I280" s="12" t="str">
        <f>IF(TOTALCO!I805="", "",TOTALCO!I805)</f>
        <v/>
      </c>
      <c r="J280" s="12" t="str">
        <f>IF(TOTALCO!J805="", "",TOTALCO!J805)</f>
        <v/>
      </c>
      <c r="K280" s="12" t="str">
        <f>IF(TOTALCO!K805="", "",TOTALCO!K805)</f>
        <v/>
      </c>
      <c r="L280" s="12" t="str">
        <f>IF(TOTALCO!L805="", "",TOTALCO!L805)</f>
        <v/>
      </c>
      <c r="M280" s="12" t="str">
        <f>IF(TOTALCO!M805="", "",TOTALCO!M805)</f>
        <v/>
      </c>
      <c r="N280" s="12" t="str">
        <f>IF(TOTALCO!N805="", "",TOTALCO!N805)</f>
        <v/>
      </c>
      <c r="O280" s="12" t="str">
        <f>IF(TOTALCO!O805="", "",TOTALCO!O805)</f>
        <v/>
      </c>
      <c r="P280" s="12" t="str">
        <f>IF(TOTALCO!P805="", "",TOTALCO!P805)</f>
        <v/>
      </c>
      <c r="Q280" s="12"/>
      <c r="R280" s="13"/>
    </row>
    <row r="281" spans="1:18" ht="15" x14ac:dyDescent="0.2">
      <c r="A281" s="382">
        <f>IF(TOTALCO!A806="", "",TOTALCO!A806)</f>
        <v>1</v>
      </c>
      <c r="B281" s="4" t="str">
        <f>IF(TOTALCO!B806="", "",TOTALCO!B806)</f>
        <v xml:space="preserve">   SYSTEM</v>
      </c>
      <c r="C281" s="4" t="str">
        <f>IF(TOTALCO!C806="", "",TOTALCO!C806)</f>
        <v>PRODSYS</v>
      </c>
      <c r="D281" s="12">
        <f ca="1">IF(TOTALCO!D806="", "",TOTALCO!D806)</f>
        <v>265520100.28000033</v>
      </c>
      <c r="E281" s="12" t="str">
        <f>IF(TOTALCO!E806="", "",TOTALCO!E806)</f>
        <v/>
      </c>
      <c r="F281" s="12">
        <f ca="1">IF(TOTALCO!F806="", "",TOTALCO!F806)</f>
        <v>229805037.56414443</v>
      </c>
      <c r="G281" s="12" t="str">
        <f>IF(TOTALCO!G806="", "",TOTALCO!G806)</f>
        <v/>
      </c>
      <c r="H281" s="12">
        <f ca="1">IF(TOTALCO!H806="", "",TOTALCO!H806)</f>
        <v>13495767.686942417</v>
      </c>
      <c r="I281" s="12">
        <f ca="1">IF(TOTALCO!I806="", "",TOTALCO!I806)</f>
        <v>22219295.028913476</v>
      </c>
      <c r="J281" s="12" t="str">
        <f>IF(TOTALCO!J806="", "",TOTALCO!J806)</f>
        <v/>
      </c>
      <c r="K281" s="12" t="str">
        <f>IF(TOTALCO!K806="", "",TOTALCO!K806)</f>
        <v/>
      </c>
      <c r="L281" s="12">
        <f ca="1">IF(TOTALCO!L806="", "",TOTALCO!L806)</f>
        <v>2031.883120587537</v>
      </c>
      <c r="M281" s="12" t="str">
        <f>IF(TOTALCO!M806="", "",TOTALCO!M806)</f>
        <v/>
      </c>
      <c r="N281" s="12">
        <f ca="1">IF(TOTALCO!N806="", "",TOTALCO!N806)</f>
        <v>22217263.145792887</v>
      </c>
      <c r="O281" s="12">
        <f ca="1">IF(TOTALCO!O806="", "",TOTALCO!O806)</f>
        <v>6932349.8039188348</v>
      </c>
      <c r="P281" s="12">
        <f ca="1">IF(TOTALCO!P806="", "",TOTALCO!P806)</f>
        <v>15284913.34187405</v>
      </c>
      <c r="Q281" s="12"/>
      <c r="R281" s="13"/>
    </row>
    <row r="282" spans="1:18" ht="15" x14ac:dyDescent="0.2">
      <c r="A282" s="382">
        <f>IF(TOTALCO!A807="", "",TOTALCO!A807)</f>
        <v>2</v>
      </c>
      <c r="B282" s="4" t="str">
        <f>IF(TOTALCO!B807="", "",TOTALCO!B807)</f>
        <v xml:space="preserve">   FERC-AFUDC PRE</v>
      </c>
      <c r="C282" s="4" t="str">
        <f>IF(TOTALCO!C807="", "",TOTALCO!C807)</f>
        <v>DEMFERC</v>
      </c>
      <c r="D282" s="12">
        <f ca="1">IF(TOTALCO!D807="", "",TOTALCO!D807)</f>
        <v>0</v>
      </c>
      <c r="E282" s="12" t="str">
        <f>IF(TOTALCO!E807="", "",TOTALCO!E807)</f>
        <v/>
      </c>
      <c r="F282" s="12">
        <f ca="1">IF(TOTALCO!F807="", "",TOTALCO!F807)</f>
        <v>0</v>
      </c>
      <c r="G282" s="12" t="str">
        <f>IF(TOTALCO!G807="", "",TOTALCO!G807)</f>
        <v/>
      </c>
      <c r="H282" s="12">
        <f ca="1">IF(TOTALCO!H807="", "",TOTALCO!H807)</f>
        <v>0</v>
      </c>
      <c r="I282" s="12">
        <f ca="1">IF(TOTALCO!I807="", "",TOTALCO!I807)</f>
        <v>0</v>
      </c>
      <c r="J282" s="12" t="str">
        <f>IF(TOTALCO!J807="", "",TOTALCO!J807)</f>
        <v/>
      </c>
      <c r="K282" s="12" t="str">
        <f>IF(TOTALCO!K807="", "",TOTALCO!K807)</f>
        <v/>
      </c>
      <c r="L282" s="12">
        <f ca="1">IF(TOTALCO!L807="", "",TOTALCO!L807)</f>
        <v>0</v>
      </c>
      <c r="M282" s="12" t="str">
        <f>IF(TOTALCO!M807="", "",TOTALCO!M807)</f>
        <v/>
      </c>
      <c r="N282" s="12">
        <f ca="1">IF(TOTALCO!N807="", "",TOTALCO!N807)</f>
        <v>0</v>
      </c>
      <c r="O282" s="12">
        <f ca="1">IF(TOTALCO!O807="", "",TOTALCO!O807)</f>
        <v>0</v>
      </c>
      <c r="P282" s="12">
        <f ca="1">IF(TOTALCO!P807="", "",TOTALCO!P807)</f>
        <v>0</v>
      </c>
      <c r="Q282" s="12"/>
      <c r="R282" s="13"/>
    </row>
    <row r="283" spans="1:18" ht="15" x14ac:dyDescent="0.2">
      <c r="A283" s="382">
        <f>IF(TOTALCO!A808="", "",TOTALCO!A808)</f>
        <v>3</v>
      </c>
      <c r="B283" s="4" t="str">
        <f>IF(TOTALCO!B808="", "",TOTALCO!B808)</f>
        <v xml:space="preserve">   FERC-AFUDC POST</v>
      </c>
      <c r="C283" s="4" t="str">
        <f>IF(TOTALCO!C808="", "",TOTALCO!C808)</f>
        <v>DEMFERCP</v>
      </c>
      <c r="D283" s="12">
        <f ca="1">IF(TOTALCO!D808="", "",TOTALCO!D808)</f>
        <v>332113.38000000129</v>
      </c>
      <c r="E283" s="12" t="str">
        <f>IF(TOTALCO!E808="", "",TOTALCO!E808)</f>
        <v/>
      </c>
      <c r="F283" s="12">
        <f ca="1">IF(TOTALCO!F808="", "",TOTALCO!F808)</f>
        <v>0</v>
      </c>
      <c r="G283" s="12" t="str">
        <f>IF(TOTALCO!G808="", "",TOTALCO!G808)</f>
        <v/>
      </c>
      <c r="H283" s="12">
        <f ca="1">IF(TOTALCO!H808="", "",TOTALCO!H808)</f>
        <v>0</v>
      </c>
      <c r="I283" s="12">
        <f ca="1">IF(TOTALCO!I808="", "",TOTALCO!I808)</f>
        <v>332113.38000000129</v>
      </c>
      <c r="J283" s="12" t="str">
        <f>IF(TOTALCO!J808="", "",TOTALCO!J808)</f>
        <v/>
      </c>
      <c r="K283" s="12" t="str">
        <f>IF(TOTALCO!K808="", "",TOTALCO!K808)</f>
        <v/>
      </c>
      <c r="L283" s="12">
        <f ca="1">IF(TOTALCO!L808="", "",TOTALCO!L808)</f>
        <v>0</v>
      </c>
      <c r="M283" s="12" t="str">
        <f>IF(TOTALCO!M808="", "",TOTALCO!M808)</f>
        <v/>
      </c>
      <c r="N283" s="12">
        <f ca="1">IF(TOTALCO!N808="", "",TOTALCO!N808)</f>
        <v>332113.38000000129</v>
      </c>
      <c r="O283" s="12">
        <f ca="1">IF(TOTALCO!O808="", "",TOTALCO!O808)</f>
        <v>103627.8010308306</v>
      </c>
      <c r="P283" s="12">
        <f ca="1">IF(TOTALCO!P808="", "",TOTALCO!P808)</f>
        <v>228485.57896917072</v>
      </c>
      <c r="Q283" s="12"/>
      <c r="R283" s="13"/>
    </row>
    <row r="284" spans="1:18" ht="15" x14ac:dyDescent="0.2">
      <c r="A284" s="382">
        <f>IF(TOTALCO!A809="", "",TOTALCO!A809)</f>
        <v>4</v>
      </c>
      <c r="B284" s="4" t="str">
        <f>IF(TOTALCO!B809="", "",TOTALCO!B809)</f>
        <v xml:space="preserve">    TOTAL PRODUCTION PLANT</v>
      </c>
      <c r="C284" s="4" t="str">
        <f>IF(TOTALCO!C809="", "",TOTALCO!C809)</f>
        <v/>
      </c>
      <c r="D284" s="12">
        <f ca="1">IF(TOTALCO!D809="", "",TOTALCO!D809)</f>
        <v>265852213.66000032</v>
      </c>
      <c r="E284" s="12" t="str">
        <f>IF(TOTALCO!E809="", "",TOTALCO!E809)</f>
        <v/>
      </c>
      <c r="F284" s="12">
        <f ca="1">IF(TOTALCO!F809="", "",TOTALCO!F809)</f>
        <v>229805037.56414443</v>
      </c>
      <c r="G284" s="12" t="str">
        <f>IF(TOTALCO!G809="", "",TOTALCO!G809)</f>
        <v/>
      </c>
      <c r="H284" s="12">
        <f ca="1">IF(TOTALCO!H809="", "",TOTALCO!H809)</f>
        <v>13495767.686942417</v>
      </c>
      <c r="I284" s="12">
        <f ca="1">IF(TOTALCO!I809="", "",TOTALCO!I809)</f>
        <v>22551408.408913475</v>
      </c>
      <c r="J284" s="12" t="str">
        <f>IF(TOTALCO!J809="", "",TOTALCO!J809)</f>
        <v/>
      </c>
      <c r="K284" s="12" t="str">
        <f>IF(TOTALCO!K809="", "",TOTALCO!K809)</f>
        <v/>
      </c>
      <c r="L284" s="12">
        <f ca="1">IF(TOTALCO!L809="", "",TOTALCO!L809)</f>
        <v>2031.883120587537</v>
      </c>
      <c r="M284" s="12" t="str">
        <f>IF(TOTALCO!M809="", "",TOTALCO!M809)</f>
        <v/>
      </c>
      <c r="N284" s="12">
        <f ca="1">IF(TOTALCO!N809="", "",TOTALCO!N809)</f>
        <v>22549376.525792886</v>
      </c>
      <c r="O284" s="12">
        <f ca="1">IF(TOTALCO!O809="", "",TOTALCO!O809)</f>
        <v>7035977.6049496653</v>
      </c>
      <c r="P284" s="12">
        <f ca="1">IF(TOTALCO!P809="", "",TOTALCO!P809)</f>
        <v>15513398.920843221</v>
      </c>
      <c r="Q284" s="12"/>
      <c r="R284" s="13"/>
    </row>
    <row r="285" spans="1:18" ht="15" x14ac:dyDescent="0.2">
      <c r="A285" s="382" t="str">
        <f>IF(TOTALCO!A810="", "",TOTALCO!A810)</f>
        <v/>
      </c>
      <c r="B285" s="4" t="str">
        <f>IF(TOTALCO!B810="", "",TOTALCO!B810)</f>
        <v/>
      </c>
      <c r="C285" s="4" t="str">
        <f>IF(TOTALCO!C810="", "",TOTALCO!C810)</f>
        <v/>
      </c>
      <c r="D285" s="12" t="str">
        <f>IF(TOTALCO!D810="", "",TOTALCO!D810)</f>
        <v/>
      </c>
      <c r="E285" s="12" t="str">
        <f>IF(TOTALCO!E810="", "",TOTALCO!E810)</f>
        <v/>
      </c>
      <c r="F285" s="12" t="str">
        <f>IF(TOTALCO!F810="", "",TOTALCO!F810)</f>
        <v/>
      </c>
      <c r="G285" s="12" t="str">
        <f>IF(TOTALCO!G810="", "",TOTALCO!G810)</f>
        <v/>
      </c>
      <c r="H285" s="12" t="str">
        <f>IF(TOTALCO!H810="", "",TOTALCO!H810)</f>
        <v/>
      </c>
      <c r="I285" s="12" t="str">
        <f>IF(TOTALCO!I810="", "",TOTALCO!I810)</f>
        <v/>
      </c>
      <c r="J285" s="12" t="str">
        <f>IF(TOTALCO!J810="", "",TOTALCO!J810)</f>
        <v/>
      </c>
      <c r="K285" s="12" t="str">
        <f>IF(TOTALCO!K810="", "",TOTALCO!K810)</f>
        <v/>
      </c>
      <c r="L285" s="12" t="str">
        <f>IF(TOTALCO!L810="", "",TOTALCO!L810)</f>
        <v/>
      </c>
      <c r="M285" s="12" t="str">
        <f>IF(TOTALCO!M810="", "",TOTALCO!M810)</f>
        <v/>
      </c>
      <c r="N285" s="12" t="str">
        <f>IF(TOTALCO!N810="", "",TOTALCO!N810)</f>
        <v/>
      </c>
      <c r="O285" s="12" t="str">
        <f>IF(TOTALCO!O810="", "",TOTALCO!O810)</f>
        <v/>
      </c>
      <c r="P285" s="12" t="str">
        <f>IF(TOTALCO!P810="", "",TOTALCO!P810)</f>
        <v/>
      </c>
      <c r="Q285" s="12"/>
      <c r="R285" s="13"/>
    </row>
    <row r="286" spans="1:18" ht="15" x14ac:dyDescent="0.2">
      <c r="A286" s="382" t="str">
        <f>IF(TOTALCO!A811="", "",TOTALCO!A811)</f>
        <v/>
      </c>
      <c r="B286" s="4" t="str">
        <f>IF(TOTALCO!B811="", "",TOTALCO!B811)</f>
        <v xml:space="preserve"> TRANSMISSION PLANT</v>
      </c>
      <c r="C286" s="4" t="str">
        <f>IF(TOTALCO!C811="", "",TOTALCO!C811)</f>
        <v/>
      </c>
      <c r="D286" s="12" t="str">
        <f>IF(TOTALCO!D811="", "",TOTALCO!D811)</f>
        <v/>
      </c>
      <c r="E286" s="12" t="str">
        <f>IF(TOTALCO!E811="", "",TOTALCO!E811)</f>
        <v/>
      </c>
      <c r="F286" s="12" t="str">
        <f>IF(TOTALCO!F811="", "",TOTALCO!F811)</f>
        <v/>
      </c>
      <c r="G286" s="12" t="str">
        <f>IF(TOTALCO!G811="", "",TOTALCO!G811)</f>
        <v/>
      </c>
      <c r="H286" s="12" t="str">
        <f>IF(TOTALCO!H811="", "",TOTALCO!H811)</f>
        <v/>
      </c>
      <c r="I286" s="12" t="str">
        <f>IF(TOTALCO!I811="", "",TOTALCO!I811)</f>
        <v/>
      </c>
      <c r="J286" s="12" t="str">
        <f>IF(TOTALCO!J811="", "",TOTALCO!J811)</f>
        <v/>
      </c>
      <c r="K286" s="12" t="str">
        <f>IF(TOTALCO!K811="", "",TOTALCO!K811)</f>
        <v/>
      </c>
      <c r="L286" s="12" t="str">
        <f>IF(TOTALCO!L811="", "",TOTALCO!L811)</f>
        <v/>
      </c>
      <c r="M286" s="12" t="str">
        <f>IF(TOTALCO!M811="", "",TOTALCO!M811)</f>
        <v/>
      </c>
      <c r="N286" s="12" t="str">
        <f>IF(TOTALCO!N811="", "",TOTALCO!N811)</f>
        <v/>
      </c>
      <c r="O286" s="12" t="str">
        <f>IF(TOTALCO!O811="", "",TOTALCO!O811)</f>
        <v/>
      </c>
      <c r="P286" s="12" t="str">
        <f>IF(TOTALCO!P811="", "",TOTALCO!P811)</f>
        <v/>
      </c>
      <c r="Q286" s="12"/>
      <c r="R286" s="13"/>
    </row>
    <row r="287" spans="1:18" ht="15" x14ac:dyDescent="0.2">
      <c r="A287" s="382">
        <f>IF(TOTALCO!A812="", "",TOTALCO!A812)</f>
        <v>5</v>
      </c>
      <c r="B287" s="4" t="str">
        <f>IF(TOTALCO!B812="", "",TOTALCO!B812)</f>
        <v xml:space="preserve">   SYSTEM</v>
      </c>
      <c r="C287" s="4" t="str">
        <f>IF(TOTALCO!C812="", "",TOTALCO!C812)</f>
        <v>KYTRPLT</v>
      </c>
      <c r="D287" s="12">
        <f ca="1">IF(TOTALCO!D812="", "",TOTALCO!D812)</f>
        <v>42124235.740000039</v>
      </c>
      <c r="E287" s="12" t="str">
        <f>IF(TOTALCO!E812="", "",TOTALCO!E812)</f>
        <v/>
      </c>
      <c r="F287" s="12">
        <f ca="1">IF(TOTALCO!F812="", "",TOTALCO!F812)</f>
        <v>36186518.394817472</v>
      </c>
      <c r="G287" s="12" t="str">
        <f>IF(TOTALCO!G812="", "",TOTALCO!G812)</f>
        <v/>
      </c>
      <c r="H287" s="12">
        <f ca="1">IF(TOTALCO!H812="", "",TOTALCO!H812)</f>
        <v>2206908.4127519433</v>
      </c>
      <c r="I287" s="12">
        <f ca="1">IF(TOTALCO!I812="", "",TOTALCO!I812)</f>
        <v>3730808.9324306287</v>
      </c>
      <c r="J287" s="12" t="str">
        <f>IF(TOTALCO!J812="", "",TOTALCO!J812)</f>
        <v/>
      </c>
      <c r="K287" s="12" t="str">
        <f>IF(TOTALCO!K812="", "",TOTALCO!K812)</f>
        <v/>
      </c>
      <c r="L287" s="12">
        <f ca="1">IF(TOTALCO!L812="", "",TOTALCO!L812)</f>
        <v>319.95284654600687</v>
      </c>
      <c r="M287" s="12" t="str">
        <f>IF(TOTALCO!M812="", "",TOTALCO!M812)</f>
        <v/>
      </c>
      <c r="N287" s="12">
        <f ca="1">IF(TOTALCO!N812="", "",TOTALCO!N812)</f>
        <v>3730488.9795840825</v>
      </c>
      <c r="O287" s="12">
        <f ca="1">IF(TOTALCO!O812="", "",TOTALCO!O812)</f>
        <v>1164007.212609272</v>
      </c>
      <c r="P287" s="12">
        <f ca="1">IF(TOTALCO!P812="", "",TOTALCO!P812)</f>
        <v>2566481.7669748105</v>
      </c>
      <c r="Q287" s="12"/>
      <c r="R287" s="13"/>
    </row>
    <row r="288" spans="1:18" ht="15" x14ac:dyDescent="0.2">
      <c r="A288" s="382">
        <f>IF(TOTALCO!A813="", "",TOTALCO!A813)</f>
        <v>6</v>
      </c>
      <c r="B288" s="4" t="str">
        <f>IF(TOTALCO!B813="", "",TOTALCO!B813)</f>
        <v xml:space="preserve">   TRANS VIRGINIA-KY SYSTEM</v>
      </c>
      <c r="C288" s="4" t="str">
        <f>IF(TOTALCO!C813="", "",TOTALCO!C813)</f>
        <v>KYTRPLT</v>
      </c>
      <c r="D288" s="12">
        <f ca="1">IF(TOTALCO!D813="", "",TOTALCO!D813)</f>
        <v>0</v>
      </c>
      <c r="E288" s="12" t="str">
        <f>IF(TOTALCO!E813="", "",TOTALCO!E813)</f>
        <v/>
      </c>
      <c r="F288" s="12">
        <f ca="1">IF(TOTALCO!F813="", "",TOTALCO!F813)</f>
        <v>0</v>
      </c>
      <c r="G288" s="12" t="str">
        <f>IF(TOTALCO!G813="", "",TOTALCO!G813)</f>
        <v/>
      </c>
      <c r="H288" s="12">
        <f ca="1">IF(TOTALCO!H813="", "",TOTALCO!H813)</f>
        <v>0</v>
      </c>
      <c r="I288" s="12">
        <f ca="1">IF(TOTALCO!I813="", "",TOTALCO!I813)</f>
        <v>0</v>
      </c>
      <c r="J288" s="12" t="str">
        <f>IF(TOTALCO!J813="", "",TOTALCO!J813)</f>
        <v/>
      </c>
      <c r="K288" s="12" t="str">
        <f>IF(TOTALCO!K813="", "",TOTALCO!K813)</f>
        <v/>
      </c>
      <c r="L288" s="12">
        <f ca="1">IF(TOTALCO!L813="", "",TOTALCO!L813)</f>
        <v>0</v>
      </c>
      <c r="M288" s="12" t="str">
        <f>IF(TOTALCO!M813="", "",TOTALCO!M813)</f>
        <v/>
      </c>
      <c r="N288" s="12">
        <f ca="1">IF(TOTALCO!N813="", "",TOTALCO!N813)</f>
        <v>0</v>
      </c>
      <c r="O288" s="12">
        <f ca="1">IF(TOTALCO!O813="", "",TOTALCO!O813)</f>
        <v>0</v>
      </c>
      <c r="P288" s="12">
        <f ca="1">IF(TOTALCO!P813="", "",TOTALCO!P813)</f>
        <v>0</v>
      </c>
      <c r="Q288" s="12"/>
      <c r="R288" s="13"/>
    </row>
    <row r="289" spans="1:18" ht="15" x14ac:dyDescent="0.2">
      <c r="A289" s="382">
        <f>IF(TOTALCO!A814="", "",TOTALCO!A814)</f>
        <v>7</v>
      </c>
      <c r="B289" s="4" t="str">
        <f>IF(TOTALCO!B814="", "",TOTALCO!B814)</f>
        <v xml:space="preserve">   TRANS VIRGINIA</v>
      </c>
      <c r="C289" s="4" t="str">
        <f>IF(TOTALCO!C814="", "",TOTALCO!C814)</f>
        <v>VATRPLT</v>
      </c>
      <c r="D289" s="12">
        <f ca="1">IF(TOTALCO!D814="", "",TOTALCO!D814)</f>
        <v>908362.5</v>
      </c>
      <c r="E289" s="12" t="str">
        <f>IF(TOTALCO!E814="", "",TOTALCO!E814)</f>
        <v/>
      </c>
      <c r="F289" s="12">
        <f ca="1">IF(TOTALCO!F814="", "",TOTALCO!F814)</f>
        <v>0</v>
      </c>
      <c r="G289" s="12" t="str">
        <f>IF(TOTALCO!G814="", "",TOTALCO!G814)</f>
        <v/>
      </c>
      <c r="H289" s="12">
        <f ca="1">IF(TOTALCO!H814="", "",TOTALCO!H814)</f>
        <v>908269.95928627369</v>
      </c>
      <c r="I289" s="12">
        <f ca="1">IF(TOTALCO!I814="", "",TOTALCO!I814)</f>
        <v>92.540713726362441</v>
      </c>
      <c r="J289" s="12" t="str">
        <f>IF(TOTALCO!J814="", "",TOTALCO!J814)</f>
        <v/>
      </c>
      <c r="K289" s="12" t="str">
        <f>IF(TOTALCO!K814="", "",TOTALCO!K814)</f>
        <v/>
      </c>
      <c r="L289" s="12">
        <f ca="1">IF(TOTALCO!L814="", "",TOTALCO!L814)</f>
        <v>0</v>
      </c>
      <c r="M289" s="12" t="str">
        <f>IF(TOTALCO!M814="", "",TOTALCO!M814)</f>
        <v/>
      </c>
      <c r="N289" s="12">
        <f ca="1">IF(TOTALCO!N814="", "",TOTALCO!N814)</f>
        <v>92.540713726362441</v>
      </c>
      <c r="O289" s="12">
        <f ca="1">IF(TOTALCO!O814="", "",TOTALCO!O814)</f>
        <v>28.875050650734103</v>
      </c>
      <c r="P289" s="12">
        <f ca="1">IF(TOTALCO!P814="", "",TOTALCO!P814)</f>
        <v>63.665663075628338</v>
      </c>
      <c r="Q289" s="12"/>
      <c r="R289" s="13"/>
    </row>
    <row r="290" spans="1:18" ht="15" x14ac:dyDescent="0.2">
      <c r="A290" s="382">
        <f>IF(TOTALCO!A815="", "",TOTALCO!A815)</f>
        <v>8</v>
      </c>
      <c r="B290" s="4" t="str">
        <f>IF(TOTALCO!B815="", "",TOTALCO!B815)</f>
        <v xml:space="preserve">   FERC-AFUDC PRE</v>
      </c>
      <c r="C290" s="4" t="str">
        <f>IF(TOTALCO!C815="", "",TOTALCO!C815)</f>
        <v>DEMFERCT</v>
      </c>
      <c r="D290" s="12">
        <f ca="1">IF(TOTALCO!D815="", "",TOTALCO!D815)</f>
        <v>0</v>
      </c>
      <c r="E290" s="12" t="str">
        <f>IF(TOTALCO!E815="", "",TOTALCO!E815)</f>
        <v/>
      </c>
      <c r="F290" s="12">
        <f ca="1">IF(TOTALCO!F815="", "",TOTALCO!F815)</f>
        <v>0</v>
      </c>
      <c r="G290" s="12" t="str">
        <f>IF(TOTALCO!G815="", "",TOTALCO!G815)</f>
        <v/>
      </c>
      <c r="H290" s="12">
        <f ca="1">IF(TOTALCO!H815="", "",TOTALCO!H815)</f>
        <v>0</v>
      </c>
      <c r="I290" s="12">
        <f ca="1">IF(TOTALCO!I815="", "",TOTALCO!I815)</f>
        <v>0</v>
      </c>
      <c r="J290" s="12" t="str">
        <f>IF(TOTALCO!J815="", "",TOTALCO!J815)</f>
        <v/>
      </c>
      <c r="K290" s="12" t="str">
        <f>IF(TOTALCO!K815="", "",TOTALCO!K815)</f>
        <v/>
      </c>
      <c r="L290" s="12">
        <f ca="1">IF(TOTALCO!L815="", "",TOTALCO!L815)</f>
        <v>0</v>
      </c>
      <c r="M290" s="12" t="str">
        <f>IF(TOTALCO!M815="", "",TOTALCO!M815)</f>
        <v/>
      </c>
      <c r="N290" s="12">
        <f ca="1">IF(TOTALCO!N815="", "",TOTALCO!N815)</f>
        <v>0</v>
      </c>
      <c r="O290" s="12">
        <f ca="1">IF(TOTALCO!O815="", "",TOTALCO!O815)</f>
        <v>0</v>
      </c>
      <c r="P290" s="12">
        <f ca="1">IF(TOTALCO!P815="", "",TOTALCO!P815)</f>
        <v>0</v>
      </c>
      <c r="Q290" s="12"/>
      <c r="R290" s="13"/>
    </row>
    <row r="291" spans="1:18" ht="15" x14ac:dyDescent="0.2">
      <c r="A291" s="382">
        <f>IF(TOTALCO!A816="", "",TOTALCO!A816)</f>
        <v>9</v>
      </c>
      <c r="B291" s="4" t="str">
        <f>IF(TOTALCO!B816="", "",TOTALCO!B816)</f>
        <v xml:space="preserve">   FERC-AFUDC POST</v>
      </c>
      <c r="C291" s="4" t="str">
        <f>IF(TOTALCO!C816="", "",TOTALCO!C816)</f>
        <v>DFERCTP</v>
      </c>
      <c r="D291" s="12">
        <f ca="1">IF(TOTALCO!D816="", "",TOTALCO!D816)</f>
        <v>8716.3099999999977</v>
      </c>
      <c r="E291" s="12" t="str">
        <f>IF(TOTALCO!E816="", "",TOTALCO!E816)</f>
        <v/>
      </c>
      <c r="F291" s="12">
        <f ca="1">IF(TOTALCO!F816="", "",TOTALCO!F816)</f>
        <v>0</v>
      </c>
      <c r="G291" s="12" t="str">
        <f>IF(TOTALCO!G816="", "",TOTALCO!G816)</f>
        <v/>
      </c>
      <c r="H291" s="12">
        <f ca="1">IF(TOTALCO!H816="", "",TOTALCO!H816)</f>
        <v>0</v>
      </c>
      <c r="I291" s="12">
        <f ca="1">IF(TOTALCO!I816="", "",TOTALCO!I816)</f>
        <v>8716.3099999999977</v>
      </c>
      <c r="J291" s="12" t="str">
        <f>IF(TOTALCO!J816="", "",TOTALCO!J816)</f>
        <v/>
      </c>
      <c r="K291" s="12" t="str">
        <f>IF(TOTALCO!K816="", "",TOTALCO!K816)</f>
        <v/>
      </c>
      <c r="L291" s="12">
        <f ca="1">IF(TOTALCO!L816="", "",TOTALCO!L816)</f>
        <v>0</v>
      </c>
      <c r="M291" s="12" t="str">
        <f>IF(TOTALCO!M816="", "",TOTALCO!M816)</f>
        <v/>
      </c>
      <c r="N291" s="12">
        <f ca="1">IF(TOTALCO!N816="", "",TOTALCO!N816)</f>
        <v>8716.3099999999977</v>
      </c>
      <c r="O291" s="12">
        <f ca="1">IF(TOTALCO!O816="", "",TOTALCO!O816)</f>
        <v>2719.7098725833785</v>
      </c>
      <c r="P291" s="12">
        <f ca="1">IF(TOTALCO!P816="", "",TOTALCO!P816)</f>
        <v>5996.6001274166183</v>
      </c>
      <c r="Q291" s="12"/>
      <c r="R291" s="13"/>
    </row>
    <row r="292" spans="1:18" ht="15" x14ac:dyDescent="0.2">
      <c r="A292" s="382">
        <f>IF(TOTALCO!A817="", "",TOTALCO!A817)</f>
        <v>10</v>
      </c>
      <c r="B292" s="4" t="str">
        <f>IF(TOTALCO!B817="", "",TOTALCO!B817)</f>
        <v xml:space="preserve">    TOTAL TRANSMISSION PLT</v>
      </c>
      <c r="C292" s="4" t="str">
        <f>IF(TOTALCO!C817="", "",TOTALCO!C817)</f>
        <v/>
      </c>
      <c r="D292" s="12">
        <f ca="1">IF(TOTALCO!D817="", "",TOTALCO!D817)</f>
        <v>43041314.550000042</v>
      </c>
      <c r="E292" s="12" t="str">
        <f>IF(TOTALCO!E817="", "",TOTALCO!E817)</f>
        <v/>
      </c>
      <c r="F292" s="12">
        <f ca="1">IF(TOTALCO!F817="", "",TOTALCO!F817)</f>
        <v>36186518.394817472</v>
      </c>
      <c r="G292" s="12" t="str">
        <f>IF(TOTALCO!G817="", "",TOTALCO!G817)</f>
        <v/>
      </c>
      <c r="H292" s="12">
        <f ca="1">IF(TOTALCO!H817="", "",TOTALCO!H817)</f>
        <v>3115178.3720382173</v>
      </c>
      <c r="I292" s="12">
        <f ca="1">IF(TOTALCO!I817="", "",TOTALCO!I817)</f>
        <v>3739617.7831443553</v>
      </c>
      <c r="J292" s="12" t="str">
        <f>IF(TOTALCO!J817="", "",TOTALCO!J817)</f>
        <v/>
      </c>
      <c r="K292" s="12" t="str">
        <f>IF(TOTALCO!K817="", "",TOTALCO!K817)</f>
        <v/>
      </c>
      <c r="L292" s="12">
        <f ca="1">IF(TOTALCO!L817="", "",TOTALCO!L817)</f>
        <v>319.95284654600687</v>
      </c>
      <c r="M292" s="12" t="str">
        <f>IF(TOTALCO!M817="", "",TOTALCO!M817)</f>
        <v/>
      </c>
      <c r="N292" s="12">
        <f ca="1">IF(TOTALCO!N817="", "",TOTALCO!N817)</f>
        <v>3739297.8302978091</v>
      </c>
      <c r="O292" s="12">
        <f ca="1">IF(TOTALCO!O817="", "",TOTALCO!O817)</f>
        <v>1166755.7975325061</v>
      </c>
      <c r="P292" s="12">
        <f ca="1">IF(TOTALCO!P817="", "",TOTALCO!P817)</f>
        <v>2572542.0327653028</v>
      </c>
      <c r="Q292" s="12"/>
      <c r="R292" s="13"/>
    </row>
    <row r="293" spans="1:18" ht="15" x14ac:dyDescent="0.2">
      <c r="A293" s="382" t="str">
        <f>IF(TOTALCO!A818="", "",TOTALCO!A818)</f>
        <v/>
      </c>
      <c r="B293" s="4" t="str">
        <f>IF(TOTALCO!B818="", "",TOTALCO!B818)</f>
        <v/>
      </c>
      <c r="C293" s="4" t="str">
        <f>IF(TOTALCO!C818="", "",TOTALCO!C818)</f>
        <v/>
      </c>
      <c r="D293" s="12" t="str">
        <f>IF(TOTALCO!D818="", "",TOTALCO!D818)</f>
        <v/>
      </c>
      <c r="E293" s="12" t="str">
        <f>IF(TOTALCO!E818="", "",TOTALCO!E818)</f>
        <v/>
      </c>
      <c r="F293" s="12" t="str">
        <f>IF(TOTALCO!F818="", "",TOTALCO!F818)</f>
        <v/>
      </c>
      <c r="G293" s="12" t="str">
        <f>IF(TOTALCO!G818="", "",TOTALCO!G818)</f>
        <v/>
      </c>
      <c r="H293" s="12" t="str">
        <f>IF(TOTALCO!H818="", "",TOTALCO!H818)</f>
        <v/>
      </c>
      <c r="I293" s="12" t="str">
        <f>IF(TOTALCO!I818="", "",TOTALCO!I818)</f>
        <v/>
      </c>
      <c r="J293" s="12" t="str">
        <f>IF(TOTALCO!J818="", "",TOTALCO!J818)</f>
        <v/>
      </c>
      <c r="K293" s="12" t="str">
        <f>IF(TOTALCO!K818="", "",TOTALCO!K818)</f>
        <v/>
      </c>
      <c r="L293" s="12" t="str">
        <f>IF(TOTALCO!L818="", "",TOTALCO!L818)</f>
        <v/>
      </c>
      <c r="M293" s="12" t="str">
        <f>IF(TOTALCO!M818="", "",TOTALCO!M818)</f>
        <v/>
      </c>
      <c r="N293" s="12" t="str">
        <f>IF(TOTALCO!N818="", "",TOTALCO!N818)</f>
        <v/>
      </c>
      <c r="O293" s="12" t="str">
        <f>IF(TOTALCO!O818="", "",TOTALCO!O818)</f>
        <v/>
      </c>
      <c r="P293" s="12" t="str">
        <f>IF(TOTALCO!P818="", "",TOTALCO!P818)</f>
        <v/>
      </c>
      <c r="Q293" s="12"/>
      <c r="R293" s="13"/>
    </row>
    <row r="294" spans="1:18" ht="15" x14ac:dyDescent="0.2">
      <c r="A294" s="382">
        <f>IF(TOTALCO!A819="", "",TOTALCO!A819)</f>
        <v>11</v>
      </c>
      <c r="B294" s="4" t="str">
        <f>IF(TOTALCO!B819="", "",TOTALCO!B819)</f>
        <v xml:space="preserve"> DISTRIBUTION - VA &amp; TN </v>
      </c>
      <c r="C294" s="4" t="str">
        <f>IF(TOTALCO!C819="", "",TOTALCO!C819)</f>
        <v>DIRCWIP</v>
      </c>
      <c r="D294" s="12">
        <f ca="1">IF(TOTALCO!D819="", "",TOTALCO!D819)</f>
        <v>1166386.3899999994</v>
      </c>
      <c r="E294" s="12" t="str">
        <f>IF(TOTALCO!E819="", "",TOTALCO!E819)</f>
        <v/>
      </c>
      <c r="F294" s="12">
        <f ca="1">IF(TOTALCO!F819="", "",TOTALCO!F819)</f>
        <v>0</v>
      </c>
      <c r="G294" s="12" t="str">
        <f>IF(TOTALCO!G819="", "",TOTALCO!G819)</f>
        <v/>
      </c>
      <c r="H294" s="12">
        <f ca="1">IF(TOTALCO!H819="", "",TOTALCO!H819)</f>
        <v>1166386.3899999994</v>
      </c>
      <c r="I294" s="12">
        <f ca="1">IF(TOTALCO!I819="", "",TOTALCO!I819)</f>
        <v>0</v>
      </c>
      <c r="J294" s="12" t="str">
        <f>IF(TOTALCO!J819="", "",TOTALCO!J819)</f>
        <v/>
      </c>
      <c r="K294" s="12" t="str">
        <f>IF(TOTALCO!K819="", "",TOTALCO!K819)</f>
        <v/>
      </c>
      <c r="L294" s="12">
        <f ca="1">IF(TOTALCO!L819="", "",TOTALCO!L819)</f>
        <v>0</v>
      </c>
      <c r="M294" s="12" t="str">
        <f>IF(TOTALCO!M819="", "",TOTALCO!M819)</f>
        <v/>
      </c>
      <c r="N294" s="12">
        <f ca="1">IF(TOTALCO!N819="", "",TOTALCO!N819)</f>
        <v>0</v>
      </c>
      <c r="O294" s="12">
        <f ca="1">IF(TOTALCO!O819="", "",TOTALCO!O819)</f>
        <v>0</v>
      </c>
      <c r="P294" s="12">
        <f ca="1">IF(TOTALCO!P819="", "",TOTALCO!P819)</f>
        <v>0</v>
      </c>
      <c r="Q294" s="12"/>
      <c r="R294" s="13"/>
    </row>
    <row r="295" spans="1:18" ht="15" x14ac:dyDescent="0.2">
      <c r="A295" s="382">
        <f>IF(TOTALCO!A820="", "",TOTALCO!A820)</f>
        <v>12</v>
      </c>
      <c r="B295" s="4" t="str">
        <f>IF(TOTALCO!B820="", "",TOTALCO!B820)</f>
        <v xml:space="preserve"> DISTRIBUTION - KY &amp; FERC</v>
      </c>
      <c r="C295" s="4" t="str">
        <f>IF(TOTALCO!C820="", "",TOTALCO!C820)</f>
        <v>DISTPLTKF</v>
      </c>
      <c r="D295" s="12">
        <f ca="1">IF(TOTALCO!D820="", "",TOTALCO!D820)</f>
        <v>21264678.32</v>
      </c>
      <c r="E295" s="12" t="str">
        <f>IF(TOTALCO!E820="", "",TOTALCO!E820)</f>
        <v/>
      </c>
      <c r="F295" s="12">
        <f ca="1">IF(TOTALCO!F820="", "",TOTALCO!F820)</f>
        <v>21196764.524602309</v>
      </c>
      <c r="G295" s="12" t="str">
        <f>IF(TOTALCO!G820="", "",TOTALCO!G820)</f>
        <v/>
      </c>
      <c r="H295" s="12">
        <f ca="1">IF(TOTALCO!H820="", "",TOTALCO!H820)</f>
        <v>0</v>
      </c>
      <c r="I295" s="12">
        <f ca="1">IF(TOTALCO!I820="", "",TOTALCO!I820)</f>
        <v>67913.795397691894</v>
      </c>
      <c r="J295" s="12" t="str">
        <f>IF(TOTALCO!J820="", "",TOTALCO!J820)</f>
        <v/>
      </c>
      <c r="K295" s="12" t="str">
        <f>IF(TOTALCO!K820="", "",TOTALCO!K820)</f>
        <v/>
      </c>
      <c r="L295" s="12">
        <f ca="1">IF(TOTALCO!L820="", "",TOTALCO!L820)</f>
        <v>0</v>
      </c>
      <c r="M295" s="12" t="str">
        <f>IF(TOTALCO!M820="", "",TOTALCO!M820)</f>
        <v/>
      </c>
      <c r="N295" s="12">
        <f ca="1">IF(TOTALCO!N820="", "",TOTALCO!N820)</f>
        <v>67913.795397691894</v>
      </c>
      <c r="O295" s="12">
        <f ca="1">IF(TOTALCO!O820="", "",TOTALCO!O820)</f>
        <v>58361.121882332794</v>
      </c>
      <c r="P295" s="12">
        <f ca="1">IF(TOTALCO!P820="", "",TOTALCO!P820)</f>
        <v>9552.6735153590962</v>
      </c>
      <c r="Q295" s="12"/>
      <c r="R295" s="13"/>
    </row>
    <row r="296" spans="1:18" ht="15" x14ac:dyDescent="0.2">
      <c r="A296" s="382">
        <f>IF(TOTALCO!A821="", "",TOTALCO!A821)</f>
        <v>13</v>
      </c>
      <c r="B296" s="4" t="str">
        <f>IF(TOTALCO!B821="", "",TOTALCO!B821)</f>
        <v xml:space="preserve">    TOTAL DISTRIBUTION PLT</v>
      </c>
      <c r="C296" s="4" t="str">
        <f>IF(TOTALCO!C821="", "",TOTALCO!C821)</f>
        <v/>
      </c>
      <c r="D296" s="12">
        <f ca="1">IF(TOTALCO!D821="", "",TOTALCO!D821)</f>
        <v>22431064.710000001</v>
      </c>
      <c r="E296" s="12" t="str">
        <f>IF(TOTALCO!E821="", "",TOTALCO!E821)</f>
        <v/>
      </c>
      <c r="F296" s="12">
        <f ca="1">IF(TOTALCO!F821="", "",TOTALCO!F821)</f>
        <v>21196764.524602309</v>
      </c>
      <c r="G296" s="12" t="str">
        <f>IF(TOTALCO!G821="", "",TOTALCO!G821)</f>
        <v/>
      </c>
      <c r="H296" s="12">
        <f ca="1">IF(TOTALCO!H821="", "",TOTALCO!H821)</f>
        <v>1166386.3899999994</v>
      </c>
      <c r="I296" s="12">
        <f ca="1">IF(TOTALCO!I821="", "",TOTALCO!I821)</f>
        <v>67913.795397691894</v>
      </c>
      <c r="J296" s="12" t="str">
        <f>IF(TOTALCO!J821="", "",TOTALCO!J821)</f>
        <v/>
      </c>
      <c r="K296" s="12" t="str">
        <f>IF(TOTALCO!K821="", "",TOTALCO!K821)</f>
        <v/>
      </c>
      <c r="L296" s="12">
        <f ca="1">IF(TOTALCO!L821="", "",TOTALCO!L821)</f>
        <v>0</v>
      </c>
      <c r="M296" s="12" t="str">
        <f>IF(TOTALCO!M821="", "",TOTALCO!M821)</f>
        <v/>
      </c>
      <c r="N296" s="12">
        <f ca="1">IF(TOTALCO!N821="", "",TOTALCO!N821)</f>
        <v>67913.795397691894</v>
      </c>
      <c r="O296" s="12">
        <f ca="1">IF(TOTALCO!O821="", "",TOTALCO!O821)</f>
        <v>58361.121882332794</v>
      </c>
      <c r="P296" s="12">
        <f ca="1">IF(TOTALCO!P821="", "",TOTALCO!P821)</f>
        <v>9552.6735153590962</v>
      </c>
      <c r="Q296" s="12"/>
      <c r="R296" s="13"/>
    </row>
    <row r="297" spans="1:18" ht="15" x14ac:dyDescent="0.2">
      <c r="A297" s="382" t="str">
        <f>IF(TOTALCO!A822="", "",TOTALCO!A822)</f>
        <v/>
      </c>
      <c r="B297" s="4" t="str">
        <f>IF(TOTALCO!B822="", "",TOTALCO!B822)</f>
        <v/>
      </c>
      <c r="C297" s="4" t="str">
        <f>IF(TOTALCO!C822="", "",TOTALCO!C822)</f>
        <v/>
      </c>
      <c r="D297" s="12" t="str">
        <f>IF(TOTALCO!D822="", "",TOTALCO!D822)</f>
        <v/>
      </c>
      <c r="E297" s="12" t="str">
        <f>IF(TOTALCO!E822="", "",TOTALCO!E822)</f>
        <v/>
      </c>
      <c r="F297" s="12" t="str">
        <f>IF(TOTALCO!F822="", "",TOTALCO!F822)</f>
        <v/>
      </c>
      <c r="G297" s="12" t="str">
        <f>IF(TOTALCO!G822="", "",TOTALCO!G822)</f>
        <v/>
      </c>
      <c r="H297" s="12" t="str">
        <f>IF(TOTALCO!H822="", "",TOTALCO!H822)</f>
        <v/>
      </c>
      <c r="I297" s="12" t="str">
        <f>IF(TOTALCO!I822="", "",TOTALCO!I822)</f>
        <v/>
      </c>
      <c r="J297" s="12" t="str">
        <f>IF(TOTALCO!J822="", "",TOTALCO!J822)</f>
        <v/>
      </c>
      <c r="K297" s="12" t="str">
        <f>IF(TOTALCO!K822="", "",TOTALCO!K822)</f>
        <v/>
      </c>
      <c r="L297" s="12" t="str">
        <f>IF(TOTALCO!L822="", "",TOTALCO!L822)</f>
        <v/>
      </c>
      <c r="M297" s="12" t="str">
        <f>IF(TOTALCO!M822="", "",TOTALCO!M822)</f>
        <v/>
      </c>
      <c r="N297" s="12" t="str">
        <f>IF(TOTALCO!N822="", "",TOTALCO!N822)</f>
        <v/>
      </c>
      <c r="O297" s="12" t="str">
        <f>IF(TOTALCO!O822="", "",TOTALCO!O822)</f>
        <v/>
      </c>
      <c r="P297" s="12" t="str">
        <f>IF(TOTALCO!P822="", "",TOTALCO!P822)</f>
        <v/>
      </c>
      <c r="Q297" s="12"/>
      <c r="R297" s="13"/>
    </row>
    <row r="298" spans="1:18" ht="15" x14ac:dyDescent="0.2">
      <c r="A298" s="382">
        <f>IF(TOTALCO!A823="", "",TOTALCO!A823)</f>
        <v>14</v>
      </c>
      <c r="B298" s="4" t="str">
        <f>IF(TOTALCO!B823="", "",TOTALCO!B823)</f>
        <v xml:space="preserve"> GENERAL</v>
      </c>
      <c r="C298" s="4" t="str">
        <f>IF(TOTALCO!C823="", "",TOTALCO!C823)</f>
        <v>GENPLT</v>
      </c>
      <c r="D298" s="12">
        <f ca="1">IF(TOTALCO!D823="", "",TOTALCO!D823)</f>
        <v>13913845.399999997</v>
      </c>
      <c r="E298" s="12" t="str">
        <f>IF(TOTALCO!E823="", "",TOTALCO!E823)</f>
        <v/>
      </c>
      <c r="F298" s="12">
        <f ca="1">IF(TOTALCO!F823="", "",TOTALCO!F823)</f>
        <v>12374679.4873465</v>
      </c>
      <c r="G298" s="12" t="str">
        <f>IF(TOTALCO!G823="", "",TOTALCO!G823)</f>
        <v/>
      </c>
      <c r="H298" s="12">
        <f ca="1">IF(TOTALCO!H823="", "",TOTALCO!H823)</f>
        <v>762381.135318332</v>
      </c>
      <c r="I298" s="12">
        <f ca="1">IF(TOTALCO!I823="", "",TOTALCO!I823)</f>
        <v>776784.7773351653</v>
      </c>
      <c r="J298" s="12" t="str">
        <f>IF(TOTALCO!J823="", "",TOTALCO!J823)</f>
        <v/>
      </c>
      <c r="K298" s="12" t="str">
        <f>IF(TOTALCO!K823="", "",TOTALCO!K823)</f>
        <v/>
      </c>
      <c r="L298" s="12">
        <f ca="1">IF(TOTALCO!L823="", "",TOTALCO!L823)</f>
        <v>427.13600297915804</v>
      </c>
      <c r="M298" s="12" t="str">
        <f>IF(TOTALCO!M823="", "",TOTALCO!M823)</f>
        <v/>
      </c>
      <c r="N298" s="12">
        <f ca="1">IF(TOTALCO!N823="", "",TOTALCO!N823)</f>
        <v>776357.64133218618</v>
      </c>
      <c r="O298" s="12">
        <f ca="1">IF(TOTALCO!O823="", "",TOTALCO!O823)</f>
        <v>252209.53359774314</v>
      </c>
      <c r="P298" s="12">
        <f ca="1">IF(TOTALCO!P823="", "",TOTALCO!P823)</f>
        <v>524148.10773444304</v>
      </c>
      <c r="Q298" s="12"/>
      <c r="R298" s="13"/>
    </row>
    <row r="299" spans="1:18" ht="15" x14ac:dyDescent="0.2">
      <c r="A299" s="382" t="str">
        <f>IF(TOTALCO!A824="", "",TOTALCO!A824)</f>
        <v/>
      </c>
      <c r="B299" s="4" t="str">
        <f>IF(TOTALCO!B824="", "",TOTALCO!B824)</f>
        <v/>
      </c>
      <c r="C299" s="4" t="str">
        <f>IF(TOTALCO!C824="", "",TOTALCO!C824)</f>
        <v/>
      </c>
      <c r="D299" s="12" t="str">
        <f>IF(TOTALCO!D824="", "",TOTALCO!D824)</f>
        <v/>
      </c>
      <c r="E299" s="12" t="str">
        <f>IF(TOTALCO!E824="", "",TOTALCO!E824)</f>
        <v/>
      </c>
      <c r="F299" s="12" t="str">
        <f>IF(TOTALCO!F824="", "",TOTALCO!F824)</f>
        <v/>
      </c>
      <c r="G299" s="12" t="str">
        <f>IF(TOTALCO!G824="", "",TOTALCO!G824)</f>
        <v/>
      </c>
      <c r="H299" s="12" t="str">
        <f>IF(TOTALCO!H824="", "",TOTALCO!H824)</f>
        <v/>
      </c>
      <c r="I299" s="12" t="str">
        <f>IF(TOTALCO!I824="", "",TOTALCO!I824)</f>
        <v/>
      </c>
      <c r="J299" s="12" t="str">
        <f>IF(TOTALCO!J824="", "",TOTALCO!J824)</f>
        <v/>
      </c>
      <c r="K299" s="12" t="str">
        <f>IF(TOTALCO!K824="", "",TOTALCO!K824)</f>
        <v/>
      </c>
      <c r="L299" s="12" t="str">
        <f>IF(TOTALCO!L824="", "",TOTALCO!L824)</f>
        <v/>
      </c>
      <c r="M299" s="12" t="str">
        <f>IF(TOTALCO!M824="", "",TOTALCO!M824)</f>
        <v/>
      </c>
      <c r="N299" s="12" t="str">
        <f>IF(TOTALCO!N824="", "",TOTALCO!N824)</f>
        <v/>
      </c>
      <c r="O299" s="12" t="str">
        <f>IF(TOTALCO!O824="", "",TOTALCO!O824)</f>
        <v/>
      </c>
      <c r="P299" s="12" t="str">
        <f>IF(TOTALCO!P824="", "",TOTALCO!P824)</f>
        <v/>
      </c>
      <c r="Q299" s="12"/>
      <c r="R299" s="13"/>
    </row>
    <row r="300" spans="1:18" ht="15" x14ac:dyDescent="0.2">
      <c r="A300" s="382">
        <f>IF(TOTALCO!A825="", "",TOTALCO!A825)</f>
        <v>15</v>
      </c>
      <c r="B300" s="4" t="str">
        <f>IF(TOTALCO!B825="", "",TOTALCO!B825)</f>
        <v>TOTAL CWIP</v>
      </c>
      <c r="C300" s="4" t="str">
        <f>IF(TOTALCO!C825="", "",TOTALCO!C825)</f>
        <v/>
      </c>
      <c r="D300" s="12">
        <f ca="1">IF(TOTALCO!D825="", "",TOTALCO!D825)</f>
        <v>345238438.32000029</v>
      </c>
      <c r="E300" s="12" t="str">
        <f>IF(TOTALCO!E825="", "",TOTALCO!E825)</f>
        <v/>
      </c>
      <c r="F300" s="12">
        <f ca="1">IF(TOTALCO!F825="", "",TOTALCO!F825)</f>
        <v>299562999.97091067</v>
      </c>
      <c r="G300" s="12" t="str">
        <f>IF(TOTALCO!G825="", "",TOTALCO!G825)</f>
        <v/>
      </c>
      <c r="H300" s="12">
        <f ca="1">IF(TOTALCO!H825="", "",TOTALCO!H825)</f>
        <v>18539713.584298965</v>
      </c>
      <c r="I300" s="12">
        <f ca="1">IF(TOTALCO!I825="", "",TOTALCO!I825)</f>
        <v>27135724.764790684</v>
      </c>
      <c r="J300" s="12" t="str">
        <f>IF(TOTALCO!J825="", "",TOTALCO!J825)</f>
        <v/>
      </c>
      <c r="K300" s="12" t="str">
        <f>IF(TOTALCO!K825="", "",TOTALCO!K825)</f>
        <v/>
      </c>
      <c r="L300" s="12">
        <f ca="1">IF(TOTALCO!L825="", "",TOTALCO!L825)</f>
        <v>2778.9719701127019</v>
      </c>
      <c r="M300" s="12" t="str">
        <f>IF(TOTALCO!M825="", "",TOTALCO!M825)</f>
        <v/>
      </c>
      <c r="N300" s="12">
        <f ca="1">IF(TOTALCO!N825="", "",TOTALCO!N825)</f>
        <v>27132945.792820573</v>
      </c>
      <c r="O300" s="12">
        <f ca="1">IF(TOTALCO!O825="", "",TOTALCO!O825)</f>
        <v>8513304.0579622462</v>
      </c>
      <c r="P300" s="12">
        <f ca="1">IF(TOTALCO!P825="", "",TOTALCO!P825)</f>
        <v>18619641.734858327</v>
      </c>
      <c r="Q300" s="12"/>
      <c r="R300" s="13"/>
    </row>
    <row r="301" spans="1:18" ht="15" x14ac:dyDescent="0.2">
      <c r="A301" s="382" t="str">
        <f>IF(TOTALCO!A826="", "",TOTALCO!A826)</f>
        <v/>
      </c>
      <c r="B301" s="4" t="str">
        <f>IF(TOTALCO!B826="", "",TOTALCO!B826)</f>
        <v/>
      </c>
      <c r="C301" s="4" t="str">
        <f>IF(TOTALCO!C826="", "",TOTALCO!C826)</f>
        <v/>
      </c>
      <c r="D301" s="12" t="str">
        <f>IF(TOTALCO!D826="", "",TOTALCO!D826)</f>
        <v/>
      </c>
      <c r="E301" s="12" t="str">
        <f>IF(TOTALCO!E826="", "",TOTALCO!E826)</f>
        <v/>
      </c>
      <c r="F301" s="12" t="str">
        <f>IF(TOTALCO!F826="", "",TOTALCO!F826)</f>
        <v/>
      </c>
      <c r="G301" s="12" t="str">
        <f>IF(TOTALCO!G826="", "",TOTALCO!G826)</f>
        <v/>
      </c>
      <c r="H301" s="12" t="str">
        <f>IF(TOTALCO!H826="", "",TOTALCO!H826)</f>
        <v/>
      </c>
      <c r="I301" s="12" t="str">
        <f>IF(TOTALCO!I826="", "",TOTALCO!I826)</f>
        <v/>
      </c>
      <c r="J301" s="12" t="str">
        <f>IF(TOTALCO!J826="", "",TOTALCO!J826)</f>
        <v/>
      </c>
      <c r="K301" s="12" t="str">
        <f>IF(TOTALCO!K826="", "",TOTALCO!K826)</f>
        <v/>
      </c>
      <c r="L301" s="12" t="str">
        <f>IF(TOTALCO!L826="", "",TOTALCO!L826)</f>
        <v/>
      </c>
      <c r="M301" s="12" t="str">
        <f>IF(TOTALCO!M826="", "",TOTALCO!M826)</f>
        <v/>
      </c>
      <c r="N301" s="12" t="str">
        <f>IF(TOTALCO!N826="", "",TOTALCO!N826)</f>
        <v/>
      </c>
      <c r="O301" s="12" t="str">
        <f>IF(TOTALCO!O826="", "",TOTALCO!O826)</f>
        <v/>
      </c>
      <c r="P301" s="12" t="str">
        <f>IF(TOTALCO!P826="", "",TOTALCO!P826)</f>
        <v/>
      </c>
      <c r="Q301" s="12"/>
      <c r="R301" s="13"/>
    </row>
    <row r="302" spans="1:18" ht="15" x14ac:dyDescent="0.2">
      <c r="A302" s="382" t="str">
        <f>IF(TOTALCO!A827="", "",TOTALCO!A827)</f>
        <v/>
      </c>
      <c r="B302" s="4" t="str">
        <f>IF(TOTALCO!B827="", "",TOTALCO!B827)</f>
        <v>WORKING CAPITAL</v>
      </c>
      <c r="C302" s="4" t="str">
        <f>IF(TOTALCO!C827="", "",TOTALCO!C827)</f>
        <v/>
      </c>
      <c r="D302" s="12" t="str">
        <f>IF(TOTALCO!D827="", "",TOTALCO!D827)</f>
        <v/>
      </c>
      <c r="E302" s="12" t="str">
        <f>IF(TOTALCO!E827="", "",TOTALCO!E827)</f>
        <v/>
      </c>
      <c r="F302" s="12" t="str">
        <f>IF(TOTALCO!F827="", "",TOTALCO!F827)</f>
        <v/>
      </c>
      <c r="G302" s="12" t="str">
        <f>IF(TOTALCO!G827="", "",TOTALCO!G827)</f>
        <v/>
      </c>
      <c r="H302" s="12" t="str">
        <f>IF(TOTALCO!H827="", "",TOTALCO!H827)</f>
        <v/>
      </c>
      <c r="I302" s="12" t="str">
        <f>IF(TOTALCO!I827="", "",TOTALCO!I827)</f>
        <v/>
      </c>
      <c r="J302" s="12" t="str">
        <f>IF(TOTALCO!J827="", "",TOTALCO!J827)</f>
        <v/>
      </c>
      <c r="K302" s="12" t="str">
        <f>IF(TOTALCO!K827="", "",TOTALCO!K827)</f>
        <v/>
      </c>
      <c r="L302" s="12" t="str">
        <f>IF(TOTALCO!L827="", "",TOTALCO!L827)</f>
        <v/>
      </c>
      <c r="M302" s="12" t="str">
        <f>IF(TOTALCO!M827="", "",TOTALCO!M827)</f>
        <v/>
      </c>
      <c r="N302" s="12" t="str">
        <f>IF(TOTALCO!N827="", "",TOTALCO!N827)</f>
        <v/>
      </c>
      <c r="O302" s="12" t="str">
        <f>IF(TOTALCO!O827="", "",TOTALCO!O827)</f>
        <v/>
      </c>
      <c r="P302" s="12" t="str">
        <f>IF(TOTALCO!P827="", "",TOTALCO!P827)</f>
        <v/>
      </c>
      <c r="Q302" s="12"/>
      <c r="R302" s="13"/>
    </row>
    <row r="303" spans="1:18" ht="15" x14ac:dyDescent="0.2">
      <c r="A303" s="382" t="str">
        <f>IF(TOTALCO!A828="", "",TOTALCO!A828)</f>
        <v/>
      </c>
      <c r="B303" s="4" t="str">
        <f>IF(TOTALCO!B828="", "",TOTALCO!B828)</f>
        <v xml:space="preserve"> MATERIALS &amp; SUPPLIES</v>
      </c>
      <c r="C303" s="4" t="str">
        <f>IF(TOTALCO!C828="", "",TOTALCO!C828)</f>
        <v/>
      </c>
      <c r="D303" s="12" t="str">
        <f>IF(TOTALCO!D828="", "",TOTALCO!D828)</f>
        <v/>
      </c>
      <c r="E303" s="12" t="str">
        <f>IF(TOTALCO!E828="", "",TOTALCO!E828)</f>
        <v/>
      </c>
      <c r="F303" s="12" t="str">
        <f>IF(TOTALCO!F828="", "",TOTALCO!F828)</f>
        <v/>
      </c>
      <c r="G303" s="12" t="str">
        <f>IF(TOTALCO!G828="", "",TOTALCO!G828)</f>
        <v/>
      </c>
      <c r="H303" s="12" t="str">
        <f>IF(TOTALCO!H828="", "",TOTALCO!H828)</f>
        <v/>
      </c>
      <c r="I303" s="12" t="str">
        <f>IF(TOTALCO!I828="", "",TOTALCO!I828)</f>
        <v/>
      </c>
      <c r="J303" s="12" t="str">
        <f>IF(TOTALCO!J828="", "",TOTALCO!J828)</f>
        <v/>
      </c>
      <c r="K303" s="12" t="str">
        <f>IF(TOTALCO!K828="", "",TOTALCO!K828)</f>
        <v/>
      </c>
      <c r="L303" s="12" t="str">
        <f>IF(TOTALCO!L828="", "",TOTALCO!L828)</f>
        <v/>
      </c>
      <c r="M303" s="12" t="str">
        <f>IF(TOTALCO!M828="", "",TOTALCO!M828)</f>
        <v/>
      </c>
      <c r="N303" s="12" t="str">
        <f>IF(TOTALCO!N828="", "",TOTALCO!N828)</f>
        <v/>
      </c>
      <c r="O303" s="12" t="str">
        <f>IF(TOTALCO!O828="", "",TOTALCO!O828)</f>
        <v/>
      </c>
      <c r="P303" s="12" t="str">
        <f>IF(TOTALCO!P828="", "",TOTALCO!P828)</f>
        <v/>
      </c>
      <c r="Q303" s="12"/>
      <c r="R303" s="13"/>
    </row>
    <row r="304" spans="1:18" ht="15" x14ac:dyDescent="0.2">
      <c r="A304" s="382">
        <f>IF(TOTALCO!A829="", "",TOTALCO!A829)</f>
        <v>16</v>
      </c>
      <c r="B304" s="4" t="str">
        <f>IF(TOTALCO!B829="", "",TOTALCO!B829)</f>
        <v xml:space="preserve">  FUEL STOCK</v>
      </c>
      <c r="C304" s="4" t="str">
        <f>IF(TOTALCO!C829="", "",TOTALCO!C829)</f>
        <v>ENERGY</v>
      </c>
      <c r="D304" s="12">
        <f ca="1">IF(TOTALCO!D829="", "",TOTALCO!D829)</f>
        <v>89278977.999999985</v>
      </c>
      <c r="E304" s="12" t="str">
        <f>IF(TOTALCO!E829="", "",TOTALCO!E829)</f>
        <v/>
      </c>
      <c r="F304" s="12">
        <f ca="1">IF(TOTALCO!F829="", "",TOTALCO!F829)</f>
        <v>77455484.262884691</v>
      </c>
      <c r="G304" s="12" t="str">
        <f>IF(TOTALCO!G829="", "",TOTALCO!G829)</f>
        <v/>
      </c>
      <c r="H304" s="12">
        <f ca="1">IF(TOTALCO!H829="", "",TOTALCO!H829)</f>
        <v>4095410.6387411822</v>
      </c>
      <c r="I304" s="12">
        <f ca="1">IF(TOTALCO!I829="", "",TOTALCO!I829)</f>
        <v>7728083.098374119</v>
      </c>
      <c r="J304" s="12" t="str">
        <f>IF(TOTALCO!J829="", "",TOTALCO!J829)</f>
        <v/>
      </c>
      <c r="K304" s="12" t="str">
        <f>IF(TOTALCO!K829="", "",TOTALCO!K829)</f>
        <v/>
      </c>
      <c r="L304" s="12">
        <f ca="1">IF(TOTALCO!L829="", "",TOTALCO!L829)</f>
        <v>425.78195862202313</v>
      </c>
      <c r="M304" s="12" t="str">
        <f>IF(TOTALCO!M829="", "",TOTALCO!M829)</f>
        <v/>
      </c>
      <c r="N304" s="12">
        <f ca="1">IF(TOTALCO!N829="", "",TOTALCO!N829)</f>
        <v>7727657.3164154971</v>
      </c>
      <c r="O304" s="12">
        <f ca="1">IF(TOTALCO!O829="", "",TOTALCO!O829)</f>
        <v>2522667.1611161698</v>
      </c>
      <c r="P304" s="12">
        <f ca="1">IF(TOTALCO!P829="", "",TOTALCO!P829)</f>
        <v>5204990.1552993273</v>
      </c>
      <c r="Q304" s="12"/>
      <c r="R304" s="13"/>
    </row>
    <row r="305" spans="1:18" ht="15" x14ac:dyDescent="0.2">
      <c r="A305" s="382" t="str">
        <f>IF(TOTALCO!A830="", "",TOTALCO!A830)</f>
        <v/>
      </c>
      <c r="B305" s="4" t="str">
        <f>IF(TOTALCO!B830="", "",TOTALCO!B830)</f>
        <v xml:space="preserve">  PLANT MATERIAL &amp; SUPPLIES</v>
      </c>
      <c r="C305" s="4" t="str">
        <f>IF(TOTALCO!C830="", "",TOTALCO!C830)</f>
        <v/>
      </c>
      <c r="D305" s="12" t="str">
        <f>IF(TOTALCO!D830="", "",TOTALCO!D830)</f>
        <v/>
      </c>
      <c r="E305" s="12" t="str">
        <f>IF(TOTALCO!E830="", "",TOTALCO!E830)</f>
        <v/>
      </c>
      <c r="F305" s="12" t="str">
        <f>IF(TOTALCO!F830="", "",TOTALCO!F830)</f>
        <v/>
      </c>
      <c r="G305" s="12" t="str">
        <f>IF(TOTALCO!G830="", "",TOTALCO!G830)</f>
        <v/>
      </c>
      <c r="H305" s="12" t="str">
        <f>IF(TOTALCO!H830="", "",TOTALCO!H830)</f>
        <v/>
      </c>
      <c r="I305" s="12" t="str">
        <f>IF(TOTALCO!I830="", "",TOTALCO!I830)</f>
        <v/>
      </c>
      <c r="J305" s="12" t="str">
        <f>IF(TOTALCO!J830="", "",TOTALCO!J830)</f>
        <v/>
      </c>
      <c r="K305" s="12" t="str">
        <f>IF(TOTALCO!K830="", "",TOTALCO!K830)</f>
        <v/>
      </c>
      <c r="L305" s="12" t="str">
        <f>IF(TOTALCO!L830="", "",TOTALCO!L830)</f>
        <v/>
      </c>
      <c r="M305" s="12" t="str">
        <f>IF(TOTALCO!M830="", "",TOTALCO!M830)</f>
        <v/>
      </c>
      <c r="N305" s="12" t="str">
        <f>IF(TOTALCO!N830="", "",TOTALCO!N830)</f>
        <v/>
      </c>
      <c r="O305" s="12" t="str">
        <f>IF(TOTALCO!O830="", "",TOTALCO!O830)</f>
        <v/>
      </c>
      <c r="P305" s="12" t="str">
        <f>IF(TOTALCO!P830="", "",TOTALCO!P830)</f>
        <v/>
      </c>
      <c r="Q305" s="12"/>
      <c r="R305" s="13"/>
    </row>
    <row r="306" spans="1:18" ht="15" x14ac:dyDescent="0.2">
      <c r="A306" s="382">
        <f>IF(TOTALCO!A831="", "",TOTALCO!A831)</f>
        <v>17</v>
      </c>
      <c r="B306" s="4" t="str">
        <f>IF(TOTALCO!B831="", "",TOTALCO!B831)</f>
        <v xml:space="preserve">    PRODUCTION</v>
      </c>
      <c r="C306" s="4" t="str">
        <f>IF(TOTALCO!C831="", "",TOTALCO!C831)</f>
        <v>PRODPLT</v>
      </c>
      <c r="D306" s="12">
        <f ca="1">IF(TOTALCO!D831="", "",TOTALCO!D831)</f>
        <v>24117434.159910001</v>
      </c>
      <c r="E306" s="12" t="str">
        <f>IF(TOTALCO!E831="", "",TOTALCO!E831)</f>
        <v/>
      </c>
      <c r="F306" s="12">
        <f ca="1">IF(TOTALCO!F831="", "",TOTALCO!F831)</f>
        <v>20667010.516504548</v>
      </c>
      <c r="G306" s="12" t="str">
        <f>IF(TOTALCO!G831="", "",TOTALCO!G831)</f>
        <v/>
      </c>
      <c r="H306" s="12">
        <f ca="1">IF(TOTALCO!H831="", "",TOTALCO!H831)</f>
        <v>1250935.3425559681</v>
      </c>
      <c r="I306" s="12">
        <f ca="1">IF(TOTALCO!I831="", "",TOTALCO!I831)</f>
        <v>2199488.3008494824</v>
      </c>
      <c r="J306" s="12" t="str">
        <f>IF(TOTALCO!J831="", "",TOTALCO!J831)</f>
        <v/>
      </c>
      <c r="K306" s="12" t="str">
        <f>IF(TOTALCO!K831="", "",TOTALCO!K831)</f>
        <v/>
      </c>
      <c r="L306" s="12">
        <f ca="1">IF(TOTALCO!L831="", "",TOTALCO!L831)</f>
        <v>182.73293861005729</v>
      </c>
      <c r="M306" s="12" t="str">
        <f>IF(TOTALCO!M831="", "",TOTALCO!M831)</f>
        <v/>
      </c>
      <c r="N306" s="12">
        <f ca="1">IF(TOTALCO!N831="", "",TOTALCO!N831)</f>
        <v>2199305.5679108724</v>
      </c>
      <c r="O306" s="12">
        <f ca="1">IF(TOTALCO!O831="", "",TOTALCO!O831)</f>
        <v>686239.13856606698</v>
      </c>
      <c r="P306" s="12">
        <f ca="1">IF(TOTALCO!P831="", "",TOTALCO!P831)</f>
        <v>1513066.4293448054</v>
      </c>
      <c r="Q306" s="12"/>
      <c r="R306" s="13"/>
    </row>
    <row r="307" spans="1:18" ht="15" x14ac:dyDescent="0.2">
      <c r="A307" s="382">
        <f>IF(TOTALCO!A832="", "",TOTALCO!A832)</f>
        <v>18</v>
      </c>
      <c r="B307" s="4" t="str">
        <f>IF(TOTALCO!B832="", "",TOTALCO!B832)</f>
        <v xml:space="preserve">    TRANSMISSION</v>
      </c>
      <c r="C307" s="4" t="str">
        <f>IF(TOTALCO!C832="", "",TOTALCO!C832)</f>
        <v>TRANPLT</v>
      </c>
      <c r="D307" s="12">
        <f ca="1">IF(TOTALCO!D832="", "",TOTALCO!D832)</f>
        <v>3386564.8713800004</v>
      </c>
      <c r="E307" s="12" t="str">
        <f>IF(TOTALCO!E832="", "",TOTALCO!E832)</f>
        <v/>
      </c>
      <c r="F307" s="12">
        <f ca="1">IF(TOTALCO!F832="", "",TOTALCO!F832)</f>
        <v>2717592.3545860951</v>
      </c>
      <c r="G307" s="12" t="str">
        <f>IF(TOTALCO!G832="", "",TOTALCO!G832)</f>
        <v/>
      </c>
      <c r="H307" s="12">
        <f ca="1">IF(TOTALCO!H832="", "",TOTALCO!H832)</f>
        <v>389011.31734482636</v>
      </c>
      <c r="I307" s="12">
        <f ca="1">IF(TOTALCO!I832="", "",TOTALCO!I832)</f>
        <v>279961.19944907894</v>
      </c>
      <c r="J307" s="12" t="str">
        <f>IF(TOTALCO!J832="", "",TOTALCO!J832)</f>
        <v/>
      </c>
      <c r="K307" s="12" t="str">
        <f>IF(TOTALCO!K832="", "",TOTALCO!K832)</f>
        <v/>
      </c>
      <c r="L307" s="12">
        <f ca="1">IF(TOTALCO!L832="", "",TOTALCO!L832)</f>
        <v>24.028324585269129</v>
      </c>
      <c r="M307" s="12" t="str">
        <f>IF(TOTALCO!M832="", "",TOTALCO!M832)</f>
        <v/>
      </c>
      <c r="N307" s="12">
        <f ca="1">IF(TOTALCO!N832="", "",TOTALCO!N832)</f>
        <v>279937.17112449365</v>
      </c>
      <c r="O307" s="12">
        <f ca="1">IF(TOTALCO!O832="", "",TOTALCO!O832)</f>
        <v>87347.500032737284</v>
      </c>
      <c r="P307" s="12">
        <f ca="1">IF(TOTALCO!P832="", "",TOTALCO!P832)</f>
        <v>192589.67109175638</v>
      </c>
      <c r="Q307" s="12"/>
      <c r="R307" s="13"/>
    </row>
    <row r="308" spans="1:18" ht="15" x14ac:dyDescent="0.2">
      <c r="A308" s="382">
        <f>IF(TOTALCO!A833="", "",TOTALCO!A833)</f>
        <v>19</v>
      </c>
      <c r="B308" s="4" t="str">
        <f>IF(TOTALCO!B833="", "",TOTALCO!B833)</f>
        <v xml:space="preserve">    DISTRIBUTION</v>
      </c>
      <c r="C308" s="4" t="str">
        <f>IF(TOTALCO!C833="", "",TOTALCO!C833)</f>
        <v>DISTPLT</v>
      </c>
      <c r="D308" s="12">
        <f ca="1">IF(TOTALCO!D833="", "",TOTALCO!D833)</f>
        <v>6086545.8707999997</v>
      </c>
      <c r="E308" s="12" t="str">
        <f>IF(TOTALCO!E833="", "",TOTALCO!E833)</f>
        <v/>
      </c>
      <c r="F308" s="12">
        <f ca="1">IF(TOTALCO!F833="", "",TOTALCO!F833)</f>
        <v>5726506.5035210308</v>
      </c>
      <c r="G308" s="12" t="str">
        <f>IF(TOTALCO!G833="", "",TOTALCO!G833)</f>
        <v/>
      </c>
      <c r="H308" s="12">
        <f ca="1">IF(TOTALCO!H833="", "",TOTALCO!H833)</f>
        <v>341003.91497732833</v>
      </c>
      <c r="I308" s="12">
        <f ca="1">IF(TOTALCO!I833="", "",TOTALCO!I833)</f>
        <v>19035.452301641242</v>
      </c>
      <c r="J308" s="12" t="str">
        <f>IF(TOTALCO!J833="", "",TOTALCO!J833)</f>
        <v/>
      </c>
      <c r="K308" s="12" t="str">
        <f>IF(TOTALCO!K833="", "",TOTALCO!K833)</f>
        <v/>
      </c>
      <c r="L308" s="12">
        <f ca="1">IF(TOTALCO!L833="", "",TOTALCO!L833)</f>
        <v>687.89786368506395</v>
      </c>
      <c r="M308" s="12" t="str">
        <f>IF(TOTALCO!M833="", "",TOTALCO!M833)</f>
        <v/>
      </c>
      <c r="N308" s="12">
        <f ca="1">IF(TOTALCO!N833="", "",TOTALCO!N833)</f>
        <v>18347.55443795618</v>
      </c>
      <c r="O308" s="12">
        <f ca="1">IF(TOTALCO!O833="", "",TOTALCO!O833)</f>
        <v>15766.80929884664</v>
      </c>
      <c r="P308" s="12">
        <f ca="1">IF(TOTALCO!P833="", "",TOTALCO!P833)</f>
        <v>2580.745139109541</v>
      </c>
      <c r="Q308" s="12"/>
      <c r="R308" s="13"/>
    </row>
    <row r="309" spans="1:18" ht="15" x14ac:dyDescent="0.2">
      <c r="A309" s="382">
        <f>IF(TOTALCO!A834="", "",TOTALCO!A834)</f>
        <v>20</v>
      </c>
      <c r="B309" s="4" t="str">
        <f>IF(TOTALCO!B834="", "",TOTALCO!B834)</f>
        <v xml:space="preserve">    GENERAL</v>
      </c>
      <c r="C309" s="4" t="str">
        <f>IF(TOTALCO!C834="", "",TOTALCO!C834)</f>
        <v>GENPLT</v>
      </c>
      <c r="D309" s="12">
        <f ca="1">IF(TOTALCO!D834="", "",TOTALCO!D834)</f>
        <v>0</v>
      </c>
      <c r="E309" s="12" t="str">
        <f>IF(TOTALCO!E834="", "",TOTALCO!E834)</f>
        <v/>
      </c>
      <c r="F309" s="12">
        <f ca="1">IF(TOTALCO!F834="", "",TOTALCO!F834)</f>
        <v>0</v>
      </c>
      <c r="G309" s="12" t="str">
        <f>IF(TOTALCO!G834="", "",TOTALCO!G834)</f>
        <v/>
      </c>
      <c r="H309" s="12">
        <f ca="1">IF(TOTALCO!H834="", "",TOTALCO!H834)</f>
        <v>0</v>
      </c>
      <c r="I309" s="12">
        <f ca="1">IF(TOTALCO!I834="", "",TOTALCO!I834)</f>
        <v>0</v>
      </c>
      <c r="J309" s="12" t="str">
        <f>IF(TOTALCO!J834="", "",TOTALCO!J834)</f>
        <v/>
      </c>
      <c r="K309" s="12" t="str">
        <f>IF(TOTALCO!K834="", "",TOTALCO!K834)</f>
        <v/>
      </c>
      <c r="L309" s="12">
        <f ca="1">IF(TOTALCO!L834="", "",TOTALCO!L834)</f>
        <v>0</v>
      </c>
      <c r="M309" s="12" t="str">
        <f>IF(TOTALCO!M834="", "",TOTALCO!M834)</f>
        <v/>
      </c>
      <c r="N309" s="12">
        <f ca="1">IF(TOTALCO!N834="", "",TOTALCO!N834)</f>
        <v>0</v>
      </c>
      <c r="O309" s="12">
        <f ca="1">IF(TOTALCO!O834="", "",TOTALCO!O834)</f>
        <v>0</v>
      </c>
      <c r="P309" s="12">
        <f ca="1">IF(TOTALCO!P834="", "",TOTALCO!P834)</f>
        <v>0</v>
      </c>
      <c r="Q309" s="12"/>
      <c r="R309" s="13"/>
    </row>
    <row r="310" spans="1:18" ht="15" x14ac:dyDescent="0.2">
      <c r="A310" s="382">
        <f>IF(TOTALCO!A835="", "",TOTALCO!A835)</f>
        <v>21</v>
      </c>
      <c r="B310" s="4" t="str">
        <f>IF(TOTALCO!B835="", "",TOTALCO!B835)</f>
        <v xml:space="preserve">    STORES UNDISTRIBUTED</v>
      </c>
      <c r="C310" s="4" t="str">
        <f>IF(TOTALCO!C835="", "",TOTALCO!C835)</f>
        <v>M_S</v>
      </c>
      <c r="D310" s="12">
        <f ca="1">IF(TOTALCO!D835="", "",TOTALCO!D835)</f>
        <v>9844414.0000000019</v>
      </c>
      <c r="E310" s="12" t="str">
        <f>IF(TOTALCO!E835="", "",TOTALCO!E835)</f>
        <v/>
      </c>
      <c r="F310" s="12">
        <f ca="1">IF(TOTALCO!F835="", "",TOTALCO!F835)</f>
        <v>8531621.4285385814</v>
      </c>
      <c r="G310" s="12" t="str">
        <f>IF(TOTALCO!G835="", "",TOTALCO!G835)</f>
        <v/>
      </c>
      <c r="H310" s="12">
        <f ca="1">IF(TOTALCO!H835="", "",TOTALCO!H835)</f>
        <v>580559.13143060904</v>
      </c>
      <c r="I310" s="12">
        <f ca="1">IF(TOTALCO!I835="", "",TOTALCO!I835)</f>
        <v>732233.44003081066</v>
      </c>
      <c r="J310" s="12" t="str">
        <f>IF(TOTALCO!J835="", "",TOTALCO!J835)</f>
        <v/>
      </c>
      <c r="K310" s="12" t="str">
        <f>IF(TOTALCO!K835="", "",TOTALCO!K835)</f>
        <v/>
      </c>
      <c r="L310" s="12">
        <f ca="1">IF(TOTALCO!L835="", "",TOTALCO!L835)</f>
        <v>262.19862939291284</v>
      </c>
      <c r="M310" s="12" t="str">
        <f>IF(TOTALCO!M835="", "",TOTALCO!M835)</f>
        <v/>
      </c>
      <c r="N310" s="12">
        <f ca="1">IF(TOTALCO!N835="", "",TOTALCO!N835)</f>
        <v>731971.24140141776</v>
      </c>
      <c r="O310" s="12">
        <f ca="1">IF(TOTALCO!O835="", "",TOTALCO!O835)</f>
        <v>231336.59058172684</v>
      </c>
      <c r="P310" s="12">
        <f ca="1">IF(TOTALCO!P835="", "",TOTALCO!P835)</f>
        <v>500634.65081969096</v>
      </c>
      <c r="Q310" s="12"/>
      <c r="R310" s="13"/>
    </row>
    <row r="311" spans="1:18" ht="15" x14ac:dyDescent="0.2">
      <c r="A311" s="382">
        <f>IF(TOTALCO!A836="", "",TOTALCO!A836)</f>
        <v>22</v>
      </c>
      <c r="B311" s="4" t="str">
        <f>IF(TOTALCO!B836="", "",TOTALCO!B836)</f>
        <v xml:space="preserve">  TOTAL PLT MAT &amp; SUPPLIES</v>
      </c>
      <c r="C311" s="4" t="str">
        <f>IF(TOTALCO!C836="", "",TOTALCO!C836)</f>
        <v/>
      </c>
      <c r="D311" s="12">
        <f ca="1">IF(TOTALCO!D836="", "",TOTALCO!D836)</f>
        <v>43434958.902090006</v>
      </c>
      <c r="E311" s="12" t="str">
        <f>IF(TOTALCO!E836="", "",TOTALCO!E836)</f>
        <v/>
      </c>
      <c r="F311" s="12">
        <f ca="1">IF(TOTALCO!F836="", "",TOTALCO!F836)</f>
        <v>37642730.803150259</v>
      </c>
      <c r="G311" s="12" t="str">
        <f>IF(TOTALCO!G836="", "",TOTALCO!G836)</f>
        <v/>
      </c>
      <c r="H311" s="12">
        <f ca="1">IF(TOTALCO!H836="", "",TOTALCO!H836)</f>
        <v>2561509.7063087318</v>
      </c>
      <c r="I311" s="12">
        <f ca="1">IF(TOTALCO!I836="", "",TOTALCO!I836)</f>
        <v>3230718.3926310134</v>
      </c>
      <c r="J311" s="12" t="str">
        <f>IF(TOTALCO!J836="", "",TOTALCO!J836)</f>
        <v/>
      </c>
      <c r="K311" s="12" t="str">
        <f>IF(TOTALCO!K836="", "",TOTALCO!K836)</f>
        <v/>
      </c>
      <c r="L311" s="12">
        <f ca="1">IF(TOTALCO!L836="", "",TOTALCO!L836)</f>
        <v>1156.8577562733033</v>
      </c>
      <c r="M311" s="12" t="str">
        <f>IF(TOTALCO!M836="", "",TOTALCO!M836)</f>
        <v/>
      </c>
      <c r="N311" s="12">
        <f ca="1">IF(TOTALCO!N836="", "",TOTALCO!N836)</f>
        <v>3229561.5348747401</v>
      </c>
      <c r="O311" s="12">
        <f ca="1">IF(TOTALCO!O836="", "",TOTALCO!O836)</f>
        <v>1020690.0384793777</v>
      </c>
      <c r="P311" s="12">
        <f ca="1">IF(TOTALCO!P836="", "",TOTALCO!P836)</f>
        <v>2208871.4963953621</v>
      </c>
      <c r="Q311" s="12"/>
      <c r="R311" s="13"/>
    </row>
    <row r="312" spans="1:18" ht="15" x14ac:dyDescent="0.2">
      <c r="A312" s="382">
        <f>IF(TOTALCO!A837="", "",TOTALCO!A837)</f>
        <v>23</v>
      </c>
      <c r="B312" s="4" t="str">
        <f>IF(TOTALCO!B837="", "",TOTALCO!B837)</f>
        <v xml:space="preserve"> TOTAL MATERIALS &amp; SUPPLIES</v>
      </c>
      <c r="C312" s="4" t="str">
        <f>IF(TOTALCO!C837="", "",TOTALCO!C837)</f>
        <v/>
      </c>
      <c r="D312" s="12">
        <f ca="1">IF(TOTALCO!D837="", "",TOTALCO!D837)</f>
        <v>132713936.90209</v>
      </c>
      <c r="E312" s="12" t="str">
        <f>IF(TOTALCO!E837="", "",TOTALCO!E837)</f>
        <v/>
      </c>
      <c r="F312" s="12">
        <f ca="1">IF(TOTALCO!F837="", "",TOTALCO!F837)</f>
        <v>115098215.06603494</v>
      </c>
      <c r="G312" s="12" t="str">
        <f>IF(TOTALCO!G837="", "",TOTALCO!G837)</f>
        <v/>
      </c>
      <c r="H312" s="12">
        <f ca="1">IF(TOTALCO!H837="", "",TOTALCO!H837)</f>
        <v>6656920.345049914</v>
      </c>
      <c r="I312" s="12">
        <f ca="1">IF(TOTALCO!I837="", "",TOTALCO!I837)</f>
        <v>10958801.491005132</v>
      </c>
      <c r="J312" s="12" t="str">
        <f>IF(TOTALCO!J837="", "",TOTALCO!J837)</f>
        <v/>
      </c>
      <c r="K312" s="12" t="str">
        <f>IF(TOTALCO!K837="", "",TOTALCO!K837)</f>
        <v/>
      </c>
      <c r="L312" s="12">
        <f ca="1">IF(TOTALCO!L837="", "",TOTALCO!L837)</f>
        <v>1582.6397148953265</v>
      </c>
      <c r="M312" s="12" t="str">
        <f>IF(TOTALCO!M837="", "",TOTALCO!M837)</f>
        <v/>
      </c>
      <c r="N312" s="12">
        <f ca="1">IF(TOTALCO!N837="", "",TOTALCO!N837)</f>
        <v>10957218.851290237</v>
      </c>
      <c r="O312" s="12">
        <f ca="1">IF(TOTALCO!O837="", "",TOTALCO!O837)</f>
        <v>3543357.1995955473</v>
      </c>
      <c r="P312" s="12">
        <f ca="1">IF(TOTALCO!P837="", "",TOTALCO!P837)</f>
        <v>7413861.6516946889</v>
      </c>
      <c r="Q312" s="12"/>
      <c r="R312" s="13"/>
    </row>
    <row r="313" spans="1:18" ht="15" x14ac:dyDescent="0.2">
      <c r="A313" s="382" t="str">
        <f>IF(TOTALCO!A838="", "",TOTALCO!A838)</f>
        <v/>
      </c>
      <c r="B313" s="4" t="str">
        <f>IF(TOTALCO!B838="", "",TOTALCO!B838)</f>
        <v/>
      </c>
      <c r="C313" s="4" t="str">
        <f>IF(TOTALCO!C838="", "",TOTALCO!C838)</f>
        <v/>
      </c>
      <c r="D313" s="12" t="str">
        <f>IF(TOTALCO!D838="", "",TOTALCO!D838)</f>
        <v/>
      </c>
      <c r="E313" s="12" t="str">
        <f>IF(TOTALCO!E838="", "",TOTALCO!E838)</f>
        <v/>
      </c>
      <c r="F313" s="12" t="str">
        <f>IF(TOTALCO!F838="", "",TOTALCO!F838)</f>
        <v/>
      </c>
      <c r="G313" s="12" t="str">
        <f>IF(TOTALCO!G838="", "",TOTALCO!G838)</f>
        <v/>
      </c>
      <c r="H313" s="12" t="str">
        <f>IF(TOTALCO!H838="", "",TOTALCO!H838)</f>
        <v/>
      </c>
      <c r="I313" s="12" t="str">
        <f>IF(TOTALCO!I838="", "",TOTALCO!I838)</f>
        <v/>
      </c>
      <c r="J313" s="12" t="str">
        <f>IF(TOTALCO!J838="", "",TOTALCO!J838)</f>
        <v/>
      </c>
      <c r="K313" s="12" t="str">
        <f>IF(TOTALCO!K838="", "",TOTALCO!K838)</f>
        <v/>
      </c>
      <c r="L313" s="12" t="str">
        <f>IF(TOTALCO!L838="", "",TOTALCO!L838)</f>
        <v/>
      </c>
      <c r="M313" s="12" t="str">
        <f>IF(TOTALCO!M838="", "",TOTALCO!M838)</f>
        <v/>
      </c>
      <c r="N313" s="12" t="str">
        <f>IF(TOTALCO!N838="", "",TOTALCO!N838)</f>
        <v/>
      </c>
      <c r="O313" s="12" t="str">
        <f>IF(TOTALCO!O838="", "",TOTALCO!O838)</f>
        <v/>
      </c>
      <c r="P313" s="12" t="str">
        <f>IF(TOTALCO!P838="", "",TOTALCO!P838)</f>
        <v/>
      </c>
      <c r="Q313" s="12"/>
      <c r="R313" s="13"/>
    </row>
    <row r="314" spans="1:18" ht="15" x14ac:dyDescent="0.2">
      <c r="A314" s="382" t="str">
        <f>IF(TOTALCO!A839="", "",TOTALCO!A839)</f>
        <v/>
      </c>
      <c r="B314" s="4" t="str">
        <f>IF(TOTALCO!B839="", "",TOTALCO!B839)</f>
        <v xml:space="preserve"> PREPAYMENTS</v>
      </c>
      <c r="C314" s="4" t="str">
        <f>IF(TOTALCO!C839="", "",TOTALCO!C839)</f>
        <v/>
      </c>
      <c r="D314" s="12" t="str">
        <f>IF(TOTALCO!D839="", "",TOTALCO!D839)</f>
        <v/>
      </c>
      <c r="E314" s="12" t="str">
        <f>IF(TOTALCO!E839="", "",TOTALCO!E839)</f>
        <v/>
      </c>
      <c r="F314" s="12" t="str">
        <f>IF(TOTALCO!F839="", "",TOTALCO!F839)</f>
        <v/>
      </c>
      <c r="G314" s="12" t="str">
        <f>IF(TOTALCO!G839="", "",TOTALCO!G839)</f>
        <v/>
      </c>
      <c r="H314" s="12" t="str">
        <f>IF(TOTALCO!H839="", "",TOTALCO!H839)</f>
        <v/>
      </c>
      <c r="I314" s="12" t="str">
        <f>IF(TOTALCO!I839="", "",TOTALCO!I839)</f>
        <v/>
      </c>
      <c r="J314" s="12" t="str">
        <f>IF(TOTALCO!J839="", "",TOTALCO!J839)</f>
        <v/>
      </c>
      <c r="K314" s="12" t="str">
        <f>IF(TOTALCO!K839="", "",TOTALCO!K839)</f>
        <v/>
      </c>
      <c r="L314" s="12" t="str">
        <f>IF(TOTALCO!L839="", "",TOTALCO!L839)</f>
        <v/>
      </c>
      <c r="M314" s="12" t="str">
        <f>IF(TOTALCO!M839="", "",TOTALCO!M839)</f>
        <v/>
      </c>
      <c r="N314" s="12" t="str">
        <f>IF(TOTALCO!N839="", "",TOTALCO!N839)</f>
        <v/>
      </c>
      <c r="O314" s="12" t="str">
        <f>IF(TOTALCO!O839="", "",TOTALCO!O839)</f>
        <v/>
      </c>
      <c r="P314" s="12" t="str">
        <f>IF(TOTALCO!P839="", "",TOTALCO!P839)</f>
        <v/>
      </c>
      <c r="Q314" s="12"/>
      <c r="R314" s="13"/>
    </row>
    <row r="315" spans="1:18" ht="15" x14ac:dyDescent="0.2">
      <c r="A315" s="382">
        <f>IF(TOTALCO!A840="", "",TOTALCO!A840)</f>
        <v>24</v>
      </c>
      <c r="B315" s="4" t="str">
        <f>IF(TOTALCO!B840="", "",TOTALCO!B840)</f>
        <v xml:space="preserve">  PREPAYMENTS OTHER THAN TAXES</v>
      </c>
      <c r="C315" s="4" t="str">
        <f>IF(TOTALCO!C840="", "",TOTALCO!C840)</f>
        <v>EXP9245TOT</v>
      </c>
      <c r="D315" s="12">
        <f ca="1">IF(TOTALCO!D840="", "",TOTALCO!D840)</f>
        <v>6284027.9999999991</v>
      </c>
      <c r="E315" s="12" t="str">
        <f>IF(TOTALCO!E840="", "",TOTALCO!E840)</f>
        <v/>
      </c>
      <c r="F315" s="12">
        <f ca="1">IF(TOTALCO!F840="", "",TOTALCO!F840)</f>
        <v>5524818.8476915052</v>
      </c>
      <c r="G315" s="12" t="str">
        <f>IF(TOTALCO!G840="", "",TOTALCO!G840)</f>
        <v/>
      </c>
      <c r="H315" s="12">
        <f ca="1">IF(TOTALCO!H840="", "",TOTALCO!H840)</f>
        <v>360096.60715444217</v>
      </c>
      <c r="I315" s="12">
        <f ca="1">IF(TOTALCO!I840="", "",TOTALCO!I840)</f>
        <v>399112.54515405226</v>
      </c>
      <c r="J315" s="12" t="str">
        <f>IF(TOTALCO!J840="", "",TOTALCO!J840)</f>
        <v/>
      </c>
      <c r="K315" s="12" t="str">
        <f>IF(TOTALCO!K840="", "",TOTALCO!K840)</f>
        <v/>
      </c>
      <c r="L315" s="12">
        <f ca="1">IF(TOTALCO!L840="", "",TOTALCO!L840)</f>
        <v>195.76879170054093</v>
      </c>
      <c r="M315" s="12" t="str">
        <f>IF(TOTALCO!M840="", "",TOTALCO!M840)</f>
        <v/>
      </c>
      <c r="N315" s="12">
        <f ca="1">IF(TOTALCO!N840="", "",TOTALCO!N840)</f>
        <v>398916.77636235172</v>
      </c>
      <c r="O315" s="12">
        <f ca="1">IF(TOTALCO!O840="", "",TOTALCO!O840)</f>
        <v>127831.72843074553</v>
      </c>
      <c r="P315" s="12">
        <f ca="1">IF(TOTALCO!P840="", "",TOTALCO!P840)</f>
        <v>271085.04793160618</v>
      </c>
      <c r="Q315" s="12"/>
      <c r="R315" s="13"/>
    </row>
    <row r="316" spans="1:18" ht="15" x14ac:dyDescent="0.2">
      <c r="A316" s="382">
        <f>IF(TOTALCO!A841="", "",TOTALCO!A841)</f>
        <v>25</v>
      </c>
      <c r="B316" s="4" t="str">
        <f>IF(TOTALCO!B841="", "",TOTALCO!B841)</f>
        <v xml:space="preserve">  PUBLIC SERVICE COMM TAX</v>
      </c>
      <c r="C316" s="4" t="str">
        <f>IF(TOTALCO!C841="", "",TOTALCO!C841)</f>
        <v>REVKY</v>
      </c>
      <c r="D316" s="12">
        <f ca="1">IF(TOTALCO!D841="", "",TOTALCO!D841)</f>
        <v>1042648</v>
      </c>
      <c r="E316" s="12" t="str">
        <f>IF(TOTALCO!E841="", "",TOTALCO!E841)</f>
        <v/>
      </c>
      <c r="F316" s="12">
        <f ca="1">IF(TOTALCO!F841="", "",TOTALCO!F841)</f>
        <v>1042648</v>
      </c>
      <c r="G316" s="12" t="str">
        <f>IF(TOTALCO!G841="", "",TOTALCO!G841)</f>
        <v/>
      </c>
      <c r="H316" s="12">
        <f ca="1">IF(TOTALCO!H841="", "",TOTALCO!H841)</f>
        <v>0</v>
      </c>
      <c r="I316" s="12">
        <f ca="1">IF(TOTALCO!I841="", "",TOTALCO!I841)</f>
        <v>0</v>
      </c>
      <c r="J316" s="12" t="str">
        <f>IF(TOTALCO!J841="", "",TOTALCO!J841)</f>
        <v/>
      </c>
      <c r="K316" s="12" t="str">
        <f>IF(TOTALCO!K841="", "",TOTALCO!K841)</f>
        <v/>
      </c>
      <c r="L316" s="12">
        <f ca="1">IF(TOTALCO!L841="", "",TOTALCO!L841)</f>
        <v>0</v>
      </c>
      <c r="M316" s="12" t="str">
        <f>IF(TOTALCO!M841="", "",TOTALCO!M841)</f>
        <v/>
      </c>
      <c r="N316" s="12">
        <f ca="1">IF(TOTALCO!N841="", "",TOTALCO!N841)</f>
        <v>0</v>
      </c>
      <c r="O316" s="12">
        <f ca="1">IF(TOTALCO!O841="", "",TOTALCO!O841)</f>
        <v>0</v>
      </c>
      <c r="P316" s="12">
        <f ca="1">IF(TOTALCO!P841="", "",TOTALCO!P841)</f>
        <v>0</v>
      </c>
      <c r="Q316" s="12"/>
      <c r="R316" s="13"/>
    </row>
    <row r="317" spans="1:18" ht="15" x14ac:dyDescent="0.2">
      <c r="A317" s="382">
        <f>IF(TOTALCO!A842="", "",TOTALCO!A842)</f>
        <v>26</v>
      </c>
      <c r="B317" s="4" t="str">
        <f>IF(TOTALCO!B842="", "",TOTALCO!B842)</f>
        <v xml:space="preserve"> TOTAL PREPAYMENTS</v>
      </c>
      <c r="C317" s="4" t="str">
        <f>IF(TOTALCO!C842="", "",TOTALCO!C842)</f>
        <v/>
      </c>
      <c r="D317" s="12">
        <f ca="1">IF(TOTALCO!D842="", "",TOTALCO!D842)</f>
        <v>7326675.9999999991</v>
      </c>
      <c r="E317" s="12" t="str">
        <f>IF(TOTALCO!E842="", "",TOTALCO!E842)</f>
        <v/>
      </c>
      <c r="F317" s="12">
        <f ca="1">IF(TOTALCO!F842="", "",TOTALCO!F842)</f>
        <v>6567466.8476915052</v>
      </c>
      <c r="G317" s="12" t="str">
        <f>IF(TOTALCO!G842="", "",TOTALCO!G842)</f>
        <v/>
      </c>
      <c r="H317" s="12">
        <f ca="1">IF(TOTALCO!H842="", "",TOTALCO!H842)</f>
        <v>360096.60715444217</v>
      </c>
      <c r="I317" s="12">
        <f ca="1">IF(TOTALCO!I842="", "",TOTALCO!I842)</f>
        <v>399112.54515405226</v>
      </c>
      <c r="J317" s="12" t="str">
        <f>IF(TOTALCO!J842="", "",TOTALCO!J842)</f>
        <v/>
      </c>
      <c r="K317" s="12" t="str">
        <f>IF(TOTALCO!K842="", "",TOTALCO!K842)</f>
        <v/>
      </c>
      <c r="L317" s="12">
        <f ca="1">IF(TOTALCO!L842="", "",TOTALCO!L842)</f>
        <v>195.76879170054093</v>
      </c>
      <c r="M317" s="12" t="str">
        <f>IF(TOTALCO!M842="", "",TOTALCO!M842)</f>
        <v/>
      </c>
      <c r="N317" s="12">
        <f ca="1">IF(TOTALCO!N842="", "",TOTALCO!N842)</f>
        <v>398916.77636235172</v>
      </c>
      <c r="O317" s="12">
        <f ca="1">IF(TOTALCO!O842="", "",TOTALCO!O842)</f>
        <v>127831.72843074553</v>
      </c>
      <c r="P317" s="12">
        <f ca="1">IF(TOTALCO!P842="", "",TOTALCO!P842)</f>
        <v>271085.04793160618</v>
      </c>
      <c r="Q317" s="12"/>
      <c r="R317" s="13"/>
    </row>
    <row r="318" spans="1:18" ht="15" x14ac:dyDescent="0.2">
      <c r="A318" s="382" t="str">
        <f>IF(TOTALCO!A843="", "",TOTALCO!A843)</f>
        <v/>
      </c>
      <c r="B318" s="4" t="str">
        <f>IF(TOTALCO!B843="", "",TOTALCO!B843)</f>
        <v/>
      </c>
      <c r="C318" s="4" t="str">
        <f>IF(TOTALCO!C843="", "",TOTALCO!C843)</f>
        <v/>
      </c>
      <c r="D318" s="12" t="str">
        <f>IF(TOTALCO!D843="", "",TOTALCO!D843)</f>
        <v/>
      </c>
      <c r="E318" s="12" t="str">
        <f>IF(TOTALCO!E843="", "",TOTALCO!E843)</f>
        <v/>
      </c>
      <c r="F318" s="12" t="str">
        <f>IF(TOTALCO!F843="", "",TOTALCO!F843)</f>
        <v/>
      </c>
      <c r="G318" s="12" t="str">
        <f>IF(TOTALCO!G843="", "",TOTALCO!G843)</f>
        <v/>
      </c>
      <c r="H318" s="12" t="str">
        <f>IF(TOTALCO!H843="", "",TOTALCO!H843)</f>
        <v/>
      </c>
      <c r="I318" s="12" t="str">
        <f>IF(TOTALCO!I843="", "",TOTALCO!I843)</f>
        <v/>
      </c>
      <c r="J318" s="12" t="str">
        <f>IF(TOTALCO!J843="", "",TOTALCO!J843)</f>
        <v/>
      </c>
      <c r="K318" s="12" t="str">
        <f>IF(TOTALCO!K843="", "",TOTALCO!K843)</f>
        <v/>
      </c>
      <c r="L318" s="12" t="str">
        <f>IF(TOTALCO!L843="", "",TOTALCO!L843)</f>
        <v/>
      </c>
      <c r="M318" s="12" t="str">
        <f>IF(TOTALCO!M843="", "",TOTALCO!M843)</f>
        <v/>
      </c>
      <c r="N318" s="12" t="str">
        <f>IF(TOTALCO!N843="", "",TOTALCO!N843)</f>
        <v/>
      </c>
      <c r="O318" s="12" t="str">
        <f>IF(TOTALCO!O843="", "",TOTALCO!O843)</f>
        <v/>
      </c>
      <c r="P318" s="12" t="str">
        <f>IF(TOTALCO!P843="", "",TOTALCO!P843)</f>
        <v/>
      </c>
      <c r="Q318" s="12"/>
      <c r="R318" s="13"/>
    </row>
    <row r="319" spans="1:18" ht="15" x14ac:dyDescent="0.2">
      <c r="A319" s="382">
        <f>IF(TOTALCO!A844="", "",TOTALCO!A844)</f>
        <v>27</v>
      </c>
      <c r="B319" s="4" t="str">
        <f>IF(TOTALCO!B844="", "",TOTALCO!B844)</f>
        <v xml:space="preserve"> WORKING CASH - CALC BY JURIS</v>
      </c>
      <c r="C319" s="4" t="str">
        <f>IF(TOTALCO!C844="", "",TOTALCO!C844)</f>
        <v/>
      </c>
      <c r="D319" s="12">
        <f ca="1">IF(TOTALCO!D844="", "",TOTALCO!D844)</f>
        <v>104067439.13621081</v>
      </c>
      <c r="E319" s="12" t="str">
        <f>IF(TOTALCO!E844="", "",TOTALCO!E844)</f>
        <v/>
      </c>
      <c r="F319" s="12">
        <f ca="1">IF(TOTALCO!F844="", "",TOTALCO!F844)</f>
        <v>96090910.252275959</v>
      </c>
      <c r="G319" s="12" t="str">
        <f>IF(TOTALCO!G844="", "",TOTALCO!G844)</f>
        <v/>
      </c>
      <c r="H319" s="12">
        <f>IF(TOTALCO!H844="", "",TOTALCO!H844)</f>
        <v>0</v>
      </c>
      <c r="I319" s="12">
        <f ca="1">IF(TOTALCO!I844="", "",TOTALCO!I844)</f>
        <v>7976528.8839348536</v>
      </c>
      <c r="J319" s="12" t="str">
        <f>IF(TOTALCO!J844="", "",TOTALCO!J844)</f>
        <v/>
      </c>
      <c r="K319" s="12" t="str">
        <f>IF(TOTALCO!K844="", "",TOTALCO!K844)</f>
        <v/>
      </c>
      <c r="L319" s="12">
        <f ca="1">IF(TOTALCO!L844="", "",TOTALCO!L844)</f>
        <v>1716.2047600187343</v>
      </c>
      <c r="M319" s="12" t="str">
        <f>IF(TOTALCO!M844="", "",TOTALCO!M844)</f>
        <v/>
      </c>
      <c r="N319" s="12">
        <f ca="1">IF(TOTALCO!N844="", "",TOTALCO!N844)</f>
        <v>7974812.6791748349</v>
      </c>
      <c r="O319" s="12">
        <f ca="1">IF(TOTALCO!O844="", "",TOTALCO!O844)</f>
        <v>2592827.9473244175</v>
      </c>
      <c r="P319" s="12">
        <f ca="1">IF(TOTALCO!P844="", "",TOTALCO!P844)</f>
        <v>5381984.7318504173</v>
      </c>
      <c r="Q319" s="12"/>
      <c r="R319" s="13"/>
    </row>
    <row r="320" spans="1:18" ht="15" x14ac:dyDescent="0.2">
      <c r="A320" s="382" t="str">
        <f>IF(TOTALCO!A845="", "",TOTALCO!A845)</f>
        <v/>
      </c>
      <c r="B320" s="4" t="str">
        <f>IF(TOTALCO!B845="", "",TOTALCO!B845)</f>
        <v/>
      </c>
      <c r="C320" s="4" t="str">
        <f>IF(TOTALCO!C845="", "",TOTALCO!C845)</f>
        <v/>
      </c>
      <c r="D320" s="12" t="str">
        <f>IF(TOTALCO!D845="", "",TOTALCO!D845)</f>
        <v/>
      </c>
      <c r="E320" s="12" t="str">
        <f>IF(TOTALCO!E845="", "",TOTALCO!E845)</f>
        <v/>
      </c>
      <c r="F320" s="12" t="str">
        <f>IF(TOTALCO!F845="", "",TOTALCO!F845)</f>
        <v/>
      </c>
      <c r="G320" s="12" t="str">
        <f>IF(TOTALCO!G845="", "",TOTALCO!G845)</f>
        <v/>
      </c>
      <c r="H320" s="12" t="str">
        <f>IF(TOTALCO!H845="", "",TOTALCO!H845)</f>
        <v/>
      </c>
      <c r="I320" s="12" t="str">
        <f>IF(TOTALCO!I845="", "",TOTALCO!I845)</f>
        <v/>
      </c>
      <c r="J320" s="12" t="str">
        <f>IF(TOTALCO!J845="", "",TOTALCO!J845)</f>
        <v/>
      </c>
      <c r="K320" s="12" t="str">
        <f>IF(TOTALCO!K845="", "",TOTALCO!K845)</f>
        <v/>
      </c>
      <c r="L320" s="12" t="str">
        <f>IF(TOTALCO!L845="", "",TOTALCO!L845)</f>
        <v/>
      </c>
      <c r="M320" s="12" t="str">
        <f>IF(TOTALCO!M845="", "",TOTALCO!M845)</f>
        <v/>
      </c>
      <c r="N320" s="12" t="str">
        <f>IF(TOTALCO!N845="", "",TOTALCO!N845)</f>
        <v/>
      </c>
      <c r="O320" s="12" t="str">
        <f>IF(TOTALCO!O845="", "",TOTALCO!O845)</f>
        <v/>
      </c>
      <c r="P320" s="12" t="str">
        <f>IF(TOTALCO!P845="", "",TOTALCO!P845)</f>
        <v/>
      </c>
      <c r="Q320" s="12"/>
      <c r="R320" s="13"/>
    </row>
    <row r="321" spans="1:18" ht="15" x14ac:dyDescent="0.2">
      <c r="A321" s="382">
        <f>IF(TOTALCO!A846="", "",TOTALCO!A846)</f>
        <v>28</v>
      </c>
      <c r="B321" s="4" t="str">
        <f>IF(TOTALCO!B846="", "",TOTALCO!B846)</f>
        <v>TOTAL WORKING CAPITAL</v>
      </c>
      <c r="C321" s="4" t="str">
        <f>IF(TOTALCO!C846="", "",TOTALCO!C846)</f>
        <v/>
      </c>
      <c r="D321" s="12">
        <f ca="1">IF(TOTALCO!D846="", "",TOTALCO!D846)</f>
        <v>244108052.03830078</v>
      </c>
      <c r="E321" s="12" t="str">
        <f>IF(TOTALCO!E846="", "",TOTALCO!E846)</f>
        <v/>
      </c>
      <c r="F321" s="12">
        <f ca="1">IF(TOTALCO!F846="", "",TOTALCO!F846)</f>
        <v>217756592.16600239</v>
      </c>
      <c r="G321" s="12" t="str">
        <f>IF(TOTALCO!G846="", "",TOTALCO!G846)</f>
        <v/>
      </c>
      <c r="H321" s="12">
        <f ca="1">IF(TOTALCO!H846="", "",TOTALCO!H846)</f>
        <v>7017016.952204356</v>
      </c>
      <c r="I321" s="12">
        <f ca="1">IF(TOTALCO!I846="", "",TOTALCO!I846)</f>
        <v>19334442.920094036</v>
      </c>
      <c r="J321" s="12" t="str">
        <f>IF(TOTALCO!J846="", "",TOTALCO!J846)</f>
        <v/>
      </c>
      <c r="K321" s="12" t="str">
        <f>IF(TOTALCO!K846="", "",TOTALCO!K846)</f>
        <v/>
      </c>
      <c r="L321" s="12">
        <f ca="1">IF(TOTALCO!L846="", "",TOTALCO!L846)</f>
        <v>3494.6132666146018</v>
      </c>
      <c r="M321" s="12" t="str">
        <f>IF(TOTALCO!M846="", "",TOTALCO!M846)</f>
        <v/>
      </c>
      <c r="N321" s="12">
        <f ca="1">IF(TOTALCO!N846="", "",TOTALCO!N846)</f>
        <v>19330948.306827422</v>
      </c>
      <c r="O321" s="12">
        <f ca="1">IF(TOTALCO!O846="", "",TOTALCO!O846)</f>
        <v>6264016.87535071</v>
      </c>
      <c r="P321" s="12">
        <f ca="1">IF(TOTALCO!P846="", "",TOTALCO!P846)</f>
        <v>13066931.431476712</v>
      </c>
      <c r="Q321" s="12"/>
      <c r="R321" s="13"/>
    </row>
    <row r="322" spans="1:18" ht="15" x14ac:dyDescent="0.2">
      <c r="A322" s="382" t="str">
        <f>IF(TOTALCO!A847="", "",TOTALCO!A847)</f>
        <v/>
      </c>
      <c r="B322" s="4" t="str">
        <f>IF(TOTALCO!B847="", "",TOTALCO!B847)</f>
        <v/>
      </c>
      <c r="C322" s="4" t="str">
        <f>IF(TOTALCO!C847="", "",TOTALCO!C847)</f>
        <v/>
      </c>
      <c r="D322" s="12" t="str">
        <f>IF(TOTALCO!D847="", "",TOTALCO!D847)</f>
        <v/>
      </c>
      <c r="E322" s="12" t="str">
        <f>IF(TOTALCO!E847="", "",TOTALCO!E847)</f>
        <v/>
      </c>
      <c r="F322" s="12" t="str">
        <f>IF(TOTALCO!F847="", "",TOTALCO!F847)</f>
        <v/>
      </c>
      <c r="G322" s="12" t="str">
        <f>IF(TOTALCO!G847="", "",TOTALCO!G847)</f>
        <v/>
      </c>
      <c r="H322" s="12" t="str">
        <f>IF(TOTALCO!H847="", "",TOTALCO!H847)</f>
        <v/>
      </c>
      <c r="I322" s="12" t="str">
        <f>IF(TOTALCO!I847="", "",TOTALCO!I847)</f>
        <v/>
      </c>
      <c r="J322" s="12" t="str">
        <f>IF(TOTALCO!J847="", "",TOTALCO!J847)</f>
        <v/>
      </c>
      <c r="K322" s="12" t="str">
        <f>IF(TOTALCO!K847="", "",TOTALCO!K847)</f>
        <v/>
      </c>
      <c r="L322" s="12" t="str">
        <f>IF(TOTALCO!L847="", "",TOTALCO!L847)</f>
        <v/>
      </c>
      <c r="M322" s="12" t="str">
        <f>IF(TOTALCO!M847="", "",TOTALCO!M847)</f>
        <v/>
      </c>
      <c r="N322" s="12" t="str">
        <f>IF(TOTALCO!N847="", "",TOTALCO!N847)</f>
        <v/>
      </c>
      <c r="O322" s="12" t="str">
        <f>IF(TOTALCO!O847="", "",TOTALCO!O847)</f>
        <v/>
      </c>
      <c r="P322" s="12" t="str">
        <f>IF(TOTALCO!P847="", "",TOTALCO!P847)</f>
        <v/>
      </c>
      <c r="Q322" s="12"/>
      <c r="R322" s="13"/>
    </row>
    <row r="323" spans="1:18" ht="15" x14ac:dyDescent="0.2">
      <c r="A323" s="382">
        <f>IF(TOTALCO!A848="", "",TOTALCO!A848)</f>
        <v>29</v>
      </c>
      <c r="B323" s="4" t="str">
        <f>IF(TOTALCO!B848="", "",TOTALCO!B848)</f>
        <v>EMISSION ALLOWANCES</v>
      </c>
      <c r="C323" s="4" t="str">
        <f>IF(TOTALCO!C848="", "",TOTALCO!C848)</f>
        <v>DEMPROD</v>
      </c>
      <c r="D323" s="12">
        <f ca="1">IF(TOTALCO!D848="", "",TOTALCO!D848)</f>
        <v>480272</v>
      </c>
      <c r="E323" s="12" t="str">
        <f>IF(TOTALCO!E848="", "",TOTALCO!E848)</f>
        <v/>
      </c>
      <c r="F323" s="12">
        <f ca="1">IF(TOTALCO!F848="", "",TOTALCO!F848)</f>
        <v>415670.69643548207</v>
      </c>
      <c r="G323" s="12" t="str">
        <f>IF(TOTALCO!G848="", "",TOTALCO!G848)</f>
        <v/>
      </c>
      <c r="H323" s="12">
        <f ca="1">IF(TOTALCO!H848="", "",TOTALCO!H848)</f>
        <v>24411.106095953157</v>
      </c>
      <c r="I323" s="12">
        <f ca="1">IF(TOTALCO!I848="", "",TOTALCO!I848)</f>
        <v>40190.197468564773</v>
      </c>
      <c r="J323" s="12" t="str">
        <f>IF(TOTALCO!J848="", "",TOTALCO!J848)</f>
        <v/>
      </c>
      <c r="K323" s="12" t="str">
        <f>IF(TOTALCO!K848="", "",TOTALCO!K848)</f>
        <v/>
      </c>
      <c r="L323" s="12">
        <f ca="1">IF(TOTALCO!L848="", "",TOTALCO!L848)</f>
        <v>3.6752643926457633</v>
      </c>
      <c r="M323" s="12" t="str">
        <f>IF(TOTALCO!M848="", "",TOTALCO!M848)</f>
        <v/>
      </c>
      <c r="N323" s="12">
        <f ca="1">IF(TOTALCO!N848="", "",TOTALCO!N848)</f>
        <v>40186.522204172128</v>
      </c>
      <c r="O323" s="12">
        <f ca="1">IF(TOTALCO!O848="", "",TOTALCO!O848)</f>
        <v>12539.214551051777</v>
      </c>
      <c r="P323" s="12">
        <f ca="1">IF(TOTALCO!P848="", "",TOTALCO!P848)</f>
        <v>27647.307653120348</v>
      </c>
      <c r="Q323" s="12"/>
      <c r="R323" s="13"/>
    </row>
    <row r="324" spans="1:18" ht="15" x14ac:dyDescent="0.2">
      <c r="A324" s="382" t="str">
        <f>IF(TOTALCO!A849="", "",TOTALCO!A849)</f>
        <v/>
      </c>
      <c r="B324" s="4" t="str">
        <f>IF(TOTALCO!B849="", "",TOTALCO!B849)</f>
        <v/>
      </c>
      <c r="C324" s="4" t="str">
        <f>IF(TOTALCO!C849="", "",TOTALCO!C849)</f>
        <v/>
      </c>
      <c r="D324" s="12" t="str">
        <f>IF(TOTALCO!D849="", "",TOTALCO!D849)</f>
        <v/>
      </c>
      <c r="E324" s="12" t="str">
        <f>IF(TOTALCO!E849="", "",TOTALCO!E849)</f>
        <v/>
      </c>
      <c r="F324" s="12" t="str">
        <f>IF(TOTALCO!F849="", "",TOTALCO!F849)</f>
        <v/>
      </c>
      <c r="G324" s="12" t="str">
        <f>IF(TOTALCO!G849="", "",TOTALCO!G849)</f>
        <v/>
      </c>
      <c r="H324" s="12" t="str">
        <f>IF(TOTALCO!H849="", "",TOTALCO!H849)</f>
        <v/>
      </c>
      <c r="I324" s="12" t="str">
        <f>IF(TOTALCO!I849="", "",TOTALCO!I849)</f>
        <v/>
      </c>
      <c r="J324" s="12" t="str">
        <f>IF(TOTALCO!J849="", "",TOTALCO!J849)</f>
        <v/>
      </c>
      <c r="K324" s="12" t="str">
        <f>IF(TOTALCO!K849="", "",TOTALCO!K849)</f>
        <v/>
      </c>
      <c r="L324" s="12" t="str">
        <f>IF(TOTALCO!L849="", "",TOTALCO!L849)</f>
        <v/>
      </c>
      <c r="M324" s="12" t="str">
        <f>IF(TOTALCO!M849="", "",TOTALCO!M849)</f>
        <v/>
      </c>
      <c r="N324" s="12" t="str">
        <f>IF(TOTALCO!N849="", "",TOTALCO!N849)</f>
        <v/>
      </c>
      <c r="O324" s="12" t="str">
        <f>IF(TOTALCO!O849="", "",TOTALCO!O849)</f>
        <v/>
      </c>
      <c r="P324" s="12" t="str">
        <f>IF(TOTALCO!P849="", "",TOTALCO!P849)</f>
        <v/>
      </c>
      <c r="Q324" s="12"/>
      <c r="R324" s="13"/>
    </row>
    <row r="325" spans="1:18" ht="15" x14ac:dyDescent="0.2">
      <c r="A325" s="382">
        <f>IF(TOTALCO!A850="", "",TOTALCO!A850)</f>
        <v>30</v>
      </c>
      <c r="B325" s="4" t="str">
        <f>IF(TOTALCO!B850="", "",TOTALCO!B850)</f>
        <v>TOTAL ADDITIONS TO NET PLANT</v>
      </c>
      <c r="C325" s="4" t="str">
        <f>IF(TOTALCO!C850="", "",TOTALCO!C850)</f>
        <v/>
      </c>
      <c r="D325" s="12">
        <f ca="1">IF(TOTALCO!D850="", "",TOTALCO!D850)</f>
        <v>589826762.35830104</v>
      </c>
      <c r="E325" s="12" t="str">
        <f>IF(TOTALCO!E850="", "",TOTALCO!E850)</f>
        <v/>
      </c>
      <c r="F325" s="12">
        <f ca="1">IF(TOTALCO!F850="", "",TOTALCO!F850)</f>
        <v>517735262.83334851</v>
      </c>
      <c r="G325" s="12" t="str">
        <f>IF(TOTALCO!G850="", "",TOTALCO!G850)</f>
        <v/>
      </c>
      <c r="H325" s="12">
        <f ca="1">IF(TOTALCO!H850="", "",TOTALCO!H850)</f>
        <v>25581141.642599273</v>
      </c>
      <c r="I325" s="12">
        <f ca="1">IF(TOTALCO!I850="", "",TOTALCO!I850)</f>
        <v>46510357.882353283</v>
      </c>
      <c r="J325" s="12" t="str">
        <f>IF(TOTALCO!J850="", "",TOTALCO!J850)</f>
        <v/>
      </c>
      <c r="K325" s="12" t="str">
        <f>IF(TOTALCO!K850="", "",TOTALCO!K850)</f>
        <v/>
      </c>
      <c r="L325" s="12">
        <f ca="1">IF(TOTALCO!L850="", "",TOTALCO!L850)</f>
        <v>6277.2605011199494</v>
      </c>
      <c r="M325" s="12" t="str">
        <f>IF(TOTALCO!M850="", "",TOTALCO!M850)</f>
        <v/>
      </c>
      <c r="N325" s="12">
        <f ca="1">IF(TOTALCO!N850="", "",TOTALCO!N850)</f>
        <v>46504080.621852167</v>
      </c>
      <c r="O325" s="12">
        <f ca="1">IF(TOTALCO!O850="", "",TOTALCO!O850)</f>
        <v>14789860.147864008</v>
      </c>
      <c r="P325" s="12">
        <f ca="1">IF(TOTALCO!P850="", "",TOTALCO!P850)</f>
        <v>31714220.47398816</v>
      </c>
      <c r="Q325" s="12"/>
      <c r="R325" s="13"/>
    </row>
    <row r="326" spans="1:18" ht="15" x14ac:dyDescent="0.2">
      <c r="A326" s="382" t="str">
        <f>IF(TOTALCO!A851="", "",TOTALCO!A851)</f>
        <v/>
      </c>
      <c r="B326" s="4" t="str">
        <f>IF(TOTALCO!B851="", "",TOTALCO!B851)</f>
        <v/>
      </c>
      <c r="C326" s="4" t="str">
        <f>IF(TOTALCO!C851="", "",TOTALCO!C851)</f>
        <v/>
      </c>
      <c r="D326" s="12" t="str">
        <f>IF(TOTALCO!D851="", "",TOTALCO!D851)</f>
        <v/>
      </c>
      <c r="E326" s="12" t="str">
        <f>IF(TOTALCO!E851="", "",TOTALCO!E851)</f>
        <v/>
      </c>
      <c r="F326" s="12" t="str">
        <f>IF(TOTALCO!F851="", "",TOTALCO!F851)</f>
        <v/>
      </c>
      <c r="G326" s="12" t="str">
        <f>IF(TOTALCO!G851="", "",TOTALCO!G851)</f>
        <v/>
      </c>
      <c r="H326" s="12" t="str">
        <f>IF(TOTALCO!H851="", "",TOTALCO!H851)</f>
        <v/>
      </c>
      <c r="I326" s="12" t="str">
        <f>IF(TOTALCO!I851="", "",TOTALCO!I851)</f>
        <v/>
      </c>
      <c r="J326" s="12" t="str">
        <f>IF(TOTALCO!J851="", "",TOTALCO!J851)</f>
        <v/>
      </c>
      <c r="K326" s="12" t="str">
        <f>IF(TOTALCO!K851="", "",TOTALCO!K851)</f>
        <v/>
      </c>
      <c r="L326" s="12" t="str">
        <f>IF(TOTALCO!L851="", "",TOTALCO!L851)</f>
        <v/>
      </c>
      <c r="M326" s="12" t="str">
        <f>IF(TOTALCO!M851="", "",TOTALCO!M851)</f>
        <v/>
      </c>
      <c r="N326" s="12" t="str">
        <f>IF(TOTALCO!N851="", "",TOTALCO!N851)</f>
        <v/>
      </c>
      <c r="O326" s="12" t="str">
        <f>IF(TOTALCO!O851="", "",TOTALCO!O851)</f>
        <v/>
      </c>
      <c r="P326" s="12" t="str">
        <f>IF(TOTALCO!P851="", "",TOTALCO!P851)</f>
        <v/>
      </c>
      <c r="Q326" s="12"/>
      <c r="R326" s="13"/>
    </row>
    <row r="327" spans="1:18" ht="15" x14ac:dyDescent="0.2">
      <c r="A327" s="382" t="str">
        <f>IF(TOTALCO!A852="", "",TOTALCO!A852)</f>
        <v/>
      </c>
      <c r="B327" s="4" t="str">
        <f>IF(TOTALCO!B852="", "",TOTALCO!B852)</f>
        <v/>
      </c>
      <c r="C327" s="4" t="str">
        <f>IF(TOTALCO!C852="", "",TOTALCO!C852)</f>
        <v/>
      </c>
      <c r="D327" s="12" t="str">
        <f>IF(TOTALCO!D852="", "",TOTALCO!D852)</f>
        <v/>
      </c>
      <c r="E327" s="12" t="str">
        <f>IF(TOTALCO!E852="", "",TOTALCO!E852)</f>
        <v/>
      </c>
      <c r="F327" s="12" t="str">
        <f>IF(TOTALCO!F852="", "",TOTALCO!F852)</f>
        <v/>
      </c>
      <c r="G327" s="12" t="str">
        <f>IF(TOTALCO!G852="", "",TOTALCO!G852)</f>
        <v/>
      </c>
      <c r="H327" s="12" t="str">
        <f>IF(TOTALCO!H852="", "",TOTALCO!H852)</f>
        <v/>
      </c>
      <c r="I327" s="12" t="str">
        <f>IF(TOTALCO!I852="", "",TOTALCO!I852)</f>
        <v/>
      </c>
      <c r="J327" s="12" t="str">
        <f>IF(TOTALCO!J852="", "",TOTALCO!J852)</f>
        <v/>
      </c>
      <c r="K327" s="12" t="str">
        <f>IF(TOTALCO!K852="", "",TOTALCO!K852)</f>
        <v/>
      </c>
      <c r="L327" s="12" t="str">
        <f>IF(TOTALCO!L852="", "",TOTALCO!L852)</f>
        <v/>
      </c>
      <c r="M327" s="12" t="str">
        <f>IF(TOTALCO!M852="", "",TOTALCO!M852)</f>
        <v/>
      </c>
      <c r="N327" s="12" t="str">
        <f>IF(TOTALCO!N852="", "",TOTALCO!N852)</f>
        <v/>
      </c>
      <c r="O327" s="12" t="str">
        <f>IF(TOTALCO!O852="", "",TOTALCO!O852)</f>
        <v/>
      </c>
      <c r="P327" s="12" t="str">
        <f>IF(TOTALCO!P852="", "",TOTALCO!P852)</f>
        <v/>
      </c>
      <c r="Q327" s="12"/>
      <c r="R327" s="13"/>
    </row>
    <row r="328" spans="1:18" ht="15" x14ac:dyDescent="0.2">
      <c r="A328" s="382" t="str">
        <f>IF(TOTALCO!A853="", "",TOTALCO!A853)</f>
        <v/>
      </c>
      <c r="B328" s="4" t="str">
        <f>IF(TOTALCO!B853="", "",TOTALCO!B853)</f>
        <v>DEDUCTIONS FROM NET PLANT</v>
      </c>
      <c r="C328" s="4" t="str">
        <f>IF(TOTALCO!C853="", "",TOTALCO!C853)</f>
        <v/>
      </c>
      <c r="D328" s="12" t="str">
        <f>IF(TOTALCO!D853="", "",TOTALCO!D853)</f>
        <v/>
      </c>
      <c r="E328" s="12" t="str">
        <f>IF(TOTALCO!E853="", "",TOTALCO!E853)</f>
        <v/>
      </c>
      <c r="F328" s="12" t="str">
        <f>IF(TOTALCO!F853="", "",TOTALCO!F853)</f>
        <v/>
      </c>
      <c r="G328" s="12" t="str">
        <f>IF(TOTALCO!G853="", "",TOTALCO!G853)</f>
        <v/>
      </c>
      <c r="H328" s="12" t="str">
        <f>IF(TOTALCO!H853="", "",TOTALCO!H853)</f>
        <v/>
      </c>
      <c r="I328" s="12" t="str">
        <f>IF(TOTALCO!I853="", "",TOTALCO!I853)</f>
        <v/>
      </c>
      <c r="J328" s="12" t="str">
        <f>IF(TOTALCO!J853="", "",TOTALCO!J853)</f>
        <v/>
      </c>
      <c r="K328" s="12" t="str">
        <f>IF(TOTALCO!K853="", "",TOTALCO!K853)</f>
        <v/>
      </c>
      <c r="L328" s="12" t="str">
        <f>IF(TOTALCO!L853="", "",TOTALCO!L853)</f>
        <v/>
      </c>
      <c r="M328" s="12" t="str">
        <f>IF(TOTALCO!M853="", "",TOTALCO!M853)</f>
        <v/>
      </c>
      <c r="N328" s="12" t="str">
        <f>IF(TOTALCO!N853="", "",TOTALCO!N853)</f>
        <v/>
      </c>
      <c r="O328" s="12" t="str">
        <f>IF(TOTALCO!O853="", "",TOTALCO!O853)</f>
        <v/>
      </c>
      <c r="P328" s="12" t="str">
        <f>IF(TOTALCO!P853="", "",TOTALCO!P853)</f>
        <v/>
      </c>
      <c r="Q328" s="12"/>
      <c r="R328" s="13"/>
    </row>
    <row r="329" spans="1:18" ht="15" x14ac:dyDescent="0.2">
      <c r="A329" s="382" t="str">
        <f>IF(TOTALCO!A854="", "",TOTALCO!A854)</f>
        <v/>
      </c>
      <c r="B329" s="4" t="str">
        <f>IF(TOTALCO!B854="", "",TOTALCO!B854)</f>
        <v/>
      </c>
      <c r="C329" s="4" t="str">
        <f>IF(TOTALCO!C854="", "",TOTALCO!C854)</f>
        <v/>
      </c>
      <c r="D329" s="12" t="str">
        <f>IF(TOTALCO!D854="", "",TOTALCO!D854)</f>
        <v/>
      </c>
      <c r="E329" s="12" t="str">
        <f>IF(TOTALCO!E854="", "",TOTALCO!E854)</f>
        <v/>
      </c>
      <c r="F329" s="12" t="str">
        <f>IF(TOTALCO!F854="", "",TOTALCO!F854)</f>
        <v/>
      </c>
      <c r="G329" s="12" t="str">
        <f>IF(TOTALCO!G854="", "",TOTALCO!G854)</f>
        <v/>
      </c>
      <c r="H329" s="12" t="str">
        <f>IF(TOTALCO!H854="", "",TOTALCO!H854)</f>
        <v/>
      </c>
      <c r="I329" s="12" t="str">
        <f>IF(TOTALCO!I854="", "",TOTALCO!I854)</f>
        <v/>
      </c>
      <c r="J329" s="12" t="str">
        <f>IF(TOTALCO!J854="", "",TOTALCO!J854)</f>
        <v/>
      </c>
      <c r="K329" s="12" t="str">
        <f>IF(TOTALCO!K854="", "",TOTALCO!K854)</f>
        <v/>
      </c>
      <c r="L329" s="12" t="str">
        <f>IF(TOTALCO!L854="", "",TOTALCO!L854)</f>
        <v/>
      </c>
      <c r="M329" s="12" t="str">
        <f>IF(TOTALCO!M854="", "",TOTALCO!M854)</f>
        <v/>
      </c>
      <c r="N329" s="12" t="str">
        <f>IF(TOTALCO!N854="", "",TOTALCO!N854)</f>
        <v/>
      </c>
      <c r="O329" s="12" t="str">
        <f>IF(TOTALCO!O854="", "",TOTALCO!O854)</f>
        <v/>
      </c>
      <c r="P329" s="12" t="str">
        <f>IF(TOTALCO!P854="", "",TOTALCO!P854)</f>
        <v/>
      </c>
      <c r="Q329" s="12"/>
      <c r="R329" s="13"/>
    </row>
    <row r="330" spans="1:18" ht="15" x14ac:dyDescent="0.2">
      <c r="A330" s="382" t="str">
        <f>IF(TOTALCO!A855="", "",TOTALCO!A855)</f>
        <v/>
      </c>
      <c r="B330" s="4" t="str">
        <f>IF(TOTALCO!B855="", "",TOTALCO!B855)</f>
        <v>ACCUMULATED DEFERRED INC TAX</v>
      </c>
      <c r="C330" s="4" t="str">
        <f>IF(TOTALCO!C855="", "",TOTALCO!C855)</f>
        <v/>
      </c>
      <c r="D330" s="12" t="str">
        <f>IF(TOTALCO!D855="", "",TOTALCO!D855)</f>
        <v/>
      </c>
      <c r="E330" s="12" t="str">
        <f>IF(TOTALCO!E855="", "",TOTALCO!E855)</f>
        <v/>
      </c>
      <c r="F330" s="12" t="str">
        <f>IF(TOTALCO!F855="", "",TOTALCO!F855)</f>
        <v/>
      </c>
      <c r="G330" s="12" t="str">
        <f>IF(TOTALCO!G855="", "",TOTALCO!G855)</f>
        <v/>
      </c>
      <c r="H330" s="12" t="str">
        <f>IF(TOTALCO!H855="", "",TOTALCO!H855)</f>
        <v/>
      </c>
      <c r="I330" s="12" t="str">
        <f>IF(TOTALCO!I855="", "",TOTALCO!I855)</f>
        <v/>
      </c>
      <c r="J330" s="12" t="str">
        <f>IF(TOTALCO!J855="", "",TOTALCO!J855)</f>
        <v/>
      </c>
      <c r="K330" s="12" t="str">
        <f>IF(TOTALCO!K855="", "",TOTALCO!K855)</f>
        <v/>
      </c>
      <c r="L330" s="12" t="str">
        <f>IF(TOTALCO!L855="", "",TOTALCO!L855)</f>
        <v/>
      </c>
      <c r="M330" s="12" t="str">
        <f>IF(TOTALCO!M855="", "",TOTALCO!M855)</f>
        <v/>
      </c>
      <c r="N330" s="12" t="str">
        <f>IF(TOTALCO!N855="", "",TOTALCO!N855)</f>
        <v/>
      </c>
      <c r="O330" s="12" t="str">
        <f>IF(TOTALCO!O855="", "",TOTALCO!O855)</f>
        <v/>
      </c>
      <c r="P330" s="12" t="str">
        <f>IF(TOTALCO!P855="", "",TOTALCO!P855)</f>
        <v/>
      </c>
      <c r="Q330" s="12"/>
      <c r="R330" s="13"/>
    </row>
    <row r="331" spans="1:18" ht="15" x14ac:dyDescent="0.2">
      <c r="A331" s="382" t="str">
        <f>IF(TOTALCO!A856="", "",TOTALCO!A856)</f>
        <v/>
      </c>
      <c r="B331" s="4" t="str">
        <f>IF(TOTALCO!B856="", "",TOTALCO!B856)</f>
        <v/>
      </c>
      <c r="C331" s="4" t="str">
        <f>IF(TOTALCO!C856="", "",TOTALCO!C856)</f>
        <v/>
      </c>
      <c r="D331" s="12" t="str">
        <f>IF(TOTALCO!D856="", "",TOTALCO!D856)</f>
        <v/>
      </c>
      <c r="E331" s="12" t="str">
        <f>IF(TOTALCO!E856="", "",TOTALCO!E856)</f>
        <v/>
      </c>
      <c r="F331" s="12" t="str">
        <f>IF(TOTALCO!F856="", "",TOTALCO!F856)</f>
        <v/>
      </c>
      <c r="G331" s="12" t="str">
        <f>IF(TOTALCO!G856="", "",TOTALCO!G856)</f>
        <v/>
      </c>
      <c r="H331" s="12" t="str">
        <f>IF(TOTALCO!H856="", "",TOTALCO!H856)</f>
        <v/>
      </c>
      <c r="I331" s="12" t="str">
        <f>IF(TOTALCO!I856="", "",TOTALCO!I856)</f>
        <v/>
      </c>
      <c r="J331" s="12" t="str">
        <f>IF(TOTALCO!J856="", "",TOTALCO!J856)</f>
        <v/>
      </c>
      <c r="K331" s="12" t="str">
        <f>IF(TOTALCO!K856="", "",TOTALCO!K856)</f>
        <v/>
      </c>
      <c r="L331" s="12" t="str">
        <f>IF(TOTALCO!L856="", "",TOTALCO!L856)</f>
        <v/>
      </c>
      <c r="M331" s="12" t="str">
        <f>IF(TOTALCO!M856="", "",TOTALCO!M856)</f>
        <v/>
      </c>
      <c r="N331" s="12" t="str">
        <f>IF(TOTALCO!N856="", "",TOTALCO!N856)</f>
        <v/>
      </c>
      <c r="O331" s="12" t="str">
        <f>IF(TOTALCO!O856="", "",TOTALCO!O856)</f>
        <v/>
      </c>
      <c r="P331" s="12" t="str">
        <f>IF(TOTALCO!P856="", "",TOTALCO!P856)</f>
        <v/>
      </c>
      <c r="Q331" s="12"/>
      <c r="R331" s="13"/>
    </row>
    <row r="332" spans="1:18" ht="15" x14ac:dyDescent="0.2">
      <c r="A332" s="382" t="str">
        <f>IF(TOTALCO!A857="", "",TOTALCO!A857)</f>
        <v/>
      </c>
      <c r="B332" s="4" t="str">
        <f>IF(TOTALCO!B857="", "",TOTALCO!B857)</f>
        <v xml:space="preserve"> PRODUCTION PLANT</v>
      </c>
      <c r="C332" s="4" t="str">
        <f>IF(TOTALCO!C857="", "",TOTALCO!C857)</f>
        <v/>
      </c>
      <c r="D332" s="12" t="str">
        <f>IF(TOTALCO!D857="", "",TOTALCO!D857)</f>
        <v/>
      </c>
      <c r="E332" s="12" t="str">
        <f>IF(TOTALCO!E857="", "",TOTALCO!E857)</f>
        <v/>
      </c>
      <c r="F332" s="12" t="str">
        <f>IF(TOTALCO!F857="", "",TOTALCO!F857)</f>
        <v/>
      </c>
      <c r="G332" s="12" t="str">
        <f>IF(TOTALCO!G857="", "",TOTALCO!G857)</f>
        <v/>
      </c>
      <c r="H332" s="12" t="str">
        <f>IF(TOTALCO!H857="", "",TOTALCO!H857)</f>
        <v/>
      </c>
      <c r="I332" s="12" t="str">
        <f>IF(TOTALCO!I857="", "",TOTALCO!I857)</f>
        <v/>
      </c>
      <c r="J332" s="12" t="str">
        <f>IF(TOTALCO!J857="", "",TOTALCO!J857)</f>
        <v/>
      </c>
      <c r="K332" s="12" t="str">
        <f>IF(TOTALCO!K857="", "",TOTALCO!K857)</f>
        <v/>
      </c>
      <c r="L332" s="12" t="str">
        <f>IF(TOTALCO!L857="", "",TOTALCO!L857)</f>
        <v/>
      </c>
      <c r="M332" s="12" t="str">
        <f>IF(TOTALCO!M857="", "",TOTALCO!M857)</f>
        <v/>
      </c>
      <c r="N332" s="12" t="str">
        <f>IF(TOTALCO!N857="", "",TOTALCO!N857)</f>
        <v/>
      </c>
      <c r="O332" s="12" t="str">
        <f>IF(TOTALCO!O857="", "",TOTALCO!O857)</f>
        <v/>
      </c>
      <c r="P332" s="12" t="str">
        <f>IF(TOTALCO!P857="", "",TOTALCO!P857)</f>
        <v/>
      </c>
      <c r="Q332" s="12"/>
      <c r="R332" s="13"/>
    </row>
    <row r="333" spans="1:18" ht="15" x14ac:dyDescent="0.2">
      <c r="A333" s="382">
        <f>IF(TOTALCO!A858="", "",TOTALCO!A858)</f>
        <v>1</v>
      </c>
      <c r="B333" s="4" t="str">
        <f>IF(TOTALCO!B858="", "",TOTALCO!B858)</f>
        <v xml:space="preserve">   SYSTEM</v>
      </c>
      <c r="C333" s="4" t="str">
        <f>IF(TOTALCO!C858="", "",TOTALCO!C858)</f>
        <v>PRODSYS</v>
      </c>
      <c r="D333" s="12">
        <f ca="1">IF(TOTALCO!D858="", "",TOTALCO!D858)</f>
        <v>339799367</v>
      </c>
      <c r="E333" s="12" t="str">
        <f>IF(TOTALCO!E858="", "",TOTALCO!E858)</f>
        <v/>
      </c>
      <c r="F333" s="12">
        <f ca="1">IF(TOTALCO!F858="", "",TOTALCO!F858)</f>
        <v>294093012.97853291</v>
      </c>
      <c r="G333" s="12" t="str">
        <f>IF(TOTALCO!G858="", "",TOTALCO!G858)</f>
        <v/>
      </c>
      <c r="H333" s="12">
        <f ca="1">IF(TOTALCO!H858="", "",TOTALCO!H858)</f>
        <v>17271209.646147855</v>
      </c>
      <c r="I333" s="12">
        <f ca="1">IF(TOTALCO!I858="", "",TOTALCO!I858)</f>
        <v>28435144.375319213</v>
      </c>
      <c r="J333" s="12" t="str">
        <f>IF(TOTALCO!J858="", "",TOTALCO!J858)</f>
        <v/>
      </c>
      <c r="K333" s="12" t="str">
        <f>IF(TOTALCO!K858="", "",TOTALCO!K858)</f>
        <v/>
      </c>
      <c r="L333" s="12">
        <f ca="1">IF(TOTALCO!L858="", "",TOTALCO!L858)</f>
        <v>2600.3025664179254</v>
      </c>
      <c r="M333" s="12" t="str">
        <f>IF(TOTALCO!M858="", "",TOTALCO!M858)</f>
        <v/>
      </c>
      <c r="N333" s="12">
        <f ca="1">IF(TOTALCO!N858="", "",TOTALCO!N858)</f>
        <v>28432544.072752796</v>
      </c>
      <c r="O333" s="12">
        <f ca="1">IF(TOTALCO!O858="", "",TOTALCO!O858)</f>
        <v>8871675.1489251554</v>
      </c>
      <c r="P333" s="12">
        <f ca="1">IF(TOTALCO!P858="", "",TOTALCO!P858)</f>
        <v>19560868.923827641</v>
      </c>
      <c r="Q333" s="12"/>
      <c r="R333" s="13"/>
    </row>
    <row r="334" spans="1:18" ht="15" x14ac:dyDescent="0.2">
      <c r="A334" s="382">
        <f>IF(TOTALCO!A859="", "",TOTALCO!A859)</f>
        <v>2</v>
      </c>
      <c r="B334" s="4" t="str">
        <f>IF(TOTALCO!B859="", "",TOTALCO!B859)</f>
        <v xml:space="preserve">   FERC-AFUDC PRE</v>
      </c>
      <c r="C334" s="4" t="str">
        <f>IF(TOTALCO!C859="", "",TOTALCO!C859)</f>
        <v>DEMFERC</v>
      </c>
      <c r="D334" s="12">
        <f ca="1">IF(TOTALCO!D859="", "",TOTALCO!D859)</f>
        <v>1401506</v>
      </c>
      <c r="E334" s="12" t="str">
        <f>IF(TOTALCO!E859="", "",TOTALCO!E859)</f>
        <v/>
      </c>
      <c r="F334" s="12">
        <f ca="1">IF(TOTALCO!F859="", "",TOTALCO!F859)</f>
        <v>0</v>
      </c>
      <c r="G334" s="12" t="str">
        <f>IF(TOTALCO!G859="", "",TOTALCO!G859)</f>
        <v/>
      </c>
      <c r="H334" s="12">
        <f ca="1">IF(TOTALCO!H859="", "",TOTALCO!H859)</f>
        <v>529621.79201319953</v>
      </c>
      <c r="I334" s="12">
        <f ca="1">IF(TOTALCO!I859="", "",TOTALCO!I859)</f>
        <v>871884.20798680047</v>
      </c>
      <c r="J334" s="12" t="str">
        <f>IF(TOTALCO!J859="", "",TOTALCO!J859)</f>
        <v/>
      </c>
      <c r="K334" s="12" t="str">
        <f>IF(TOTALCO!K859="", "",TOTALCO!K859)</f>
        <v/>
      </c>
      <c r="L334" s="12">
        <f ca="1">IF(TOTALCO!L859="", "",TOTALCO!L859)</f>
        <v>0</v>
      </c>
      <c r="M334" s="12" t="str">
        <f>IF(TOTALCO!M859="", "",TOTALCO!M859)</f>
        <v/>
      </c>
      <c r="N334" s="12">
        <f ca="1">IF(TOTALCO!N859="", "",TOTALCO!N859)</f>
        <v>871884.20798680047</v>
      </c>
      <c r="O334" s="12">
        <f ca="1">IF(TOTALCO!O859="", "",TOTALCO!O859)</f>
        <v>272049.99457468145</v>
      </c>
      <c r="P334" s="12">
        <f ca="1">IF(TOTALCO!P859="", "",TOTALCO!P859)</f>
        <v>599834.21341211896</v>
      </c>
      <c r="Q334" s="12"/>
      <c r="R334" s="13"/>
    </row>
    <row r="335" spans="1:18" ht="15" x14ac:dyDescent="0.2">
      <c r="A335" s="382">
        <f>IF(TOTALCO!A860="", "",TOTALCO!A860)</f>
        <v>3</v>
      </c>
      <c r="B335" s="4" t="str">
        <f>IF(TOTALCO!B860="", "",TOTALCO!B860)</f>
        <v xml:space="preserve">   FERC-AFUDC POST</v>
      </c>
      <c r="C335" s="4" t="str">
        <f>IF(TOTALCO!C860="", "",TOTALCO!C860)</f>
        <v>DEMFERCP</v>
      </c>
      <c r="D335" s="12">
        <f ca="1">IF(TOTALCO!D860="", "",TOTALCO!D860)</f>
        <v>99539.999999999985</v>
      </c>
      <c r="E335" s="12" t="str">
        <f>IF(TOTALCO!E860="", "",TOTALCO!E860)</f>
        <v/>
      </c>
      <c r="F335" s="12">
        <f ca="1">IF(TOTALCO!F860="", "",TOTALCO!F860)</f>
        <v>0</v>
      </c>
      <c r="G335" s="12" t="str">
        <f>IF(TOTALCO!G860="", "",TOTALCO!G860)</f>
        <v/>
      </c>
      <c r="H335" s="12">
        <f ca="1">IF(TOTALCO!H860="", "",TOTALCO!H860)</f>
        <v>0</v>
      </c>
      <c r="I335" s="12">
        <f ca="1">IF(TOTALCO!I860="", "",TOTALCO!I860)</f>
        <v>99539.999999999985</v>
      </c>
      <c r="J335" s="12" t="str">
        <f>IF(TOTALCO!J860="", "",TOTALCO!J860)</f>
        <v/>
      </c>
      <c r="K335" s="12" t="str">
        <f>IF(TOTALCO!K860="", "",TOTALCO!K860)</f>
        <v/>
      </c>
      <c r="L335" s="12">
        <f ca="1">IF(TOTALCO!L860="", "",TOTALCO!L860)</f>
        <v>0</v>
      </c>
      <c r="M335" s="12" t="str">
        <f>IF(TOTALCO!M860="", "",TOTALCO!M860)</f>
        <v/>
      </c>
      <c r="N335" s="12">
        <f ca="1">IF(TOTALCO!N860="", "",TOTALCO!N860)</f>
        <v>99539.999999999985</v>
      </c>
      <c r="O335" s="12">
        <f ca="1">IF(TOTALCO!O860="", "",TOTALCO!O860)</f>
        <v>31059.005555900327</v>
      </c>
      <c r="P335" s="12">
        <f ca="1">IF(TOTALCO!P860="", "",TOTALCO!P860)</f>
        <v>68480.994444099662</v>
      </c>
      <c r="Q335" s="12"/>
      <c r="R335" s="13"/>
    </row>
    <row r="336" spans="1:18" ht="15" x14ac:dyDescent="0.2">
      <c r="A336" s="382">
        <f>IF(TOTALCO!A861="", "",TOTALCO!A861)</f>
        <v>4</v>
      </c>
      <c r="B336" s="4" t="str">
        <f>IF(TOTALCO!B861="", "",TOTALCO!B861)</f>
        <v xml:space="preserve">    TOTAL PRODUCTION PLANT</v>
      </c>
      <c r="C336" s="4" t="str">
        <f>IF(TOTALCO!C861="", "",TOTALCO!C861)</f>
        <v/>
      </c>
      <c r="D336" s="12">
        <f ca="1">IF(TOTALCO!D861="", "",TOTALCO!D861)</f>
        <v>341300413</v>
      </c>
      <c r="E336" s="12" t="str">
        <f>IF(TOTALCO!E861="", "",TOTALCO!E861)</f>
        <v/>
      </c>
      <c r="F336" s="12">
        <f ca="1">IF(TOTALCO!F861="", "",TOTALCO!F861)</f>
        <v>294093012.97853291</v>
      </c>
      <c r="G336" s="12" t="str">
        <f>IF(TOTALCO!G861="", "",TOTALCO!G861)</f>
        <v/>
      </c>
      <c r="H336" s="12">
        <f ca="1">IF(TOTALCO!H861="", "",TOTALCO!H861)</f>
        <v>17800831.438161053</v>
      </c>
      <c r="I336" s="12">
        <f ca="1">IF(TOTALCO!I861="", "",TOTALCO!I861)</f>
        <v>29406568.583306007</v>
      </c>
      <c r="J336" s="12" t="str">
        <f>IF(TOTALCO!J861="", "",TOTALCO!J861)</f>
        <v/>
      </c>
      <c r="K336" s="12" t="str">
        <f>IF(TOTALCO!K861="", "",TOTALCO!K861)</f>
        <v/>
      </c>
      <c r="L336" s="12">
        <f ca="1">IF(TOTALCO!L861="", "",TOTALCO!L861)</f>
        <v>2600.3025664179254</v>
      </c>
      <c r="M336" s="12" t="str">
        <f>IF(TOTALCO!M861="", "",TOTALCO!M861)</f>
        <v/>
      </c>
      <c r="N336" s="12">
        <f ca="1">IF(TOTALCO!N861="", "",TOTALCO!N861)</f>
        <v>29403968.280739591</v>
      </c>
      <c r="O336" s="12">
        <f ca="1">IF(TOTALCO!O861="", "",TOTALCO!O861)</f>
        <v>9174784.1490557361</v>
      </c>
      <c r="P336" s="12">
        <f ca="1">IF(TOTALCO!P861="", "",TOTALCO!P861)</f>
        <v>20229184.131683856</v>
      </c>
      <c r="Q336" s="12"/>
      <c r="R336" s="13"/>
    </row>
    <row r="337" spans="1:18" ht="15" x14ac:dyDescent="0.2">
      <c r="A337" s="382" t="str">
        <f>IF(TOTALCO!A862="", "",TOTALCO!A862)</f>
        <v/>
      </c>
      <c r="B337" s="4" t="str">
        <f>IF(TOTALCO!B862="", "",TOTALCO!B862)</f>
        <v/>
      </c>
      <c r="C337" s="4" t="str">
        <f>IF(TOTALCO!C862="", "",TOTALCO!C862)</f>
        <v/>
      </c>
      <c r="D337" s="12" t="str">
        <f>IF(TOTALCO!D862="", "",TOTALCO!D862)</f>
        <v/>
      </c>
      <c r="E337" s="12" t="str">
        <f>IF(TOTALCO!E862="", "",TOTALCO!E862)</f>
        <v/>
      </c>
      <c r="F337" s="12" t="str">
        <f>IF(TOTALCO!F862="", "",TOTALCO!F862)</f>
        <v/>
      </c>
      <c r="G337" s="12" t="str">
        <f>IF(TOTALCO!G862="", "",TOTALCO!G862)</f>
        <v/>
      </c>
      <c r="H337" s="12" t="str">
        <f>IF(TOTALCO!H862="", "",TOTALCO!H862)</f>
        <v/>
      </c>
      <c r="I337" s="12" t="str">
        <f>IF(TOTALCO!I862="", "",TOTALCO!I862)</f>
        <v/>
      </c>
      <c r="J337" s="12" t="str">
        <f>IF(TOTALCO!J862="", "",TOTALCO!J862)</f>
        <v/>
      </c>
      <c r="K337" s="12" t="str">
        <f>IF(TOTALCO!K862="", "",TOTALCO!K862)</f>
        <v/>
      </c>
      <c r="L337" s="12" t="str">
        <f>IF(TOTALCO!L862="", "",TOTALCO!L862)</f>
        <v/>
      </c>
      <c r="M337" s="12" t="str">
        <f>IF(TOTALCO!M862="", "",TOTALCO!M862)</f>
        <v/>
      </c>
      <c r="N337" s="12" t="str">
        <f>IF(TOTALCO!N862="", "",TOTALCO!N862)</f>
        <v/>
      </c>
      <c r="O337" s="12" t="str">
        <f>IF(TOTALCO!O862="", "",TOTALCO!O862)</f>
        <v/>
      </c>
      <c r="P337" s="12" t="str">
        <f>IF(TOTALCO!P862="", "",TOTALCO!P862)</f>
        <v/>
      </c>
      <c r="Q337" s="12"/>
      <c r="R337" s="13"/>
    </row>
    <row r="338" spans="1:18" ht="15" x14ac:dyDescent="0.2">
      <c r="A338" s="382" t="str">
        <f>IF(TOTALCO!A863="", "",TOTALCO!A863)</f>
        <v/>
      </c>
      <c r="B338" s="4" t="str">
        <f>IF(TOTALCO!B863="", "",TOTALCO!B863)</f>
        <v xml:space="preserve"> TRANSMISSION PLANT</v>
      </c>
      <c r="C338" s="4" t="str">
        <f>IF(TOTALCO!C863="", "",TOTALCO!C863)</f>
        <v/>
      </c>
      <c r="D338" s="12" t="str">
        <f>IF(TOTALCO!D863="", "",TOTALCO!D863)</f>
        <v/>
      </c>
      <c r="E338" s="12" t="str">
        <f>IF(TOTALCO!E863="", "",TOTALCO!E863)</f>
        <v/>
      </c>
      <c r="F338" s="12" t="str">
        <f>IF(TOTALCO!F863="", "",TOTALCO!F863)</f>
        <v/>
      </c>
      <c r="G338" s="12" t="str">
        <f>IF(TOTALCO!G863="", "",TOTALCO!G863)</f>
        <v/>
      </c>
      <c r="H338" s="12" t="str">
        <f>IF(TOTALCO!H863="", "",TOTALCO!H863)</f>
        <v/>
      </c>
      <c r="I338" s="12" t="str">
        <f>IF(TOTALCO!I863="", "",TOTALCO!I863)</f>
        <v/>
      </c>
      <c r="J338" s="12" t="str">
        <f>IF(TOTALCO!J863="", "",TOTALCO!J863)</f>
        <v/>
      </c>
      <c r="K338" s="12" t="str">
        <f>IF(TOTALCO!K863="", "",TOTALCO!K863)</f>
        <v/>
      </c>
      <c r="L338" s="12" t="str">
        <f>IF(TOTALCO!L863="", "",TOTALCO!L863)</f>
        <v/>
      </c>
      <c r="M338" s="12" t="str">
        <f>IF(TOTALCO!M863="", "",TOTALCO!M863)</f>
        <v/>
      </c>
      <c r="N338" s="12" t="str">
        <f>IF(TOTALCO!N863="", "",TOTALCO!N863)</f>
        <v/>
      </c>
      <c r="O338" s="12" t="str">
        <f>IF(TOTALCO!O863="", "",TOTALCO!O863)</f>
        <v/>
      </c>
      <c r="P338" s="12" t="str">
        <f>IF(TOTALCO!P863="", "",TOTALCO!P863)</f>
        <v/>
      </c>
      <c r="Q338" s="12"/>
      <c r="R338" s="13"/>
    </row>
    <row r="339" spans="1:18" ht="15" x14ac:dyDescent="0.2">
      <c r="A339" s="382">
        <f>IF(TOTALCO!A864="", "",TOTALCO!A864)</f>
        <v>5</v>
      </c>
      <c r="B339" s="4" t="str">
        <f>IF(TOTALCO!B864="", "",TOTALCO!B864)</f>
        <v xml:space="preserve">  KENTUCKY SYSTEM PROPERTY</v>
      </c>
      <c r="C339" s="4" t="str">
        <f>IF(TOTALCO!C864="", "",TOTALCO!C864)</f>
        <v>KYTRPLT</v>
      </c>
      <c r="D339" s="12">
        <f ca="1">IF(TOTALCO!D864="", "",TOTALCO!D864)</f>
        <v>38541449</v>
      </c>
      <c r="E339" s="12" t="str">
        <f>IF(TOTALCO!E864="", "",TOTALCO!E864)</f>
        <v/>
      </c>
      <c r="F339" s="12">
        <f ca="1">IF(TOTALCO!F864="", "",TOTALCO!F864)</f>
        <v>33108751.49901101</v>
      </c>
      <c r="G339" s="12" t="str">
        <f>IF(TOTALCO!G864="", "",TOTALCO!G864)</f>
        <v/>
      </c>
      <c r="H339" s="12">
        <f ca="1">IF(TOTALCO!H864="", "",TOTALCO!H864)</f>
        <v>2019204.5397035351</v>
      </c>
      <c r="I339" s="12">
        <f ca="1">IF(TOTALCO!I864="", "",TOTALCO!I864)</f>
        <v>3413492.9612854593</v>
      </c>
      <c r="J339" s="12" t="str">
        <f>IF(TOTALCO!J864="", "",TOTALCO!J864)</f>
        <v/>
      </c>
      <c r="K339" s="12" t="str">
        <f>IF(TOTALCO!K864="", "",TOTALCO!K864)</f>
        <v/>
      </c>
      <c r="L339" s="12">
        <f ca="1">IF(TOTALCO!L864="", "",TOTALCO!L864)</f>
        <v>292.73994176820497</v>
      </c>
      <c r="M339" s="12" t="str">
        <f>IF(TOTALCO!M864="", "",TOTALCO!M864)</f>
        <v/>
      </c>
      <c r="N339" s="12">
        <f ca="1">IF(TOTALCO!N864="", "",TOTALCO!N864)</f>
        <v>3413200.221343691</v>
      </c>
      <c r="O339" s="12">
        <f ca="1">IF(TOTALCO!O864="", "",TOTALCO!O864)</f>
        <v>1065005.0697017671</v>
      </c>
      <c r="P339" s="12">
        <f ca="1">IF(TOTALCO!P864="", "",TOTALCO!P864)</f>
        <v>2348195.1516419239</v>
      </c>
      <c r="Q339" s="12"/>
      <c r="R339" s="13"/>
    </row>
    <row r="340" spans="1:18" ht="15" x14ac:dyDescent="0.2">
      <c r="A340" s="382">
        <f>IF(TOTALCO!A865="", "",TOTALCO!A865)</f>
        <v>6</v>
      </c>
      <c r="B340" s="4" t="str">
        <f>IF(TOTALCO!B865="", "",TOTALCO!B865)</f>
        <v xml:space="preserve">  VIRGINIA PROPERTY-500 KV LINE</v>
      </c>
      <c r="C340" s="4" t="str">
        <f>IF(TOTALCO!C865="", "",TOTALCO!C865)</f>
        <v>DEMPRODNV</v>
      </c>
      <c r="D340" s="12">
        <f ca="1">IF(TOTALCO!D865="", "",TOTALCO!D865)</f>
        <v>425142</v>
      </c>
      <c r="E340" s="12" t="str">
        <f>IF(TOTALCO!E865="", "",TOTALCO!E865)</f>
        <v/>
      </c>
      <c r="F340" s="12">
        <f ca="1">IF(TOTALCO!F865="", "",TOTALCO!F865)</f>
        <v>387660.08136940765</v>
      </c>
      <c r="G340" s="12" t="str">
        <f>IF(TOTALCO!G865="", "",TOTALCO!G865)</f>
        <v/>
      </c>
      <c r="H340" s="12">
        <f ca="1">IF(TOTALCO!H865="", "",TOTALCO!H865)</f>
        <v>0</v>
      </c>
      <c r="I340" s="12">
        <f ca="1">IF(TOTALCO!I865="", "",TOTALCO!I865)</f>
        <v>37481.918630592321</v>
      </c>
      <c r="J340" s="12" t="str">
        <f>IF(TOTALCO!J865="", "",TOTALCO!J865)</f>
        <v/>
      </c>
      <c r="K340" s="12" t="str">
        <f>IF(TOTALCO!K865="", "",TOTALCO!K865)</f>
        <v/>
      </c>
      <c r="L340" s="12">
        <f ca="1">IF(TOTALCO!L865="", "",TOTALCO!L865)</f>
        <v>3.4276009969547729</v>
      </c>
      <c r="M340" s="12" t="str">
        <f>IF(TOTALCO!M865="", "",TOTALCO!M865)</f>
        <v/>
      </c>
      <c r="N340" s="12">
        <f ca="1">IF(TOTALCO!N865="", "",TOTALCO!N865)</f>
        <v>37478.491029595367</v>
      </c>
      <c r="O340" s="12">
        <f ca="1">IF(TOTALCO!O865="", "",TOTALCO!O865)</f>
        <v>11694.240115681767</v>
      </c>
      <c r="P340" s="12">
        <f ca="1">IF(TOTALCO!P865="", "",TOTALCO!P865)</f>
        <v>25784.250913913598</v>
      </c>
      <c r="Q340" s="12"/>
      <c r="R340" s="13"/>
    </row>
    <row r="341" spans="1:18" ht="15" x14ac:dyDescent="0.2">
      <c r="A341" s="382">
        <f>IF(TOTALCO!A866="", "",TOTALCO!A866)</f>
        <v>7</v>
      </c>
      <c r="B341" s="4" t="str">
        <f>IF(TOTALCO!B866="", "",TOTALCO!B866)</f>
        <v xml:space="preserve">  VIRGINIA PROPERTY-OTHER</v>
      </c>
      <c r="C341" s="4" t="str">
        <f>IF(TOTALCO!C866="", "",TOTALCO!C866)</f>
        <v>VATRPLT</v>
      </c>
      <c r="D341" s="12">
        <f ca="1">IF(TOTALCO!D866="", "",TOTALCO!D866)</f>
        <v>2733631</v>
      </c>
      <c r="E341" s="12" t="str">
        <f>IF(TOTALCO!E866="", "",TOTALCO!E866)</f>
        <v/>
      </c>
      <c r="F341" s="12">
        <f ca="1">IF(TOTALCO!F866="", "",TOTALCO!F866)</f>
        <v>0</v>
      </c>
      <c r="G341" s="12" t="str">
        <f>IF(TOTALCO!G866="", "",TOTALCO!G866)</f>
        <v/>
      </c>
      <c r="H341" s="12">
        <f ca="1">IF(TOTALCO!H866="", "",TOTALCO!H866)</f>
        <v>2733352.5074776816</v>
      </c>
      <c r="I341" s="12">
        <f ca="1">IF(TOTALCO!I866="", "",TOTALCO!I866)</f>
        <v>278.49252231846856</v>
      </c>
      <c r="J341" s="12" t="str">
        <f>IF(TOTALCO!J866="", "",TOTALCO!J866)</f>
        <v/>
      </c>
      <c r="K341" s="12" t="str">
        <f>IF(TOTALCO!K866="", "",TOTALCO!K866)</f>
        <v/>
      </c>
      <c r="L341" s="12">
        <f ca="1">IF(TOTALCO!L866="", "",TOTALCO!L866)</f>
        <v>0</v>
      </c>
      <c r="M341" s="12" t="str">
        <f>IF(TOTALCO!M866="", "",TOTALCO!M866)</f>
        <v/>
      </c>
      <c r="N341" s="12">
        <f ca="1">IF(TOTALCO!N866="", "",TOTALCO!N866)</f>
        <v>278.49252231846856</v>
      </c>
      <c r="O341" s="12">
        <f ca="1">IF(TOTALCO!O866="", "",TOTALCO!O866)</f>
        <v>86.896732951235776</v>
      </c>
      <c r="P341" s="12">
        <f ca="1">IF(TOTALCO!P866="", "",TOTALCO!P866)</f>
        <v>191.59578936723275</v>
      </c>
      <c r="Q341" s="12"/>
      <c r="R341" s="13"/>
    </row>
    <row r="342" spans="1:18" ht="15" x14ac:dyDescent="0.2">
      <c r="A342" s="382">
        <f>IF(TOTALCO!A867="", "",TOTALCO!A867)</f>
        <v>8</v>
      </c>
      <c r="B342" s="4" t="str">
        <f>IF(TOTALCO!B867="", "",TOTALCO!B867)</f>
        <v xml:space="preserve">  FERC-AFUDC PRE</v>
      </c>
      <c r="C342" s="4" t="str">
        <f>IF(TOTALCO!C867="", "",TOTALCO!C867)</f>
        <v>DEMFERCT</v>
      </c>
      <c r="D342" s="12">
        <f ca="1">IF(TOTALCO!D867="", "",TOTALCO!D867)</f>
        <v>262968</v>
      </c>
      <c r="E342" s="12" t="str">
        <f>IF(TOTALCO!E867="", "",TOTALCO!E867)</f>
        <v/>
      </c>
      <c r="F342" s="12">
        <f ca="1">IF(TOTALCO!F867="", "",TOTALCO!F867)</f>
        <v>0</v>
      </c>
      <c r="G342" s="12" t="str">
        <f>IF(TOTALCO!G867="", "",TOTALCO!G867)</f>
        <v/>
      </c>
      <c r="H342" s="12">
        <f ca="1">IF(TOTALCO!H867="", "",TOTALCO!H867)</f>
        <v>99374.232719750798</v>
      </c>
      <c r="I342" s="12">
        <f ca="1">IF(TOTALCO!I867="", "",TOTALCO!I867)</f>
        <v>163593.76728024919</v>
      </c>
      <c r="J342" s="12" t="str">
        <f>IF(TOTALCO!J867="", "",TOTALCO!J867)</f>
        <v/>
      </c>
      <c r="K342" s="12" t="str">
        <f>IF(TOTALCO!K867="", "",TOTALCO!K867)</f>
        <v/>
      </c>
      <c r="L342" s="12">
        <f ca="1">IF(TOTALCO!L867="", "",TOTALCO!L867)</f>
        <v>0</v>
      </c>
      <c r="M342" s="12" t="str">
        <f>IF(TOTALCO!M867="", "",TOTALCO!M867)</f>
        <v/>
      </c>
      <c r="N342" s="12">
        <f ca="1">IF(TOTALCO!N867="", "",TOTALCO!N867)</f>
        <v>163593.76728024919</v>
      </c>
      <c r="O342" s="12">
        <f ca="1">IF(TOTALCO!O867="", "",TOTALCO!O867)</f>
        <v>51045.406136909027</v>
      </c>
      <c r="P342" s="12">
        <f ca="1">IF(TOTALCO!P867="", "",TOTALCO!P867)</f>
        <v>112548.36114334017</v>
      </c>
      <c r="Q342" s="12"/>
      <c r="R342" s="13"/>
    </row>
    <row r="343" spans="1:18" ht="15" x14ac:dyDescent="0.2">
      <c r="A343" s="382">
        <f>IF(TOTALCO!A868="", "",TOTALCO!A868)</f>
        <v>9</v>
      </c>
      <c r="B343" s="4" t="str">
        <f>IF(TOTALCO!B868="", "",TOTALCO!B868)</f>
        <v xml:space="preserve">  FERC-AFUDC POST</v>
      </c>
      <c r="C343" s="4" t="str">
        <f>IF(TOTALCO!C868="", "",TOTALCO!C868)</f>
        <v>DFERCTP</v>
      </c>
      <c r="D343" s="12">
        <f ca="1">IF(TOTALCO!D868="", "",TOTALCO!D868)</f>
        <v>7528</v>
      </c>
      <c r="E343" s="12" t="str">
        <f>IF(TOTALCO!E868="", "",TOTALCO!E868)</f>
        <v/>
      </c>
      <c r="F343" s="12">
        <f ca="1">IF(TOTALCO!F868="", "",TOTALCO!F868)</f>
        <v>0</v>
      </c>
      <c r="G343" s="12" t="str">
        <f>IF(TOTALCO!G868="", "",TOTALCO!G868)</f>
        <v/>
      </c>
      <c r="H343" s="12">
        <f ca="1">IF(TOTALCO!H868="", "",TOTALCO!H868)</f>
        <v>0</v>
      </c>
      <c r="I343" s="12">
        <f ca="1">IF(TOTALCO!I868="", "",TOTALCO!I868)</f>
        <v>7528</v>
      </c>
      <c r="J343" s="12" t="str">
        <f>IF(TOTALCO!J868="", "",TOTALCO!J868)</f>
        <v/>
      </c>
      <c r="K343" s="12" t="str">
        <f>IF(TOTALCO!K868="", "",TOTALCO!K868)</f>
        <v/>
      </c>
      <c r="L343" s="12">
        <f ca="1">IF(TOTALCO!L868="", "",TOTALCO!L868)</f>
        <v>0</v>
      </c>
      <c r="M343" s="12" t="str">
        <f>IF(TOTALCO!M868="", "",TOTALCO!M868)</f>
        <v/>
      </c>
      <c r="N343" s="12">
        <f ca="1">IF(TOTALCO!N868="", "",TOTALCO!N868)</f>
        <v>7528</v>
      </c>
      <c r="O343" s="12">
        <f ca="1">IF(TOTALCO!O868="", "",TOTALCO!O868)</f>
        <v>2348.9270024594903</v>
      </c>
      <c r="P343" s="12">
        <f ca="1">IF(TOTALCO!P868="", "",TOTALCO!P868)</f>
        <v>5179.0729975405093</v>
      </c>
      <c r="Q343" s="12"/>
      <c r="R343" s="13"/>
    </row>
    <row r="344" spans="1:18" ht="15" x14ac:dyDescent="0.2">
      <c r="A344" s="382">
        <f>IF(TOTALCO!A869="", "",TOTALCO!A869)</f>
        <v>10</v>
      </c>
      <c r="B344" s="4" t="str">
        <f>IF(TOTALCO!B869="", "",TOTALCO!B869)</f>
        <v xml:space="preserve"> TOTAL TRANSMISSION PLANT</v>
      </c>
      <c r="C344" s="4" t="str">
        <f>IF(TOTALCO!C869="", "",TOTALCO!C869)</f>
        <v/>
      </c>
      <c r="D344" s="12">
        <f ca="1">IF(TOTALCO!D869="", "",TOTALCO!D869)</f>
        <v>41970718.000000007</v>
      </c>
      <c r="E344" s="12" t="str">
        <f>IF(TOTALCO!E869="", "",TOTALCO!E869)</f>
        <v/>
      </c>
      <c r="F344" s="12">
        <f ca="1">IF(TOTALCO!F869="", "",TOTALCO!F869)</f>
        <v>33496411.580380417</v>
      </c>
      <c r="G344" s="12" t="str">
        <f>IF(TOTALCO!G869="", "",TOTALCO!G869)</f>
        <v/>
      </c>
      <c r="H344" s="12">
        <f ca="1">IF(TOTALCO!H869="", "",TOTALCO!H869)</f>
        <v>4851931.2799009681</v>
      </c>
      <c r="I344" s="12">
        <f ca="1">IF(TOTALCO!I869="", "",TOTALCO!I869)</f>
        <v>3622375.1397186201</v>
      </c>
      <c r="J344" s="12" t="str">
        <f>IF(TOTALCO!J869="", "",TOTALCO!J869)</f>
        <v/>
      </c>
      <c r="K344" s="12" t="str">
        <f>IF(TOTALCO!K869="", "",TOTALCO!K869)</f>
        <v/>
      </c>
      <c r="L344" s="12">
        <f ca="1">IF(TOTALCO!L869="", "",TOTALCO!L869)</f>
        <v>296.16754276515974</v>
      </c>
      <c r="M344" s="12" t="str">
        <f>IF(TOTALCO!M869="", "",TOTALCO!M869)</f>
        <v/>
      </c>
      <c r="N344" s="12">
        <f ca="1">IF(TOTALCO!N869="", "",TOTALCO!N869)</f>
        <v>3622078.9721758547</v>
      </c>
      <c r="O344" s="12">
        <f ca="1">IF(TOTALCO!O869="", "",TOTALCO!O869)</f>
        <v>1130180.5396897686</v>
      </c>
      <c r="P344" s="12">
        <f ca="1">IF(TOTALCO!P869="", "",TOTALCO!P869)</f>
        <v>2491898.4324860862</v>
      </c>
      <c r="Q344" s="12"/>
      <c r="R344" s="13"/>
    </row>
    <row r="345" spans="1:18" ht="15" x14ac:dyDescent="0.2">
      <c r="A345" s="382" t="str">
        <f>IF(TOTALCO!A870="", "",TOTALCO!A870)</f>
        <v/>
      </c>
      <c r="B345" s="4" t="str">
        <f>IF(TOTALCO!B870="", "",TOTALCO!B870)</f>
        <v/>
      </c>
      <c r="C345" s="4" t="str">
        <f>IF(TOTALCO!C870="", "",TOTALCO!C870)</f>
        <v/>
      </c>
      <c r="D345" s="12" t="str">
        <f>IF(TOTALCO!D870="", "",TOTALCO!D870)</f>
        <v/>
      </c>
      <c r="E345" s="12" t="str">
        <f>IF(TOTALCO!E870="", "",TOTALCO!E870)</f>
        <v/>
      </c>
      <c r="F345" s="12" t="str">
        <f>IF(TOTALCO!F870="", "",TOTALCO!F870)</f>
        <v/>
      </c>
      <c r="G345" s="12" t="str">
        <f>IF(TOTALCO!G870="", "",TOTALCO!G870)</f>
        <v/>
      </c>
      <c r="H345" s="12" t="str">
        <f>IF(TOTALCO!H870="", "",TOTALCO!H870)</f>
        <v/>
      </c>
      <c r="I345" s="12" t="str">
        <f>IF(TOTALCO!I870="", "",TOTALCO!I870)</f>
        <v/>
      </c>
      <c r="J345" s="12" t="str">
        <f>IF(TOTALCO!J870="", "",TOTALCO!J870)</f>
        <v/>
      </c>
      <c r="K345" s="12" t="str">
        <f>IF(TOTALCO!K870="", "",TOTALCO!K870)</f>
        <v/>
      </c>
      <c r="L345" s="12" t="str">
        <f>IF(TOTALCO!L870="", "",TOTALCO!L870)</f>
        <v/>
      </c>
      <c r="M345" s="12" t="str">
        <f>IF(TOTALCO!M870="", "",TOTALCO!M870)</f>
        <v/>
      </c>
      <c r="N345" s="12" t="str">
        <f>IF(TOTALCO!N870="", "",TOTALCO!N870)</f>
        <v/>
      </c>
      <c r="O345" s="12" t="str">
        <f>IF(TOTALCO!O870="", "",TOTALCO!O870)</f>
        <v/>
      </c>
      <c r="P345" s="12" t="str">
        <f>IF(TOTALCO!P870="", "",TOTALCO!P870)</f>
        <v/>
      </c>
      <c r="Q345" s="12"/>
      <c r="R345" s="13"/>
    </row>
    <row r="346" spans="1:18" ht="15" x14ac:dyDescent="0.2">
      <c r="A346" s="382">
        <f>IF(TOTALCO!A871="", "",TOTALCO!A871)</f>
        <v>11</v>
      </c>
      <c r="B346" s="4" t="str">
        <f>IF(TOTALCO!B871="", "",TOTALCO!B871)</f>
        <v xml:space="preserve"> DISTRIBUTION - VA</v>
      </c>
      <c r="C346" s="4" t="str">
        <f>IF(TOTALCO!C871="", "",TOTALCO!C871)</f>
        <v>DIRACDFTX</v>
      </c>
      <c r="D346" s="12">
        <f ca="1">IF(TOTALCO!D871="", "",TOTALCO!D871)</f>
        <v>5364985</v>
      </c>
      <c r="E346" s="12" t="str">
        <f>IF(TOTALCO!E871="", "",TOTALCO!E871)</f>
        <v/>
      </c>
      <c r="F346" s="12">
        <f ca="1">IF(TOTALCO!F871="", "",TOTALCO!F871)</f>
        <v>0</v>
      </c>
      <c r="G346" s="12" t="str">
        <f>IF(TOTALCO!G871="", "",TOTALCO!G871)</f>
        <v/>
      </c>
      <c r="H346" s="12">
        <f ca="1">IF(TOTALCO!H871="", "",TOTALCO!H871)</f>
        <v>5364985</v>
      </c>
      <c r="I346" s="12">
        <f ca="1">IF(TOTALCO!I871="", "",TOTALCO!I871)</f>
        <v>0</v>
      </c>
      <c r="J346" s="12" t="str">
        <f>IF(TOTALCO!J871="", "",TOTALCO!J871)</f>
        <v/>
      </c>
      <c r="K346" s="12" t="str">
        <f>IF(TOTALCO!K871="", "",TOTALCO!K871)</f>
        <v/>
      </c>
      <c r="L346" s="12">
        <f ca="1">IF(TOTALCO!L871="", "",TOTALCO!L871)</f>
        <v>0</v>
      </c>
      <c r="M346" s="12" t="str">
        <f>IF(TOTALCO!M871="", "",TOTALCO!M871)</f>
        <v/>
      </c>
      <c r="N346" s="12">
        <f ca="1">IF(TOTALCO!N871="", "",TOTALCO!N871)</f>
        <v>0</v>
      </c>
      <c r="O346" s="12">
        <f ca="1">IF(TOTALCO!O871="", "",TOTALCO!O871)</f>
        <v>0</v>
      </c>
      <c r="P346" s="12">
        <f ca="1">IF(TOTALCO!P871="", "",TOTALCO!P871)</f>
        <v>0</v>
      </c>
      <c r="Q346" s="12"/>
      <c r="R346" s="13"/>
    </row>
    <row r="347" spans="1:18" ht="15" x14ac:dyDescent="0.2">
      <c r="A347" s="382">
        <f>IF(TOTALCO!A872="", "",TOTALCO!A872)</f>
        <v>12</v>
      </c>
      <c r="B347" s="4" t="str">
        <f>IF(TOTALCO!B872="", "",TOTALCO!B872)</f>
        <v xml:space="preserve"> DISTRIBUTION PLT KY,FERC &amp; TN</v>
      </c>
      <c r="C347" s="4" t="str">
        <f>IF(TOTALCO!C872="", "",TOTALCO!C872)</f>
        <v>DPLTXVA</v>
      </c>
      <c r="D347" s="12">
        <f ca="1">IF(TOTALCO!D872="", "",TOTALCO!D872)</f>
        <v>103029906</v>
      </c>
      <c r="E347" s="12" t="str">
        <f>IF(TOTALCO!E872="", "",TOTALCO!E872)</f>
        <v/>
      </c>
      <c r="F347" s="12">
        <f ca="1">IF(TOTALCO!F872="", "",TOTALCO!F872)</f>
        <v>102688559.46099892</v>
      </c>
      <c r="G347" s="12" t="str">
        <f>IF(TOTALCO!G872="", "",TOTALCO!G872)</f>
        <v/>
      </c>
      <c r="H347" s="12">
        <f ca="1">IF(TOTALCO!H872="", "",TOTALCO!H872)</f>
        <v>0</v>
      </c>
      <c r="I347" s="12">
        <f ca="1">IF(TOTALCO!I872="", "",TOTALCO!I872)</f>
        <v>341346.53900108277</v>
      </c>
      <c r="J347" s="12" t="str">
        <f>IF(TOTALCO!J872="", "",TOTALCO!J872)</f>
        <v/>
      </c>
      <c r="K347" s="12" t="str">
        <f>IF(TOTALCO!K872="", "",TOTALCO!K872)</f>
        <v/>
      </c>
      <c r="L347" s="12">
        <f ca="1">IF(TOTALCO!L872="", "",TOTALCO!L872)</f>
        <v>12335.485978176082</v>
      </c>
      <c r="M347" s="12" t="str">
        <f>IF(TOTALCO!M872="", "",TOTALCO!M872)</f>
        <v/>
      </c>
      <c r="N347" s="12">
        <f ca="1">IF(TOTALCO!N872="", "",TOTALCO!N872)</f>
        <v>329011.05302290671</v>
      </c>
      <c r="O347" s="12">
        <f ca="1">IF(TOTALCO!O872="", "",TOTALCO!O872)</f>
        <v>282732.75044729857</v>
      </c>
      <c r="P347" s="12">
        <f ca="1">IF(TOTALCO!P872="", "",TOTALCO!P872)</f>
        <v>46278.302575608133</v>
      </c>
      <c r="Q347" s="12"/>
      <c r="R347" s="13"/>
    </row>
    <row r="348" spans="1:18" ht="15" x14ac:dyDescent="0.2">
      <c r="A348" s="382">
        <f>IF(TOTALCO!A873="", "",TOTALCO!A873)</f>
        <v>13</v>
      </c>
      <c r="B348" s="4" t="str">
        <f>IF(TOTALCO!B873="", "",TOTALCO!B873)</f>
        <v xml:space="preserve"> TOTAL DISTRIBUTION PLANT</v>
      </c>
      <c r="C348" s="4" t="str">
        <f>IF(TOTALCO!C873="", "",TOTALCO!C873)</f>
        <v/>
      </c>
      <c r="D348" s="12">
        <f ca="1">IF(TOTALCO!D873="", "",TOTALCO!D873)</f>
        <v>108394891</v>
      </c>
      <c r="E348" s="12" t="str">
        <f>IF(TOTALCO!E873="", "",TOTALCO!E873)</f>
        <v/>
      </c>
      <c r="F348" s="12">
        <f ca="1">IF(TOTALCO!F873="", "",TOTALCO!F873)</f>
        <v>102688559.46099892</v>
      </c>
      <c r="G348" s="12" t="str">
        <f>IF(TOTALCO!G873="", "",TOTALCO!G873)</f>
        <v/>
      </c>
      <c r="H348" s="12">
        <f ca="1">IF(TOTALCO!H873="", "",TOTALCO!H873)</f>
        <v>5364985</v>
      </c>
      <c r="I348" s="12">
        <f ca="1">IF(TOTALCO!I873="", "",TOTALCO!I873)</f>
        <v>341346.53900108277</v>
      </c>
      <c r="J348" s="12" t="str">
        <f>IF(TOTALCO!J873="", "",TOTALCO!J873)</f>
        <v/>
      </c>
      <c r="K348" s="12" t="str">
        <f>IF(TOTALCO!K873="", "",TOTALCO!K873)</f>
        <v/>
      </c>
      <c r="L348" s="12">
        <f ca="1">IF(TOTALCO!L873="", "",TOTALCO!L873)</f>
        <v>12335.485978176082</v>
      </c>
      <c r="M348" s="12" t="str">
        <f>IF(TOTALCO!M873="", "",TOTALCO!M873)</f>
        <v/>
      </c>
      <c r="N348" s="12">
        <f ca="1">IF(TOTALCO!N873="", "",TOTALCO!N873)</f>
        <v>329011.05302290671</v>
      </c>
      <c r="O348" s="12">
        <f ca="1">IF(TOTALCO!O873="", "",TOTALCO!O873)</f>
        <v>282732.75044729857</v>
      </c>
      <c r="P348" s="12">
        <f ca="1">IF(TOTALCO!P873="", "",TOTALCO!P873)</f>
        <v>46278.302575608133</v>
      </c>
      <c r="Q348" s="12"/>
      <c r="R348" s="13"/>
    </row>
    <row r="349" spans="1:18" ht="15" x14ac:dyDescent="0.2">
      <c r="A349" s="382" t="str">
        <f>IF(TOTALCO!A874="", "",TOTALCO!A874)</f>
        <v/>
      </c>
      <c r="B349" s="4" t="str">
        <f>IF(TOTALCO!B874="", "",TOTALCO!B874)</f>
        <v/>
      </c>
      <c r="C349" s="4" t="str">
        <f>IF(TOTALCO!C874="", "",TOTALCO!C874)</f>
        <v/>
      </c>
      <c r="D349" s="12" t="str">
        <f>IF(TOTALCO!D874="", "",TOTALCO!D874)</f>
        <v/>
      </c>
      <c r="E349" s="12" t="str">
        <f>IF(TOTALCO!E874="", "",TOTALCO!E874)</f>
        <v/>
      </c>
      <c r="F349" s="12" t="str">
        <f>IF(TOTALCO!F874="", "",TOTALCO!F874)</f>
        <v/>
      </c>
      <c r="G349" s="12" t="str">
        <f>IF(TOTALCO!G874="", "",TOTALCO!G874)</f>
        <v/>
      </c>
      <c r="H349" s="12" t="str">
        <f>IF(TOTALCO!H874="", "",TOTALCO!H874)</f>
        <v/>
      </c>
      <c r="I349" s="12" t="str">
        <f>IF(TOTALCO!I874="", "",TOTALCO!I874)</f>
        <v/>
      </c>
      <c r="J349" s="12" t="str">
        <f>IF(TOTALCO!J874="", "",TOTALCO!J874)</f>
        <v/>
      </c>
      <c r="K349" s="12" t="str">
        <f>IF(TOTALCO!K874="", "",TOTALCO!K874)</f>
        <v/>
      </c>
      <c r="L349" s="12" t="str">
        <f>IF(TOTALCO!L874="", "",TOTALCO!L874)</f>
        <v/>
      </c>
      <c r="M349" s="12" t="str">
        <f>IF(TOTALCO!M874="", "",TOTALCO!M874)</f>
        <v/>
      </c>
      <c r="N349" s="12" t="str">
        <f>IF(TOTALCO!N874="", "",TOTALCO!N874)</f>
        <v/>
      </c>
      <c r="O349" s="12" t="str">
        <f>IF(TOTALCO!O874="", "",TOTALCO!O874)</f>
        <v/>
      </c>
      <c r="P349" s="12" t="str">
        <f>IF(TOTALCO!P874="", "",TOTALCO!P874)</f>
        <v/>
      </c>
      <c r="Q349" s="12"/>
      <c r="R349" s="13"/>
    </row>
    <row r="350" spans="1:18" ht="15" x14ac:dyDescent="0.2">
      <c r="A350" s="382">
        <f>IF(TOTALCO!A875="", "",TOTALCO!A875)</f>
        <v>14</v>
      </c>
      <c r="B350" s="4" t="str">
        <f>IF(TOTALCO!B875="", "",TOTALCO!B875)</f>
        <v xml:space="preserve"> GENERAL</v>
      </c>
      <c r="C350" s="4" t="str">
        <f>IF(TOTALCO!C875="", "",TOTALCO!C875)</f>
        <v>GENPLT</v>
      </c>
      <c r="D350" s="12">
        <f ca="1">IF(TOTALCO!D875="", "",TOTALCO!D875)</f>
        <v>10530465</v>
      </c>
      <c r="E350" s="12" t="str">
        <f>IF(TOTALCO!E875="", "",TOTALCO!E875)</f>
        <v/>
      </c>
      <c r="F350" s="12">
        <f ca="1">IF(TOTALCO!F875="", "",TOTALCO!F875)</f>
        <v>9365572.5991982259</v>
      </c>
      <c r="G350" s="12" t="str">
        <f>IF(TOTALCO!G875="", "",TOTALCO!G875)</f>
        <v/>
      </c>
      <c r="H350" s="12">
        <f ca="1">IF(TOTALCO!H875="", "",TOTALCO!H875)</f>
        <v>576995.62064488372</v>
      </c>
      <c r="I350" s="12">
        <f ca="1">IF(TOTALCO!I875="", "",TOTALCO!I875)</f>
        <v>587896.78015688993</v>
      </c>
      <c r="J350" s="12" t="str">
        <f>IF(TOTALCO!J875="", "",TOTALCO!J875)</f>
        <v/>
      </c>
      <c r="K350" s="12" t="str">
        <f>IF(TOTALCO!K875="", "",TOTALCO!K875)</f>
        <v/>
      </c>
      <c r="L350" s="12">
        <f ca="1">IF(TOTALCO!L875="", "",TOTALCO!L875)</f>
        <v>323.27085721477977</v>
      </c>
      <c r="M350" s="12" t="str">
        <f>IF(TOTALCO!M875="", "",TOTALCO!M875)</f>
        <v/>
      </c>
      <c r="N350" s="12">
        <f ca="1">IF(TOTALCO!N875="", "",TOTALCO!N875)</f>
        <v>587573.50929967512</v>
      </c>
      <c r="O350" s="12">
        <f ca="1">IF(TOTALCO!O875="", "",TOTALCO!O875)</f>
        <v>190880.63650738556</v>
      </c>
      <c r="P350" s="12">
        <f ca="1">IF(TOTALCO!P875="", "",TOTALCO!P875)</f>
        <v>396692.87279228953</v>
      </c>
      <c r="Q350" s="12"/>
      <c r="R350" s="13"/>
    </row>
    <row r="351" spans="1:18" ht="15" x14ac:dyDescent="0.2">
      <c r="A351" s="382" t="str">
        <f>IF(TOTALCO!A876="", "",TOTALCO!A876)</f>
        <v/>
      </c>
      <c r="B351" s="4" t="str">
        <f>IF(TOTALCO!B876="", "",TOTALCO!B876)</f>
        <v/>
      </c>
      <c r="C351" s="4" t="str">
        <f>IF(TOTALCO!C876="", "",TOTALCO!C876)</f>
        <v/>
      </c>
      <c r="D351" s="12" t="str">
        <f>IF(TOTALCO!D876="", "",TOTALCO!D876)</f>
        <v/>
      </c>
      <c r="E351" s="12" t="str">
        <f>IF(TOTALCO!E876="", "",TOTALCO!E876)</f>
        <v/>
      </c>
      <c r="F351" s="12" t="str">
        <f>IF(TOTALCO!F876="", "",TOTALCO!F876)</f>
        <v/>
      </c>
      <c r="G351" s="12" t="str">
        <f>IF(TOTALCO!G876="", "",TOTALCO!G876)</f>
        <v/>
      </c>
      <c r="H351" s="12" t="str">
        <f>IF(TOTALCO!H876="", "",TOTALCO!H876)</f>
        <v/>
      </c>
      <c r="I351" s="12" t="str">
        <f>IF(TOTALCO!I876="", "",TOTALCO!I876)</f>
        <v/>
      </c>
      <c r="J351" s="12" t="str">
        <f>IF(TOTALCO!J876="", "",TOTALCO!J876)</f>
        <v/>
      </c>
      <c r="K351" s="12" t="str">
        <f>IF(TOTALCO!K876="", "",TOTALCO!K876)</f>
        <v/>
      </c>
      <c r="L351" s="12" t="str">
        <f>IF(TOTALCO!L876="", "",TOTALCO!L876)</f>
        <v/>
      </c>
      <c r="M351" s="12" t="str">
        <f>IF(TOTALCO!M876="", "",TOTALCO!M876)</f>
        <v/>
      </c>
      <c r="N351" s="12" t="str">
        <f>IF(TOTALCO!N876="", "",TOTALCO!N876)</f>
        <v/>
      </c>
      <c r="O351" s="12" t="str">
        <f>IF(TOTALCO!O876="", "",TOTALCO!O876)</f>
        <v/>
      </c>
      <c r="P351" s="12" t="str">
        <f>IF(TOTALCO!P876="", "",TOTALCO!P876)</f>
        <v/>
      </c>
      <c r="Q351" s="12"/>
      <c r="R351" s="13"/>
    </row>
    <row r="352" spans="1:18" ht="15" x14ac:dyDescent="0.2">
      <c r="A352" s="382">
        <f>IF(TOTALCO!A877="", "",TOTALCO!A877)</f>
        <v>15</v>
      </c>
      <c r="B352" s="4" t="str">
        <f>IF(TOTALCO!B877="", "",TOTALCO!B877)</f>
        <v>TOTAL DEFERRED INCOME TAX</v>
      </c>
      <c r="C352" s="4" t="str">
        <f>IF(TOTALCO!C877="", "",TOTALCO!C877)</f>
        <v/>
      </c>
      <c r="D352" s="12">
        <f ca="1">IF(TOTALCO!D877="", "",TOTALCO!D877)</f>
        <v>502196487</v>
      </c>
      <c r="E352" s="12" t="str">
        <f>IF(TOTALCO!E877="", "",TOTALCO!E877)</f>
        <v/>
      </c>
      <c r="F352" s="12">
        <f ca="1">IF(TOTALCO!F877="", "",TOTALCO!F877)</f>
        <v>439643556.61911047</v>
      </c>
      <c r="G352" s="12" t="str">
        <f>IF(TOTALCO!G877="", "",TOTALCO!G877)</f>
        <v/>
      </c>
      <c r="H352" s="12">
        <f ca="1">IF(TOTALCO!H877="", "",TOTALCO!H877)</f>
        <v>28594743.338706903</v>
      </c>
      <c r="I352" s="12">
        <f ca="1">IF(TOTALCO!I877="", "",TOTALCO!I877)</f>
        <v>33958187.042182602</v>
      </c>
      <c r="J352" s="12" t="str">
        <f>IF(TOTALCO!J877="", "",TOTALCO!J877)</f>
        <v/>
      </c>
      <c r="K352" s="12" t="str">
        <f>IF(TOTALCO!K877="", "",TOTALCO!K877)</f>
        <v/>
      </c>
      <c r="L352" s="12">
        <f ca="1">IF(TOTALCO!L877="", "",TOTALCO!L877)</f>
        <v>15555.226944573948</v>
      </c>
      <c r="M352" s="12" t="str">
        <f>IF(TOTALCO!M877="", "",TOTALCO!M877)</f>
        <v/>
      </c>
      <c r="N352" s="12">
        <f ca="1">IF(TOTALCO!N877="", "",TOTALCO!N877)</f>
        <v>33942631.815238029</v>
      </c>
      <c r="O352" s="12">
        <f ca="1">IF(TOTALCO!O877="", "",TOTALCO!O877)</f>
        <v>10778578.07570019</v>
      </c>
      <c r="P352" s="12">
        <f ca="1">IF(TOTALCO!P877="", "",TOTALCO!P877)</f>
        <v>23164053.739537839</v>
      </c>
      <c r="Q352" s="12"/>
      <c r="R352" s="13"/>
    </row>
    <row r="353" spans="1:18" ht="15" x14ac:dyDescent="0.2">
      <c r="A353" s="382" t="str">
        <f>IF(TOTALCO!A878="", "",TOTALCO!A878)</f>
        <v/>
      </c>
      <c r="B353" s="4" t="str">
        <f>IF(TOTALCO!B878="", "",TOTALCO!B878)</f>
        <v/>
      </c>
      <c r="C353" s="4" t="str">
        <f>IF(TOTALCO!C878="", "",TOTALCO!C878)</f>
        <v/>
      </c>
      <c r="D353" s="12" t="str">
        <f>IF(TOTALCO!D878="", "",TOTALCO!D878)</f>
        <v/>
      </c>
      <c r="E353" s="12" t="str">
        <f>IF(TOTALCO!E878="", "",TOTALCO!E878)</f>
        <v/>
      </c>
      <c r="F353" s="12" t="str">
        <f>IF(TOTALCO!F878="", "",TOTALCO!F878)</f>
        <v/>
      </c>
      <c r="G353" s="12" t="str">
        <f>IF(TOTALCO!G878="", "",TOTALCO!G878)</f>
        <v/>
      </c>
      <c r="H353" s="12" t="str">
        <f>IF(TOTALCO!H878="", "",TOTALCO!H878)</f>
        <v/>
      </c>
      <c r="I353" s="12" t="str">
        <f>IF(TOTALCO!I878="", "",TOTALCO!I878)</f>
        <v/>
      </c>
      <c r="J353" s="12" t="str">
        <f>IF(TOTALCO!J878="", "",TOTALCO!J878)</f>
        <v/>
      </c>
      <c r="K353" s="12" t="str">
        <f>IF(TOTALCO!K878="", "",TOTALCO!K878)</f>
        <v/>
      </c>
      <c r="L353" s="12" t="str">
        <f>IF(TOTALCO!L878="", "",TOTALCO!L878)</f>
        <v/>
      </c>
      <c r="M353" s="12" t="str">
        <f>IF(TOTALCO!M878="", "",TOTALCO!M878)</f>
        <v/>
      </c>
      <c r="N353" s="12" t="str">
        <f>IF(TOTALCO!N878="", "",TOTALCO!N878)</f>
        <v/>
      </c>
      <c r="O353" s="12" t="str">
        <f>IF(TOTALCO!O878="", "",TOTALCO!O878)</f>
        <v/>
      </c>
      <c r="P353" s="12" t="str">
        <f>IF(TOTALCO!P878="", "",TOTALCO!P878)</f>
        <v/>
      </c>
      <c r="Q353" s="12"/>
      <c r="R353" s="13"/>
    </row>
    <row r="354" spans="1:18" ht="15" x14ac:dyDescent="0.2">
      <c r="A354" s="382" t="str">
        <f>IF(TOTALCO!A879="", "",TOTALCO!A879)</f>
        <v/>
      </c>
      <c r="B354" s="4" t="str">
        <f>IF(TOTALCO!B879="", "",TOTALCO!B879)</f>
        <v>ACCUM DEFER INVEST TAX CREDITS</v>
      </c>
      <c r="C354" s="4" t="str">
        <f>IF(TOTALCO!C879="", "",TOTALCO!C879)</f>
        <v/>
      </c>
      <c r="D354" s="12" t="str">
        <f>IF(TOTALCO!D879="", "",TOTALCO!D879)</f>
        <v/>
      </c>
      <c r="E354" s="12" t="str">
        <f>IF(TOTALCO!E879="", "",TOTALCO!E879)</f>
        <v/>
      </c>
      <c r="F354" s="12" t="str">
        <f>IF(TOTALCO!F879="", "",TOTALCO!F879)</f>
        <v/>
      </c>
      <c r="G354" s="12" t="str">
        <f>IF(TOTALCO!G879="", "",TOTALCO!G879)</f>
        <v/>
      </c>
      <c r="H354" s="12" t="str">
        <f>IF(TOTALCO!H879="", "",TOTALCO!H879)</f>
        <v/>
      </c>
      <c r="I354" s="12" t="str">
        <f>IF(TOTALCO!I879="", "",TOTALCO!I879)</f>
        <v/>
      </c>
      <c r="J354" s="12" t="str">
        <f>IF(TOTALCO!J879="", "",TOTALCO!J879)</f>
        <v/>
      </c>
      <c r="K354" s="12" t="str">
        <f>IF(TOTALCO!K879="", "",TOTALCO!K879)</f>
        <v/>
      </c>
      <c r="L354" s="12" t="str">
        <f>IF(TOTALCO!L879="", "",TOTALCO!L879)</f>
        <v/>
      </c>
      <c r="M354" s="12" t="str">
        <f>IF(TOTALCO!M879="", "",TOTALCO!M879)</f>
        <v/>
      </c>
      <c r="N354" s="12" t="str">
        <f>IF(TOTALCO!N879="", "",TOTALCO!N879)</f>
        <v/>
      </c>
      <c r="O354" s="12" t="str">
        <f>IF(TOTALCO!O879="", "",TOTALCO!O879)</f>
        <v/>
      </c>
      <c r="P354" s="12" t="str">
        <f>IF(TOTALCO!P879="", "",TOTALCO!P879)</f>
        <v/>
      </c>
      <c r="Q354" s="12"/>
      <c r="R354" s="13"/>
    </row>
    <row r="355" spans="1:18" ht="15" x14ac:dyDescent="0.2">
      <c r="A355" s="382">
        <f>IF(TOTALCO!A880="", "",TOTALCO!A880)</f>
        <v>16</v>
      </c>
      <c r="B355" s="4" t="str">
        <f>IF(TOTALCO!B880="", "",TOTALCO!B880)</f>
        <v xml:space="preserve">  PRODUCTION</v>
      </c>
      <c r="C355" s="4" t="str">
        <f>IF(TOTALCO!C880="", "",TOTALCO!C880)</f>
        <v>PRODPLT</v>
      </c>
      <c r="D355" s="12">
        <f ca="1">IF(TOTALCO!D880="", "",TOTALCO!D880)</f>
        <v>100707740</v>
      </c>
      <c r="E355" s="12" t="str">
        <f>IF(TOTALCO!E880="", "",TOTALCO!E880)</f>
        <v/>
      </c>
      <c r="F355" s="12">
        <f ca="1">IF(TOTALCO!F880="", "",TOTALCO!F880)</f>
        <v>86299724.418162271</v>
      </c>
      <c r="G355" s="12" t="str">
        <f>IF(TOTALCO!G880="", "",TOTALCO!G880)</f>
        <v/>
      </c>
      <c r="H355" s="12">
        <f ca="1">IF(TOTALCO!H880="", "",TOTALCO!H880)</f>
        <v>5223560.284217543</v>
      </c>
      <c r="I355" s="12">
        <f ca="1">IF(TOTALCO!I880="", "",TOTALCO!I880)</f>
        <v>9184455.2976201847</v>
      </c>
      <c r="J355" s="12" t="str">
        <f>IF(TOTALCO!J880="", "",TOTALCO!J880)</f>
        <v/>
      </c>
      <c r="K355" s="12" t="str">
        <f>IF(TOTALCO!K880="", "",TOTALCO!K880)</f>
        <v/>
      </c>
      <c r="L355" s="12">
        <f ca="1">IF(TOTALCO!L880="", "",TOTALCO!L880)</f>
        <v>763.04225188133717</v>
      </c>
      <c r="M355" s="12" t="str">
        <f>IF(TOTALCO!M880="", "",TOTALCO!M880)</f>
        <v/>
      </c>
      <c r="N355" s="12">
        <f ca="1">IF(TOTALCO!N880="", "",TOTALCO!N880)</f>
        <v>9183692.2553683035</v>
      </c>
      <c r="O355" s="12">
        <f ca="1">IF(TOTALCO!O880="", "",TOTALCO!O880)</f>
        <v>2865544.9948077453</v>
      </c>
      <c r="P355" s="12">
        <f ca="1">IF(TOTALCO!P880="", "",TOTALCO!P880)</f>
        <v>6318147.2605605591</v>
      </c>
      <c r="Q355" s="12"/>
      <c r="R355" s="13"/>
    </row>
    <row r="356" spans="1:18" ht="15" x14ac:dyDescent="0.2">
      <c r="A356" s="382">
        <f>IF(TOTALCO!A881="", "",TOTALCO!A881)</f>
        <v>17</v>
      </c>
      <c r="B356" s="4" t="str">
        <f>IF(TOTALCO!B881="", "",TOTALCO!B881)</f>
        <v xml:space="preserve">  TRANSMISSION</v>
      </c>
      <c r="C356" s="4" t="str">
        <f>IF(TOTALCO!C881="", "",TOTALCO!C881)</f>
        <v>TRANPLTX</v>
      </c>
      <c r="D356" s="12">
        <f ca="1">IF(TOTALCO!D881="", "",TOTALCO!D881)</f>
        <v>0</v>
      </c>
      <c r="E356" s="12" t="str">
        <f>IF(TOTALCO!E881="", "",TOTALCO!E881)</f>
        <v/>
      </c>
      <c r="F356" s="12">
        <f ca="1">IF(TOTALCO!F881="", "",TOTALCO!F881)</f>
        <v>0</v>
      </c>
      <c r="G356" s="12" t="str">
        <f>IF(TOTALCO!G881="", "",TOTALCO!G881)</f>
        <v/>
      </c>
      <c r="H356" s="12">
        <f ca="1">IF(TOTALCO!H881="", "",TOTALCO!H881)</f>
        <v>0</v>
      </c>
      <c r="I356" s="12">
        <f ca="1">IF(TOTALCO!I881="", "",TOTALCO!I881)</f>
        <v>0</v>
      </c>
      <c r="J356" s="12" t="str">
        <f>IF(TOTALCO!J881="", "",TOTALCO!J881)</f>
        <v/>
      </c>
      <c r="K356" s="12" t="str">
        <f>IF(TOTALCO!K881="", "",TOTALCO!K881)</f>
        <v/>
      </c>
      <c r="L356" s="12">
        <f ca="1">IF(TOTALCO!L881="", "",TOTALCO!L881)</f>
        <v>0</v>
      </c>
      <c r="M356" s="12" t="str">
        <f>IF(TOTALCO!M881="", "",TOTALCO!M881)</f>
        <v/>
      </c>
      <c r="N356" s="12">
        <f ca="1">IF(TOTALCO!N881="", "",TOTALCO!N881)</f>
        <v>0</v>
      </c>
      <c r="O356" s="12">
        <f ca="1">IF(TOTALCO!O881="", "",TOTALCO!O881)</f>
        <v>0</v>
      </c>
      <c r="P356" s="12">
        <f ca="1">IF(TOTALCO!P881="", "",TOTALCO!P881)</f>
        <v>0</v>
      </c>
      <c r="Q356" s="12"/>
      <c r="R356" s="13"/>
    </row>
    <row r="357" spans="1:18" ht="15" x14ac:dyDescent="0.2">
      <c r="A357" s="382">
        <f>IF(TOTALCO!A882="", "",TOTALCO!A882)</f>
        <v>18</v>
      </c>
      <c r="B357" s="4" t="str">
        <f>IF(TOTALCO!B882="", "",TOTALCO!B882)</f>
        <v xml:space="preserve">  TRANSMISSION - VA</v>
      </c>
      <c r="C357" s="4" t="str">
        <f>IF(TOTALCO!C882="", "",TOTALCO!C882)</f>
        <v>TRPLTVA</v>
      </c>
      <c r="D357" s="12">
        <f ca="1">IF(TOTALCO!D882="", "",TOTALCO!D882)</f>
        <v>0</v>
      </c>
      <c r="E357" s="12" t="str">
        <f>IF(TOTALCO!E882="", "",TOTALCO!E882)</f>
        <v/>
      </c>
      <c r="F357" s="12">
        <f ca="1">IF(TOTALCO!F882="", "",TOTALCO!F882)</f>
        <v>0</v>
      </c>
      <c r="G357" s="12" t="str">
        <f>IF(TOTALCO!G882="", "",TOTALCO!G882)</f>
        <v/>
      </c>
      <c r="H357" s="12">
        <f ca="1">IF(TOTALCO!H882="", "",TOTALCO!H882)</f>
        <v>0</v>
      </c>
      <c r="I357" s="12">
        <f ca="1">IF(TOTALCO!I882="", "",TOTALCO!I882)</f>
        <v>0</v>
      </c>
      <c r="J357" s="12" t="str">
        <f>IF(TOTALCO!J882="", "",TOTALCO!J882)</f>
        <v/>
      </c>
      <c r="K357" s="12" t="str">
        <f>IF(TOTALCO!K882="", "",TOTALCO!K882)</f>
        <v/>
      </c>
      <c r="L357" s="12">
        <f ca="1">IF(TOTALCO!L882="", "",TOTALCO!L882)</f>
        <v>0</v>
      </c>
      <c r="M357" s="12" t="str">
        <f>IF(TOTALCO!M882="", "",TOTALCO!M882)</f>
        <v/>
      </c>
      <c r="N357" s="12">
        <f ca="1">IF(TOTALCO!N882="", "",TOTALCO!N882)</f>
        <v>0</v>
      </c>
      <c r="O357" s="12">
        <f ca="1">IF(TOTALCO!O882="", "",TOTALCO!O882)</f>
        <v>0</v>
      </c>
      <c r="P357" s="12">
        <f ca="1">IF(TOTALCO!P882="", "",TOTALCO!P882)</f>
        <v>0</v>
      </c>
      <c r="Q357" s="12"/>
      <c r="R357" s="13"/>
    </row>
    <row r="358" spans="1:18" ht="15" x14ac:dyDescent="0.2">
      <c r="A358" s="382">
        <f>IF(TOTALCO!A883="", "",TOTALCO!A883)</f>
        <v>18</v>
      </c>
      <c r="B358" s="4" t="str">
        <f>IF(TOTALCO!B883="", "",TOTALCO!B883)</f>
        <v xml:space="preserve">  DISTRIBUTION - VA</v>
      </c>
      <c r="C358" s="4" t="str">
        <f>IF(TOTALCO!C883="", "",TOTALCO!C883)</f>
        <v>DIRACITC</v>
      </c>
      <c r="D358" s="12">
        <f ca="1">IF(TOTALCO!D883="", "",TOTALCO!D883)</f>
        <v>0</v>
      </c>
      <c r="E358" s="12" t="str">
        <f>IF(TOTALCO!E883="", "",TOTALCO!E883)</f>
        <v/>
      </c>
      <c r="F358" s="12">
        <f ca="1">IF(TOTALCO!F883="", "",TOTALCO!F883)</f>
        <v>0</v>
      </c>
      <c r="G358" s="12" t="str">
        <f>IF(TOTALCO!G883="", "",TOTALCO!G883)</f>
        <v/>
      </c>
      <c r="H358" s="12">
        <f ca="1">IF(TOTALCO!H883="", "",TOTALCO!H883)</f>
        <v>0</v>
      </c>
      <c r="I358" s="12">
        <f ca="1">IF(TOTALCO!I883="", "",TOTALCO!I883)</f>
        <v>0</v>
      </c>
      <c r="J358" s="12" t="str">
        <f>IF(TOTALCO!J883="", "",TOTALCO!J883)</f>
        <v/>
      </c>
      <c r="K358" s="12" t="str">
        <f>IF(TOTALCO!K883="", "",TOTALCO!K883)</f>
        <v/>
      </c>
      <c r="L358" s="12">
        <f ca="1">IF(TOTALCO!L883="", "",TOTALCO!L883)</f>
        <v>0</v>
      </c>
      <c r="M358" s="12" t="str">
        <f>IF(TOTALCO!M883="", "",TOTALCO!M883)</f>
        <v/>
      </c>
      <c r="N358" s="12">
        <f ca="1">IF(TOTALCO!N883="", "",TOTALCO!N883)</f>
        <v>0</v>
      </c>
      <c r="O358" s="12">
        <f ca="1">IF(TOTALCO!O883="", "",TOTALCO!O883)</f>
        <v>0</v>
      </c>
      <c r="P358" s="12">
        <f ca="1">IF(TOTALCO!P883="", "",TOTALCO!P883)</f>
        <v>0</v>
      </c>
      <c r="Q358" s="12"/>
      <c r="R358" s="13"/>
    </row>
    <row r="359" spans="1:18" ht="15" x14ac:dyDescent="0.2">
      <c r="A359" s="382">
        <f>IF(TOTALCO!A884="", "",TOTALCO!A884)</f>
        <v>20</v>
      </c>
      <c r="B359" s="4" t="str">
        <f>IF(TOTALCO!B884="", "",TOTALCO!B884)</f>
        <v xml:space="preserve">  DISTRIBUTION PLT KY,FERC &amp; TN</v>
      </c>
      <c r="C359" s="4" t="str">
        <f>IF(TOTALCO!C884="", "",TOTALCO!C884)</f>
        <v>DPLTXVA</v>
      </c>
      <c r="D359" s="12">
        <f ca="1">IF(TOTALCO!D884="", "",TOTALCO!D884)</f>
        <v>0</v>
      </c>
      <c r="E359" s="12" t="str">
        <f>IF(TOTALCO!E884="", "",TOTALCO!E884)</f>
        <v/>
      </c>
      <c r="F359" s="12">
        <f ca="1">IF(TOTALCO!F884="", "",TOTALCO!F884)</f>
        <v>0</v>
      </c>
      <c r="G359" s="12" t="str">
        <f>IF(TOTALCO!G884="", "",TOTALCO!G884)</f>
        <v/>
      </c>
      <c r="H359" s="12">
        <f ca="1">IF(TOTALCO!H884="", "",TOTALCO!H884)</f>
        <v>0</v>
      </c>
      <c r="I359" s="12">
        <f ca="1">IF(TOTALCO!I884="", "",TOTALCO!I884)</f>
        <v>0</v>
      </c>
      <c r="J359" s="12" t="str">
        <f>IF(TOTALCO!J884="", "",TOTALCO!J884)</f>
        <v/>
      </c>
      <c r="K359" s="12" t="str">
        <f>IF(TOTALCO!K884="", "",TOTALCO!K884)</f>
        <v/>
      </c>
      <c r="L359" s="12">
        <f ca="1">IF(TOTALCO!L884="", "",TOTALCO!L884)</f>
        <v>0</v>
      </c>
      <c r="M359" s="12" t="str">
        <f>IF(TOTALCO!M884="", "",TOTALCO!M884)</f>
        <v/>
      </c>
      <c r="N359" s="12">
        <f ca="1">IF(TOTALCO!N884="", "",TOTALCO!N884)</f>
        <v>0</v>
      </c>
      <c r="O359" s="12">
        <f ca="1">IF(TOTALCO!O884="", "",TOTALCO!O884)</f>
        <v>0</v>
      </c>
      <c r="P359" s="12">
        <f ca="1">IF(TOTALCO!P884="", "",TOTALCO!P884)</f>
        <v>0</v>
      </c>
      <c r="Q359" s="12"/>
      <c r="R359" s="13"/>
    </row>
    <row r="360" spans="1:18" ht="15" x14ac:dyDescent="0.2">
      <c r="A360" s="382">
        <f>IF(TOTALCO!A885="", "",TOTALCO!A885)</f>
        <v>21</v>
      </c>
      <c r="B360" s="4" t="str">
        <f>IF(TOTALCO!B885="", "",TOTALCO!B885)</f>
        <v xml:space="preserve">  GENERAL</v>
      </c>
      <c r="C360" s="4" t="str">
        <f>IF(TOTALCO!C885="", "",TOTALCO!C885)</f>
        <v>GENPLT</v>
      </c>
      <c r="D360" s="12">
        <f ca="1">IF(TOTALCO!D885="", "",TOTALCO!D885)</f>
        <v>0</v>
      </c>
      <c r="E360" s="12" t="str">
        <f>IF(TOTALCO!E885="", "",TOTALCO!E885)</f>
        <v/>
      </c>
      <c r="F360" s="12">
        <f ca="1">IF(TOTALCO!F885="", "",TOTALCO!F885)</f>
        <v>0</v>
      </c>
      <c r="G360" s="12" t="str">
        <f>IF(TOTALCO!G885="", "",TOTALCO!G885)</f>
        <v/>
      </c>
      <c r="H360" s="12">
        <f ca="1">IF(TOTALCO!H885="", "",TOTALCO!H885)</f>
        <v>0</v>
      </c>
      <c r="I360" s="12">
        <f ca="1">IF(TOTALCO!I885="", "",TOTALCO!I885)</f>
        <v>0</v>
      </c>
      <c r="J360" s="12" t="str">
        <f>IF(TOTALCO!J885="", "",TOTALCO!J885)</f>
        <v/>
      </c>
      <c r="K360" s="12" t="str">
        <f>IF(TOTALCO!K885="", "",TOTALCO!K885)</f>
        <v/>
      </c>
      <c r="L360" s="12">
        <f ca="1">IF(TOTALCO!L885="", "",TOTALCO!L885)</f>
        <v>0</v>
      </c>
      <c r="M360" s="12" t="str">
        <f>IF(TOTALCO!M885="", "",TOTALCO!M885)</f>
        <v/>
      </c>
      <c r="N360" s="12">
        <f ca="1">IF(TOTALCO!N885="", "",TOTALCO!N885)</f>
        <v>0</v>
      </c>
      <c r="O360" s="12">
        <f ca="1">IF(TOTALCO!O885="", "",TOTALCO!O885)</f>
        <v>0</v>
      </c>
      <c r="P360" s="12">
        <f ca="1">IF(TOTALCO!P885="", "",TOTALCO!P885)</f>
        <v>0</v>
      </c>
      <c r="Q360" s="12"/>
      <c r="R360" s="13"/>
    </row>
    <row r="361" spans="1:18" ht="15" x14ac:dyDescent="0.2">
      <c r="A361" s="382">
        <f>IF(TOTALCO!A886="", "",TOTALCO!A886)</f>
        <v>22</v>
      </c>
      <c r="B361" s="4" t="str">
        <f>IF(TOTALCO!B886="", "",TOTALCO!B886)</f>
        <v>TOTAL DEFERRED INVEST CREDIT</v>
      </c>
      <c r="C361" s="4" t="str">
        <f>IF(TOTALCO!C886="", "",TOTALCO!C886)</f>
        <v/>
      </c>
      <c r="D361" s="12">
        <f ca="1">IF(TOTALCO!D886="", "",TOTALCO!D886)</f>
        <v>100707740</v>
      </c>
      <c r="E361" s="12" t="str">
        <f>IF(TOTALCO!E886="", "",TOTALCO!E886)</f>
        <v/>
      </c>
      <c r="F361" s="12">
        <f ca="1">IF(TOTALCO!F886="", "",TOTALCO!F886)</f>
        <v>86299724.418162271</v>
      </c>
      <c r="G361" s="12" t="str">
        <f>IF(TOTALCO!G886="", "",TOTALCO!G886)</f>
        <v/>
      </c>
      <c r="H361" s="12">
        <f ca="1">IF(TOTALCO!H886="", "",TOTALCO!H886)</f>
        <v>5223560.284217543</v>
      </c>
      <c r="I361" s="12">
        <f ca="1">IF(TOTALCO!I886="", "",TOTALCO!I886)</f>
        <v>9184455.2976201847</v>
      </c>
      <c r="J361" s="12" t="str">
        <f>IF(TOTALCO!J886="", "",TOTALCO!J886)</f>
        <v/>
      </c>
      <c r="K361" s="12" t="str">
        <f>IF(TOTALCO!K886="", "",TOTALCO!K886)</f>
        <v/>
      </c>
      <c r="L361" s="12">
        <f ca="1">IF(TOTALCO!L886="", "",TOTALCO!L886)</f>
        <v>763.04225188133717</v>
      </c>
      <c r="M361" s="12" t="str">
        <f>IF(TOTALCO!M886="", "",TOTALCO!M886)</f>
        <v/>
      </c>
      <c r="N361" s="12">
        <f ca="1">IF(TOTALCO!N886="", "",TOTALCO!N886)</f>
        <v>9183692.2553683035</v>
      </c>
      <c r="O361" s="12">
        <f ca="1">IF(TOTALCO!O886="", "",TOTALCO!O886)</f>
        <v>2865544.9948077453</v>
      </c>
      <c r="P361" s="12">
        <f ca="1">IF(TOTALCO!P886="", "",TOTALCO!P886)</f>
        <v>6318147.2605605591</v>
      </c>
      <c r="Q361" s="12"/>
      <c r="R361" s="13"/>
    </row>
    <row r="362" spans="1:18" ht="15" x14ac:dyDescent="0.2">
      <c r="A362" s="382" t="str">
        <f>IF(TOTALCO!A887="", "",TOTALCO!A887)</f>
        <v/>
      </c>
      <c r="B362" s="4" t="str">
        <f>IF(TOTALCO!B887="", "",TOTALCO!B887)</f>
        <v/>
      </c>
      <c r="C362" s="4" t="str">
        <f>IF(TOTALCO!C887="", "",TOTALCO!C887)</f>
        <v/>
      </c>
      <c r="D362" s="12" t="str">
        <f>IF(TOTALCO!D887="", "",TOTALCO!D887)</f>
        <v/>
      </c>
      <c r="E362" s="12" t="str">
        <f>IF(TOTALCO!E887="", "",TOTALCO!E887)</f>
        <v/>
      </c>
      <c r="F362" s="12" t="str">
        <f>IF(TOTALCO!F887="", "",TOTALCO!F887)</f>
        <v/>
      </c>
      <c r="G362" s="12" t="str">
        <f>IF(TOTALCO!G887="", "",TOTALCO!G887)</f>
        <v/>
      </c>
      <c r="H362" s="12" t="str">
        <f>IF(TOTALCO!H887="", "",TOTALCO!H887)</f>
        <v/>
      </c>
      <c r="I362" s="12" t="str">
        <f>IF(TOTALCO!I887="", "",TOTALCO!I887)</f>
        <v/>
      </c>
      <c r="J362" s="12" t="str">
        <f>IF(TOTALCO!J887="", "",TOTALCO!J887)</f>
        <v/>
      </c>
      <c r="K362" s="12" t="str">
        <f>IF(TOTALCO!K887="", "",TOTALCO!K887)</f>
        <v/>
      </c>
      <c r="L362" s="12" t="str">
        <f>IF(TOTALCO!L887="", "",TOTALCO!L887)</f>
        <v/>
      </c>
      <c r="M362" s="12" t="str">
        <f>IF(TOTALCO!M887="", "",TOTALCO!M887)</f>
        <v/>
      </c>
      <c r="N362" s="12" t="str">
        <f>IF(TOTALCO!N887="", "",TOTALCO!N887)</f>
        <v/>
      </c>
      <c r="O362" s="12" t="str">
        <f>IF(TOTALCO!O887="", "",TOTALCO!O887)</f>
        <v/>
      </c>
      <c r="P362" s="12" t="str">
        <f>IF(TOTALCO!P887="", "",TOTALCO!P887)</f>
        <v/>
      </c>
      <c r="Q362" s="12"/>
      <c r="R362" s="13"/>
    </row>
    <row r="363" spans="1:18" ht="15" x14ac:dyDescent="0.2">
      <c r="A363" s="382">
        <f>IF(TOTALCO!A888="", "",TOTALCO!A888)</f>
        <v>23</v>
      </c>
      <c r="B363" s="4" t="str">
        <f>IF(TOTALCO!B888="", "",TOTALCO!B888)</f>
        <v>CUSTOMER ADVANCES</v>
      </c>
      <c r="C363" s="4" t="str">
        <f>IF(TOTALCO!C888="", "",TOTALCO!C888)</f>
        <v>CUSTADV</v>
      </c>
      <c r="D363" s="12">
        <f ca="1">IF(TOTALCO!D888="", "",TOTALCO!D888)</f>
        <v>3147887.16</v>
      </c>
      <c r="E363" s="12" t="str">
        <f>IF(TOTALCO!E888="", "",TOTALCO!E888)</f>
        <v/>
      </c>
      <c r="F363" s="12">
        <f ca="1">IF(TOTALCO!F888="", "",TOTALCO!F888)</f>
        <v>2936188.7806725097</v>
      </c>
      <c r="G363" s="12" t="str">
        <f>IF(TOTALCO!G888="", "",TOTALCO!G888)</f>
        <v/>
      </c>
      <c r="H363" s="12">
        <f ca="1">IF(TOTALCO!H888="", "",TOTALCO!H888)</f>
        <v>211698.37932749046</v>
      </c>
      <c r="I363" s="12">
        <f ca="1">IF(TOTALCO!I888="", "",TOTALCO!I888)</f>
        <v>0</v>
      </c>
      <c r="J363" s="12" t="str">
        <f>IF(TOTALCO!J888="", "",TOTALCO!J888)</f>
        <v/>
      </c>
      <c r="K363" s="12" t="str">
        <f>IF(TOTALCO!K888="", "",TOTALCO!K888)</f>
        <v/>
      </c>
      <c r="L363" s="12">
        <f ca="1">IF(TOTALCO!L888="", "",TOTALCO!L888)</f>
        <v>0</v>
      </c>
      <c r="M363" s="12" t="str">
        <f>IF(TOTALCO!M888="", "",TOTALCO!M888)</f>
        <v/>
      </c>
      <c r="N363" s="12">
        <f ca="1">IF(TOTALCO!N888="", "",TOTALCO!N888)</f>
        <v>0</v>
      </c>
      <c r="O363" s="12">
        <f ca="1">IF(TOTALCO!O888="", "",TOTALCO!O888)</f>
        <v>0</v>
      </c>
      <c r="P363" s="12">
        <f ca="1">IF(TOTALCO!P888="", "",TOTALCO!P888)</f>
        <v>0</v>
      </c>
      <c r="Q363" s="12"/>
      <c r="R363" s="13"/>
    </row>
    <row r="364" spans="1:18" ht="15" x14ac:dyDescent="0.2">
      <c r="A364" s="382">
        <f>IF(TOTALCO!A889="", "",TOTALCO!A889)</f>
        <v>24</v>
      </c>
      <c r="B364" s="4" t="str">
        <f>IF(TOTALCO!B889="", "",TOTALCO!B889)</f>
        <v>CUSTOMER DEPOSITS-VIRGINIA</v>
      </c>
      <c r="C364" s="4" t="str">
        <f>IF(TOTALCO!C889="", "",TOTALCO!C889)</f>
        <v>CUSTDEP</v>
      </c>
      <c r="D364" s="12">
        <f>IF(TOTALCO!D889="", "",TOTALCO!D889)</f>
        <v>23057677.960000001</v>
      </c>
      <c r="E364" s="12" t="str">
        <f>IF(TOTALCO!E889="", "",TOTALCO!E889)</f>
        <v/>
      </c>
      <c r="F364" s="12">
        <f>IF(TOTALCO!F889="", "",TOTALCO!F889)</f>
        <v>0</v>
      </c>
      <c r="G364" s="12" t="str">
        <f>IF(TOTALCO!G889="", "",TOTALCO!G889)</f>
        <v/>
      </c>
      <c r="H364" s="12">
        <f ca="1">IF(TOTALCO!H889="", "",TOTALCO!H889)</f>
        <v>525361.27</v>
      </c>
      <c r="I364" s="12">
        <f ca="1">IF(TOTALCO!I889="", "",TOTALCO!I889)</f>
        <v>0</v>
      </c>
      <c r="J364" s="12" t="str">
        <f>IF(TOTALCO!J889="", "",TOTALCO!J889)</f>
        <v/>
      </c>
      <c r="K364" s="12" t="str">
        <f>IF(TOTALCO!K889="", "",TOTALCO!K889)</f>
        <v/>
      </c>
      <c r="L364" s="12">
        <f ca="1">IF(TOTALCO!L889="", "",TOTALCO!L889)</f>
        <v>0</v>
      </c>
      <c r="M364" s="12" t="str">
        <f>IF(TOTALCO!M889="", "",TOTALCO!M889)</f>
        <v/>
      </c>
      <c r="N364" s="12">
        <f ca="1">IF(TOTALCO!N889="", "",TOTALCO!N889)</f>
        <v>0</v>
      </c>
      <c r="O364" s="12">
        <f ca="1">IF(TOTALCO!O889="", "",TOTALCO!O889)</f>
        <v>0</v>
      </c>
      <c r="P364" s="12">
        <f ca="1">IF(TOTALCO!P889="", "",TOTALCO!P889)</f>
        <v>0</v>
      </c>
      <c r="Q364" s="12"/>
      <c r="R364" s="13"/>
    </row>
    <row r="365" spans="1:18" ht="15" x14ac:dyDescent="0.2">
      <c r="A365" s="382">
        <f>IF(TOTALCO!A890="", "",TOTALCO!A890)</f>
        <v>25</v>
      </c>
      <c r="B365" s="4" t="str">
        <f>IF(TOTALCO!B890="", "",TOTALCO!B890)</f>
        <v>DEFERRED FUEL-VIRGINIA</v>
      </c>
      <c r="C365" s="4" t="str">
        <f>IF(TOTALCO!C890="", "",TOTALCO!C890)</f>
        <v>DFUELVA</v>
      </c>
      <c r="D365" s="12">
        <f ca="1">IF(TOTALCO!D890="", "",TOTALCO!D890)</f>
        <v>-2824747</v>
      </c>
      <c r="E365" s="12" t="str">
        <f>IF(TOTALCO!E890="", "",TOTALCO!E890)</f>
        <v/>
      </c>
      <c r="F365" s="12">
        <f ca="1">IF(TOTALCO!F890="", "",TOTALCO!F890)</f>
        <v>0</v>
      </c>
      <c r="G365" s="12" t="str">
        <f>IF(TOTALCO!G890="", "",TOTALCO!G890)</f>
        <v/>
      </c>
      <c r="H365" s="12">
        <f ca="1">IF(TOTALCO!H890="", "",TOTALCO!H890)</f>
        <v>-2824747</v>
      </c>
      <c r="I365" s="12">
        <f ca="1">IF(TOTALCO!I890="", "",TOTALCO!I890)</f>
        <v>0</v>
      </c>
      <c r="J365" s="12" t="str">
        <f>IF(TOTALCO!J890="", "",TOTALCO!J890)</f>
        <v/>
      </c>
      <c r="K365" s="12" t="str">
        <f>IF(TOTALCO!K890="", "",TOTALCO!K890)</f>
        <v/>
      </c>
      <c r="L365" s="12">
        <f ca="1">IF(TOTALCO!L890="", "",TOTALCO!L890)</f>
        <v>0</v>
      </c>
      <c r="M365" s="12" t="str">
        <f>IF(TOTALCO!M890="", "",TOTALCO!M890)</f>
        <v/>
      </c>
      <c r="N365" s="12">
        <f ca="1">IF(TOTALCO!N890="", "",TOTALCO!N890)</f>
        <v>0</v>
      </c>
      <c r="O365" s="12">
        <f ca="1">IF(TOTALCO!O890="", "",TOTALCO!O890)</f>
        <v>0</v>
      </c>
      <c r="P365" s="12">
        <f ca="1">IF(TOTALCO!P890="", "",TOTALCO!P890)</f>
        <v>0</v>
      </c>
      <c r="Q365" s="12"/>
      <c r="R365" s="13"/>
    </row>
    <row r="366" spans="1:18" ht="15" x14ac:dyDescent="0.2">
      <c r="A366" s="382">
        <f>IF(TOTALCO!A891="", "",TOTALCO!A891)</f>
        <v>26</v>
      </c>
      <c r="B366" s="4" t="str">
        <f>IF(TOTALCO!B891="", "",TOTALCO!B891)</f>
        <v>OPEB UNFUNDED-VIRGINIA</v>
      </c>
      <c r="C366" s="4" t="str">
        <f>IF(TOTALCO!C891="", "",TOTALCO!C891)</f>
        <v>LABOR</v>
      </c>
      <c r="D366" s="12">
        <f>IF(TOTALCO!D891="", "",TOTALCO!D891)</f>
        <v>59597737.969999999</v>
      </c>
      <c r="E366" s="12" t="str">
        <f>IF(TOTALCO!E891="", "",TOTALCO!E891)</f>
        <v/>
      </c>
      <c r="F366" s="12">
        <f>IF(TOTALCO!F891="", "",TOTALCO!F891)</f>
        <v>0</v>
      </c>
      <c r="G366" s="12" t="str">
        <f>IF(TOTALCO!G891="", "",TOTALCO!G891)</f>
        <v/>
      </c>
      <c r="H366" s="12">
        <f ca="1">IF(TOTALCO!H891="", "",TOTALCO!H891)</f>
        <v>3265538.018409566</v>
      </c>
      <c r="I366" s="12">
        <f>IF(TOTALCO!I891="", "",TOTALCO!I891)</f>
        <v>0</v>
      </c>
      <c r="J366" s="12" t="str">
        <f>IF(TOTALCO!J891="", "",TOTALCO!J891)</f>
        <v/>
      </c>
      <c r="K366" s="12" t="str">
        <f>IF(TOTALCO!K891="", "",TOTALCO!K891)</f>
        <v/>
      </c>
      <c r="L366" s="12">
        <f>IF(TOTALCO!L891="", "",TOTALCO!L891)</f>
        <v>0</v>
      </c>
      <c r="M366" s="12" t="str">
        <f>IF(TOTALCO!M891="", "",TOTALCO!M891)</f>
        <v/>
      </c>
      <c r="N366" s="12">
        <f>IF(TOTALCO!N891="", "",TOTALCO!N891)</f>
        <v>0</v>
      </c>
      <c r="O366" s="12">
        <f>IF(TOTALCO!O891="", "",TOTALCO!O891)</f>
        <v>0</v>
      </c>
      <c r="P366" s="12">
        <f>IF(TOTALCO!P891="", "",TOTALCO!P891)</f>
        <v>0</v>
      </c>
      <c r="Q366" s="12"/>
      <c r="R366" s="13"/>
    </row>
    <row r="367" spans="1:18" ht="15" x14ac:dyDescent="0.2">
      <c r="A367" s="382">
        <f>IF(TOTALCO!A892="", "",TOTALCO!A892)</f>
        <v>27</v>
      </c>
      <c r="B367" s="4" t="str">
        <f>IF(TOTALCO!B892="", "",TOTALCO!B892)</f>
        <v>TOTAL DEDUCTIONS FROM NET PLT</v>
      </c>
      <c r="C367" s="4" t="str">
        <f>IF(TOTALCO!C892="", "",TOTALCO!C892)</f>
        <v/>
      </c>
      <c r="D367" s="12">
        <f ca="1">IF(TOTALCO!D892="", "",TOTALCO!D892)</f>
        <v>685882783.09000003</v>
      </c>
      <c r="E367" s="12" t="str">
        <f>IF(TOTALCO!E892="", "",TOTALCO!E892)</f>
        <v/>
      </c>
      <c r="F367" s="12">
        <f ca="1">IF(TOTALCO!F892="", "",TOTALCO!F892)</f>
        <v>528879469.81794524</v>
      </c>
      <c r="G367" s="12" t="str">
        <f>IF(TOTALCO!G892="", "",TOTALCO!G892)</f>
        <v/>
      </c>
      <c r="H367" s="12">
        <f ca="1">IF(TOTALCO!H892="", "",TOTALCO!H892)</f>
        <v>34996154.290661506</v>
      </c>
      <c r="I367" s="12">
        <f ca="1">IF(TOTALCO!I892="", "",TOTALCO!I892)</f>
        <v>43142642.339802794</v>
      </c>
      <c r="J367" s="12" t="str">
        <f>IF(TOTALCO!J892="", "",TOTALCO!J892)</f>
        <v/>
      </c>
      <c r="K367" s="12" t="str">
        <f>IF(TOTALCO!K892="", "",TOTALCO!K892)</f>
        <v/>
      </c>
      <c r="L367" s="12">
        <f ca="1">IF(TOTALCO!L892="", "",TOTALCO!L892)</f>
        <v>16318.269196455285</v>
      </c>
      <c r="M367" s="12" t="str">
        <f>IF(TOTALCO!M892="", "",TOTALCO!M892)</f>
        <v/>
      </c>
      <c r="N367" s="12">
        <f ca="1">IF(TOTALCO!N892="", "",TOTALCO!N892)</f>
        <v>43126324.070606336</v>
      </c>
      <c r="O367" s="12">
        <f ca="1">IF(TOTALCO!O892="", "",TOTALCO!O892)</f>
        <v>13644123.070507936</v>
      </c>
      <c r="P367" s="12">
        <f ca="1">IF(TOTALCO!P892="", "",TOTALCO!P892)</f>
        <v>29482201.0000984</v>
      </c>
      <c r="Q367" s="12"/>
      <c r="R367" s="13"/>
    </row>
    <row r="368" spans="1:18" ht="15" x14ac:dyDescent="0.2">
      <c r="A368" s="382" t="str">
        <f>IF(TOTALCO!A893="", "",TOTALCO!A893)</f>
        <v/>
      </c>
      <c r="B368" s="4" t="str">
        <f>IF(TOTALCO!B893="", "",TOTALCO!B893)</f>
        <v/>
      </c>
      <c r="C368" s="4" t="str">
        <f>IF(TOTALCO!C893="", "",TOTALCO!C893)</f>
        <v/>
      </c>
      <c r="D368" s="12" t="str">
        <f>IF(TOTALCO!D893="", "",TOTALCO!D893)</f>
        <v/>
      </c>
      <c r="E368" s="12" t="str">
        <f>IF(TOTALCO!E893="", "",TOTALCO!E893)</f>
        <v/>
      </c>
      <c r="F368" s="12" t="str">
        <f>IF(TOTALCO!F893="", "",TOTALCO!F893)</f>
        <v/>
      </c>
      <c r="G368" s="12" t="str">
        <f>IF(TOTALCO!G893="", "",TOTALCO!G893)</f>
        <v/>
      </c>
      <c r="H368" s="12" t="str">
        <f>IF(TOTALCO!H893="", "",TOTALCO!H893)</f>
        <v/>
      </c>
      <c r="I368" s="12" t="str">
        <f>IF(TOTALCO!I893="", "",TOTALCO!I893)</f>
        <v/>
      </c>
      <c r="J368" s="12" t="str">
        <f>IF(TOTALCO!J893="", "",TOTALCO!J893)</f>
        <v/>
      </c>
      <c r="K368" s="12" t="str">
        <f>IF(TOTALCO!K893="", "",TOTALCO!K893)</f>
        <v/>
      </c>
      <c r="L368" s="12" t="str">
        <f>IF(TOTALCO!L893="", "",TOTALCO!L893)</f>
        <v/>
      </c>
      <c r="M368" s="12" t="str">
        <f>IF(TOTALCO!M893="", "",TOTALCO!M893)</f>
        <v/>
      </c>
      <c r="N368" s="12" t="str">
        <f>IF(TOTALCO!N893="", "",TOTALCO!N893)</f>
        <v/>
      </c>
      <c r="O368" s="12" t="str">
        <f>IF(TOTALCO!O893="", "",TOTALCO!O893)</f>
        <v/>
      </c>
      <c r="P368" s="12" t="str">
        <f>IF(TOTALCO!P893="", "",TOTALCO!P893)</f>
        <v/>
      </c>
      <c r="Q368" s="12"/>
      <c r="R368" s="13"/>
    </row>
    <row r="369" spans="1:18" ht="15" x14ac:dyDescent="0.2">
      <c r="A369" s="382">
        <f>IF(TOTALCO!A894="", "",TOTALCO!A894)</f>
        <v>28</v>
      </c>
      <c r="B369" s="4" t="str">
        <f>IF(TOTALCO!B894="", "",TOTALCO!B894)</f>
        <v>RATE BASE</v>
      </c>
      <c r="C369" s="4" t="str">
        <f>IF(TOTALCO!C894="", "",TOTALCO!C894)</f>
        <v/>
      </c>
      <c r="D369" s="12">
        <f ca="1">IF(TOTALCO!D894="", "",TOTALCO!D894)</f>
        <v>3977227798.518302</v>
      </c>
      <c r="E369" s="12" t="str">
        <f>IF(TOTALCO!E894="", "",TOTALCO!E894)</f>
        <v/>
      </c>
      <c r="F369" s="12">
        <f ca="1">IF(TOTALCO!F894="", "",TOTALCO!F894)</f>
        <v>3550375898.9468842</v>
      </c>
      <c r="G369" s="12" t="str">
        <f>IF(TOTALCO!G894="", "",TOTALCO!G894)</f>
        <v/>
      </c>
      <c r="H369" s="12">
        <f ca="1">IF(TOTALCO!H894="", "",TOTALCO!H894)</f>
        <v>216540257.81030622</v>
      </c>
      <c r="I369" s="12">
        <f ca="1">IF(TOTALCO!I894="", "",TOTALCO!I894)</f>
        <v>289176158.40270245</v>
      </c>
      <c r="J369" s="12" t="str">
        <f>IF(TOTALCO!J894="", "",TOTALCO!J894)</f>
        <v/>
      </c>
      <c r="K369" s="12" t="str">
        <f>IF(TOTALCO!K894="", "",TOTALCO!K894)</f>
        <v/>
      </c>
      <c r="L369" s="12">
        <f ca="1">IF(TOTALCO!L894="", "",TOTALCO!L894)</f>
        <v>37845.191210532408</v>
      </c>
      <c r="M369" s="12" t="str">
        <f>IF(TOTALCO!M894="", "",TOTALCO!M894)</f>
        <v/>
      </c>
      <c r="N369" s="12">
        <f ca="1">IF(TOTALCO!N894="", "",TOTALCO!N894)</f>
        <v>289138313.21149194</v>
      </c>
      <c r="O369" s="12">
        <f ca="1">IF(TOTALCO!O894="", "",TOTALCO!O894)</f>
        <v>91830469.28928861</v>
      </c>
      <c r="P369" s="12">
        <f ca="1">IF(TOTALCO!P894="", "",TOTALCO!P894)</f>
        <v>197307843.92220336</v>
      </c>
      <c r="Q369" s="12"/>
      <c r="R369" s="13"/>
    </row>
    <row r="370" spans="1:18" ht="15" x14ac:dyDescent="0.2">
      <c r="A370" s="382" t="str">
        <f>IF(TOTALCO!A895="", "",TOTALCO!A895)</f>
        <v/>
      </c>
      <c r="B370" s="4" t="str">
        <f>IF(TOTALCO!B895="", "",TOTALCO!B895)</f>
        <v/>
      </c>
      <c r="C370" s="4" t="str">
        <f>IF(TOTALCO!C895="", "",TOTALCO!C895)</f>
        <v/>
      </c>
      <c r="D370" s="12" t="str">
        <f>IF(TOTALCO!D895="", "",TOTALCO!D895)</f>
        <v/>
      </c>
      <c r="E370" s="12" t="str">
        <f>IF(TOTALCO!E895="", "",TOTALCO!E895)</f>
        <v/>
      </c>
      <c r="F370" s="12" t="str">
        <f>IF(TOTALCO!F895="", "",TOTALCO!F895)</f>
        <v/>
      </c>
      <c r="G370" s="12" t="str">
        <f>IF(TOTALCO!G895="", "",TOTALCO!G895)</f>
        <v/>
      </c>
      <c r="H370" s="12" t="str">
        <f>IF(TOTALCO!H895="", "",TOTALCO!H895)</f>
        <v/>
      </c>
      <c r="I370" s="12" t="str">
        <f>IF(TOTALCO!I895="", "",TOTALCO!I895)</f>
        <v/>
      </c>
      <c r="J370" s="12" t="str">
        <f>IF(TOTALCO!J895="", "",TOTALCO!J895)</f>
        <v/>
      </c>
      <c r="K370" s="12" t="str">
        <f>IF(TOTALCO!K895="", "",TOTALCO!K895)</f>
        <v/>
      </c>
      <c r="L370" s="12" t="str">
        <f>IF(TOTALCO!L895="", "",TOTALCO!L895)</f>
        <v/>
      </c>
      <c r="M370" s="12" t="str">
        <f>IF(TOTALCO!M895="", "",TOTALCO!M895)</f>
        <v/>
      </c>
      <c r="N370" s="12" t="str">
        <f>IF(TOTALCO!N895="", "",TOTALCO!N895)</f>
        <v/>
      </c>
      <c r="O370" s="12" t="str">
        <f>IF(TOTALCO!O895="", "",TOTALCO!O895)</f>
        <v/>
      </c>
      <c r="P370" s="12" t="str">
        <f>IF(TOTALCO!P895="", "",TOTALCO!P895)</f>
        <v/>
      </c>
      <c r="Q370" s="12"/>
      <c r="R370" s="13"/>
    </row>
    <row r="371" spans="1:18" ht="15" x14ac:dyDescent="0.2">
      <c r="A371" s="382" t="str">
        <f>IF(TOTALCO!A896="", "",TOTALCO!A896)</f>
        <v/>
      </c>
      <c r="B371" s="4" t="str">
        <f>IF(TOTALCO!B896="", "",TOTALCO!B896)</f>
        <v/>
      </c>
      <c r="C371" s="4" t="str">
        <f>IF(TOTALCO!C896="", "",TOTALCO!C896)</f>
        <v/>
      </c>
      <c r="D371" s="12" t="str">
        <f>IF(TOTALCO!D896="", "",TOTALCO!D896)</f>
        <v/>
      </c>
      <c r="E371" s="12" t="str">
        <f>IF(TOTALCO!E896="", "",TOTALCO!E896)</f>
        <v/>
      </c>
      <c r="F371" s="12" t="str">
        <f>IF(TOTALCO!F896="", "",TOTALCO!F896)</f>
        <v/>
      </c>
      <c r="G371" s="12" t="str">
        <f>IF(TOTALCO!G896="", "",TOTALCO!G896)</f>
        <v/>
      </c>
      <c r="H371" s="12" t="str">
        <f>IF(TOTALCO!H896="", "",TOTALCO!H896)</f>
        <v/>
      </c>
      <c r="I371" s="12" t="str">
        <f>IF(TOTALCO!I896="", "",TOTALCO!I896)</f>
        <v/>
      </c>
      <c r="J371" s="12" t="str">
        <f>IF(TOTALCO!J896="", "",TOTALCO!J896)</f>
        <v/>
      </c>
      <c r="K371" s="12" t="str">
        <f>IF(TOTALCO!K896="", "",TOTALCO!K896)</f>
        <v/>
      </c>
      <c r="L371" s="12" t="str">
        <f>IF(TOTALCO!L896="", "",TOTALCO!L896)</f>
        <v/>
      </c>
      <c r="M371" s="12" t="str">
        <f>IF(TOTALCO!M896="", "",TOTALCO!M896)</f>
        <v/>
      </c>
      <c r="N371" s="12" t="str">
        <f>IF(TOTALCO!N896="", "",TOTALCO!N896)</f>
        <v/>
      </c>
      <c r="O371" s="12" t="str">
        <f>IF(TOTALCO!O896="", "",TOTALCO!O896)</f>
        <v/>
      </c>
      <c r="P371" s="12" t="str">
        <f>IF(TOTALCO!P896="", "",TOTALCO!P896)</f>
        <v/>
      </c>
      <c r="Q371" s="12"/>
      <c r="R371" s="13"/>
    </row>
    <row r="372" spans="1:18" ht="15" x14ac:dyDescent="0.2">
      <c r="A372" s="382" t="str">
        <f>IF(TOTALCO!A897="", "",TOTALCO!A897)</f>
        <v/>
      </c>
      <c r="B372" s="4" t="str">
        <f>IF(TOTALCO!B897="", "",TOTALCO!B897)</f>
        <v>OPERATING REVENUES</v>
      </c>
      <c r="C372" s="4" t="str">
        <f>IF(TOTALCO!C897="", "",TOTALCO!C897)</f>
        <v/>
      </c>
      <c r="D372" s="12" t="str">
        <f>IF(TOTALCO!D897="", "",TOTALCO!D897)</f>
        <v/>
      </c>
      <c r="E372" s="12" t="str">
        <f>IF(TOTALCO!E897="", "",TOTALCO!E897)</f>
        <v/>
      </c>
      <c r="F372" s="12" t="str">
        <f>IF(TOTALCO!F897="", "",TOTALCO!F897)</f>
        <v/>
      </c>
      <c r="G372" s="12" t="str">
        <f>IF(TOTALCO!G897="", "",TOTALCO!G897)</f>
        <v/>
      </c>
      <c r="H372" s="12" t="str">
        <f>IF(TOTALCO!H897="", "",TOTALCO!H897)</f>
        <v/>
      </c>
      <c r="I372" s="12" t="str">
        <f>IF(TOTALCO!I897="", "",TOTALCO!I897)</f>
        <v/>
      </c>
      <c r="J372" s="12" t="str">
        <f>IF(TOTALCO!J897="", "",TOTALCO!J897)</f>
        <v/>
      </c>
      <c r="K372" s="12" t="str">
        <f>IF(TOTALCO!K897="", "",TOTALCO!K897)</f>
        <v/>
      </c>
      <c r="L372" s="12" t="str">
        <f>IF(TOTALCO!L897="", "",TOTALCO!L897)</f>
        <v/>
      </c>
      <c r="M372" s="12" t="str">
        <f>IF(TOTALCO!M897="", "",TOTALCO!M897)</f>
        <v/>
      </c>
      <c r="N372" s="12" t="str">
        <f>IF(TOTALCO!N897="", "",TOTALCO!N897)</f>
        <v/>
      </c>
      <c r="O372" s="12" t="str">
        <f>IF(TOTALCO!O897="", "",TOTALCO!O897)</f>
        <v/>
      </c>
      <c r="P372" s="12" t="str">
        <f>IF(TOTALCO!P897="", "",TOTALCO!P897)</f>
        <v/>
      </c>
      <c r="Q372" s="12"/>
      <c r="R372" s="13"/>
    </row>
    <row r="373" spans="1:18" ht="15" x14ac:dyDescent="0.2">
      <c r="A373" s="382" t="str">
        <f>IF(TOTALCO!A898="", "",TOTALCO!A898)</f>
        <v/>
      </c>
      <c r="B373" s="4" t="str">
        <f>IF(TOTALCO!B898="", "",TOTALCO!B898)</f>
        <v/>
      </c>
      <c r="C373" s="4" t="str">
        <f>IF(TOTALCO!C898="", "",TOTALCO!C898)</f>
        <v/>
      </c>
      <c r="D373" s="12" t="str">
        <f>IF(TOTALCO!D898="", "",TOTALCO!D898)</f>
        <v/>
      </c>
      <c r="E373" s="12" t="str">
        <f>IF(TOTALCO!E898="", "",TOTALCO!E898)</f>
        <v/>
      </c>
      <c r="F373" s="12" t="str">
        <f>IF(TOTALCO!F898="", "",TOTALCO!F898)</f>
        <v/>
      </c>
      <c r="G373" s="12" t="str">
        <f>IF(TOTALCO!G898="", "",TOTALCO!G898)</f>
        <v/>
      </c>
      <c r="H373" s="12" t="str">
        <f>IF(TOTALCO!H898="", "",TOTALCO!H898)</f>
        <v/>
      </c>
      <c r="I373" s="12" t="str">
        <f>IF(TOTALCO!I898="", "",TOTALCO!I898)</f>
        <v/>
      </c>
      <c r="J373" s="12" t="str">
        <f>IF(TOTALCO!J898="", "",TOTALCO!J898)</f>
        <v/>
      </c>
      <c r="K373" s="12" t="str">
        <f>IF(TOTALCO!K898="", "",TOTALCO!K898)</f>
        <v/>
      </c>
      <c r="L373" s="12" t="str">
        <f>IF(TOTALCO!L898="", "",TOTALCO!L898)</f>
        <v/>
      </c>
      <c r="M373" s="12" t="str">
        <f>IF(TOTALCO!M898="", "",TOTALCO!M898)</f>
        <v/>
      </c>
      <c r="N373" s="12" t="str">
        <f>IF(TOTALCO!N898="", "",TOTALCO!N898)</f>
        <v/>
      </c>
      <c r="O373" s="12" t="str">
        <f>IF(TOTALCO!O898="", "",TOTALCO!O898)</f>
        <v/>
      </c>
      <c r="P373" s="12" t="str">
        <f>IF(TOTALCO!P898="", "",TOTALCO!P898)</f>
        <v/>
      </c>
      <c r="Q373" s="12"/>
      <c r="R373" s="13"/>
    </row>
    <row r="374" spans="1:18" ht="15" x14ac:dyDescent="0.2">
      <c r="A374" s="382" t="str">
        <f>IF(TOTALCO!A899="", "",TOTALCO!A899)</f>
        <v/>
      </c>
      <c r="B374" s="4" t="str">
        <f>IF(TOTALCO!B899="", "",TOTALCO!B899)</f>
        <v>SALES OF ELECTRICITY</v>
      </c>
      <c r="C374" s="4" t="str">
        <f>IF(TOTALCO!C899="", "",TOTALCO!C899)</f>
        <v/>
      </c>
      <c r="D374" s="12" t="str">
        <f>IF(TOTALCO!D899="", "",TOTALCO!D899)</f>
        <v/>
      </c>
      <c r="E374" s="12" t="str">
        <f>IF(TOTALCO!E899="", "",TOTALCO!E899)</f>
        <v/>
      </c>
      <c r="F374" s="12" t="str">
        <f>IF(TOTALCO!F899="", "",TOTALCO!F899)</f>
        <v/>
      </c>
      <c r="G374" s="12" t="str">
        <f>IF(TOTALCO!G899="", "",TOTALCO!G899)</f>
        <v/>
      </c>
      <c r="H374" s="12" t="str">
        <f>IF(TOTALCO!H899="", "",TOTALCO!H899)</f>
        <v/>
      </c>
      <c r="I374" s="12" t="str">
        <f>IF(TOTALCO!I899="", "",TOTALCO!I899)</f>
        <v/>
      </c>
      <c r="J374" s="12" t="str">
        <f>IF(TOTALCO!J899="", "",TOTALCO!J899)</f>
        <v/>
      </c>
      <c r="K374" s="12" t="str">
        <f>IF(TOTALCO!K899="", "",TOTALCO!K899)</f>
        <v/>
      </c>
      <c r="L374" s="12" t="str">
        <f>IF(TOTALCO!L899="", "",TOTALCO!L899)</f>
        <v/>
      </c>
      <c r="M374" s="12" t="str">
        <f>IF(TOTALCO!M899="", "",TOTALCO!M899)</f>
        <v/>
      </c>
      <c r="N374" s="12" t="str">
        <f>IF(TOTALCO!N899="", "",TOTALCO!N899)</f>
        <v/>
      </c>
      <c r="O374" s="12" t="str">
        <f>IF(TOTALCO!O899="", "",TOTALCO!O899)</f>
        <v/>
      </c>
      <c r="P374" s="12" t="str">
        <f>IF(TOTALCO!P899="", "",TOTALCO!P899)</f>
        <v/>
      </c>
      <c r="Q374" s="12"/>
      <c r="R374" s="13"/>
    </row>
    <row r="375" spans="1:18" ht="15" x14ac:dyDescent="0.2">
      <c r="A375" s="382">
        <f>IF(TOTALCO!A900="", "",TOTALCO!A900)</f>
        <v>1</v>
      </c>
      <c r="B375" s="4" t="str">
        <f>IF(TOTALCO!B900="", "",TOTALCO!B900)</f>
        <v xml:space="preserve">  440-RESIDENTIAL</v>
      </c>
      <c r="C375" s="4" t="str">
        <f>IF(TOTALCO!C900="", "",TOTALCO!C900)</f>
        <v/>
      </c>
      <c r="D375" s="12">
        <f>IF(TOTALCO!D900="", "",TOTALCO!D900)</f>
        <v>509303762.84999996</v>
      </c>
      <c r="E375" s="12" t="str">
        <f>IF(TOTALCO!E900="", "",TOTALCO!E900)</f>
        <v/>
      </c>
      <c r="F375" s="12">
        <f>IF(TOTALCO!F900="", "",TOTALCO!F900)</f>
        <v>476589863.13999999</v>
      </c>
      <c r="G375" s="12" t="str">
        <f>IF(TOTALCO!G900="", "",TOTALCO!G900)</f>
        <v/>
      </c>
      <c r="H375" s="12">
        <f>IF(TOTALCO!H900="", "",TOTALCO!H900)</f>
        <v>32707844.710000001</v>
      </c>
      <c r="I375" s="12">
        <f>IF(TOTALCO!I900="", "",TOTALCO!I900)</f>
        <v>6055</v>
      </c>
      <c r="J375" s="12" t="str">
        <f>IF(TOTALCO!J900="", "",TOTALCO!J900)</f>
        <v/>
      </c>
      <c r="K375" s="12" t="str">
        <f>IF(TOTALCO!K900="", "",TOTALCO!K900)</f>
        <v/>
      </c>
      <c r="L375" s="12">
        <f>IF(TOTALCO!L900="", "",TOTALCO!L900)</f>
        <v>6055</v>
      </c>
      <c r="M375" s="12" t="str">
        <f>IF(TOTALCO!M900="", "",TOTALCO!M900)</f>
        <v/>
      </c>
      <c r="N375" s="12">
        <f>IF(TOTALCO!N900="", "",TOTALCO!N900)</f>
        <v>0</v>
      </c>
      <c r="O375" s="12">
        <f>IF(TOTALCO!O900="", "",TOTALCO!O900)</f>
        <v>0</v>
      </c>
      <c r="P375" s="12">
        <f>IF(TOTALCO!P900="", "",TOTALCO!P900)</f>
        <v>0</v>
      </c>
      <c r="Q375" s="12"/>
      <c r="R375" s="13"/>
    </row>
    <row r="376" spans="1:18" ht="15" x14ac:dyDescent="0.2">
      <c r="A376" s="382">
        <f>IF(TOTALCO!A901="", "",TOTALCO!A901)</f>
        <v>2</v>
      </c>
      <c r="B376" s="4" t="str">
        <f>IF(TOTALCO!B901="", "",TOTALCO!B901)</f>
        <v xml:space="preserve">  442-SMALL COMMERCIAL</v>
      </c>
      <c r="C376" s="4" t="str">
        <f>IF(TOTALCO!C901="", "",TOTALCO!C901)</f>
        <v/>
      </c>
      <c r="D376" s="12">
        <f>IF(TOTALCO!D901="", "",TOTALCO!D901)</f>
        <v>181449246.41</v>
      </c>
      <c r="E376" s="12" t="str">
        <f>IF(TOTALCO!E901="", "",TOTALCO!E901)</f>
        <v/>
      </c>
      <c r="F376" s="12">
        <f>IF(TOTALCO!F901="", "",TOTALCO!F901)</f>
        <v>175113848.34</v>
      </c>
      <c r="G376" s="12" t="str">
        <f>IF(TOTALCO!G901="", "",TOTALCO!G901)</f>
        <v/>
      </c>
      <c r="H376" s="12">
        <f>IF(TOTALCO!H901="", "",TOTALCO!H901)</f>
        <v>6335398.0700000003</v>
      </c>
      <c r="I376" s="12">
        <f>IF(TOTALCO!I901="", "",TOTALCO!I901)</f>
        <v>0</v>
      </c>
      <c r="J376" s="12" t="str">
        <f>IF(TOTALCO!J901="", "",TOTALCO!J901)</f>
        <v/>
      </c>
      <c r="K376" s="12" t="str">
        <f>IF(TOTALCO!K901="", "",TOTALCO!K901)</f>
        <v/>
      </c>
      <c r="L376" s="12">
        <f>IF(TOTALCO!L901="", "",TOTALCO!L901)</f>
        <v>0</v>
      </c>
      <c r="M376" s="12" t="str">
        <f>IF(TOTALCO!M901="", "",TOTALCO!M901)</f>
        <v/>
      </c>
      <c r="N376" s="12">
        <f>IF(TOTALCO!N901="", "",TOTALCO!N901)</f>
        <v>0</v>
      </c>
      <c r="O376" s="12">
        <f>IF(TOTALCO!O901="", "",TOTALCO!O901)</f>
        <v>0</v>
      </c>
      <c r="P376" s="12">
        <f>IF(TOTALCO!P901="", "",TOTALCO!P901)</f>
        <v>0</v>
      </c>
      <c r="Q376" s="12"/>
      <c r="R376" s="13"/>
    </row>
    <row r="377" spans="1:18" ht="15" x14ac:dyDescent="0.2">
      <c r="A377" s="382">
        <f>IF(TOTALCO!A902="", "",TOTALCO!A902)</f>
        <v>3</v>
      </c>
      <c r="B377" s="4" t="str">
        <f>IF(TOTALCO!B902="", "",TOTALCO!B902)</f>
        <v xml:space="preserve">  442-LARGE COMMERCIAL</v>
      </c>
      <c r="C377" s="4" t="str">
        <f>IF(TOTALCO!C902="", "",TOTALCO!C902)</f>
        <v/>
      </c>
      <c r="D377" s="12">
        <f>IF(TOTALCO!D902="", "",TOTALCO!D902)</f>
        <v>159939302.09999999</v>
      </c>
      <c r="E377" s="12" t="str">
        <f>IF(TOTALCO!E902="", "",TOTALCO!E902)</f>
        <v/>
      </c>
      <c r="F377" s="12">
        <f>IF(TOTALCO!F902="", "",TOTALCO!F902)</f>
        <v>149946898.97</v>
      </c>
      <c r="G377" s="12" t="str">
        <f>IF(TOTALCO!G902="", "",TOTALCO!G902)</f>
        <v/>
      </c>
      <c r="H377" s="12">
        <f>IF(TOTALCO!H902="", "",TOTALCO!H902)</f>
        <v>9992403.1300000008</v>
      </c>
      <c r="I377" s="12">
        <f>IF(TOTALCO!I902="", "",TOTALCO!I902)</f>
        <v>0</v>
      </c>
      <c r="J377" s="12" t="str">
        <f>IF(TOTALCO!J902="", "",TOTALCO!J902)</f>
        <v/>
      </c>
      <c r="K377" s="12" t="str">
        <f>IF(TOTALCO!K902="", "",TOTALCO!K902)</f>
        <v/>
      </c>
      <c r="L377" s="12">
        <f>IF(TOTALCO!L902="", "",TOTALCO!L902)</f>
        <v>0</v>
      </c>
      <c r="M377" s="12" t="str">
        <f>IF(TOTALCO!M902="", "",TOTALCO!M902)</f>
        <v/>
      </c>
      <c r="N377" s="12">
        <f>IF(TOTALCO!N902="", "",TOTALCO!N902)</f>
        <v>0</v>
      </c>
      <c r="O377" s="12">
        <f>IF(TOTALCO!O902="", "",TOTALCO!O902)</f>
        <v>0</v>
      </c>
      <c r="P377" s="12">
        <f>IF(TOTALCO!P902="", "",TOTALCO!P902)</f>
        <v>0</v>
      </c>
      <c r="Q377" s="12"/>
      <c r="R377" s="13"/>
    </row>
    <row r="378" spans="1:18" ht="15" x14ac:dyDescent="0.2">
      <c r="A378" s="382">
        <f>IF(TOTALCO!A903="", "",TOTALCO!A903)</f>
        <v>4</v>
      </c>
      <c r="B378" s="4" t="str">
        <f>IF(TOTALCO!B903="", "",TOTALCO!B903)</f>
        <v xml:space="preserve">  442-INDUSTRIAL</v>
      </c>
      <c r="C378" s="4" t="str">
        <f>IF(TOTALCO!C903="", "",TOTALCO!C903)</f>
        <v/>
      </c>
      <c r="D378" s="12">
        <f>IF(TOTALCO!D903="", "",TOTALCO!D903)</f>
        <v>342664408.80000001</v>
      </c>
      <c r="E378" s="12" t="str">
        <f>IF(TOTALCO!E903="", "",TOTALCO!E903)</f>
        <v/>
      </c>
      <c r="F378" s="12">
        <f>IF(TOTALCO!F903="", "",TOTALCO!F903)</f>
        <v>339425792.10000002</v>
      </c>
      <c r="G378" s="12" t="str">
        <f>IF(TOTALCO!G903="", "",TOTALCO!G903)</f>
        <v/>
      </c>
      <c r="H378" s="12">
        <f>IF(TOTALCO!H903="", "",TOTALCO!H903)</f>
        <v>3238616.7</v>
      </c>
      <c r="I378" s="12">
        <f>IF(TOTALCO!I903="", "",TOTALCO!I903)</f>
        <v>0</v>
      </c>
      <c r="J378" s="12" t="str">
        <f>IF(TOTALCO!J903="", "",TOTALCO!J903)</f>
        <v/>
      </c>
      <c r="K378" s="12" t="str">
        <f>IF(TOTALCO!K903="", "",TOTALCO!K903)</f>
        <v/>
      </c>
      <c r="L378" s="12">
        <f>IF(TOTALCO!L903="", "",TOTALCO!L903)</f>
        <v>0</v>
      </c>
      <c r="M378" s="12" t="str">
        <f>IF(TOTALCO!M903="", "",TOTALCO!M903)</f>
        <v/>
      </c>
      <c r="N378" s="12">
        <f>IF(TOTALCO!N903="", "",TOTALCO!N903)</f>
        <v>0</v>
      </c>
      <c r="O378" s="12">
        <f>IF(TOTALCO!O903="", "",TOTALCO!O903)</f>
        <v>0</v>
      </c>
      <c r="P378" s="12">
        <f>IF(TOTALCO!P903="", "",TOTALCO!P903)</f>
        <v>0</v>
      </c>
      <c r="Q378" s="12"/>
      <c r="R378" s="13"/>
    </row>
    <row r="379" spans="1:18" ht="15" x14ac:dyDescent="0.2">
      <c r="A379" s="382">
        <f>IF(TOTALCO!A904="", "",TOTALCO!A904)</f>
        <v>5</v>
      </c>
      <c r="B379" s="4" t="str">
        <f>IF(TOTALCO!B904="", "",TOTALCO!B904)</f>
        <v xml:space="preserve">  442-MINE POWER</v>
      </c>
      <c r="C379" s="4" t="str">
        <f>IF(TOTALCO!C904="", "",TOTALCO!C904)</f>
        <v/>
      </c>
      <c r="D379" s="12">
        <f>IF(TOTALCO!D904="", "",TOTALCO!D904)</f>
        <v>43926568.659999996</v>
      </c>
      <c r="E379" s="12" t="str">
        <f>IF(TOTALCO!E904="", "",TOTALCO!E904)</f>
        <v/>
      </c>
      <c r="F379" s="12">
        <f>IF(TOTALCO!F904="", "",TOTALCO!F904)</f>
        <v>29838195.829999998</v>
      </c>
      <c r="G379" s="12" t="str">
        <f>IF(TOTALCO!G904="", "",TOTALCO!G904)</f>
        <v/>
      </c>
      <c r="H379" s="12">
        <f>IF(TOTALCO!H904="", "",TOTALCO!H904)</f>
        <v>14088372.83</v>
      </c>
      <c r="I379" s="12">
        <f>IF(TOTALCO!I904="", "",TOTALCO!I904)</f>
        <v>0</v>
      </c>
      <c r="J379" s="12" t="str">
        <f>IF(TOTALCO!J904="", "",TOTALCO!J904)</f>
        <v/>
      </c>
      <c r="K379" s="12" t="str">
        <f>IF(TOTALCO!K904="", "",TOTALCO!K904)</f>
        <v/>
      </c>
      <c r="L379" s="12">
        <f>IF(TOTALCO!L904="", "",TOTALCO!L904)</f>
        <v>0</v>
      </c>
      <c r="M379" s="12" t="str">
        <f>IF(TOTALCO!M904="", "",TOTALCO!M904)</f>
        <v/>
      </c>
      <c r="N379" s="12">
        <f>IF(TOTALCO!N904="", "",TOTALCO!N904)</f>
        <v>0</v>
      </c>
      <c r="O379" s="12">
        <f>IF(TOTALCO!O904="", "",TOTALCO!O904)</f>
        <v>0</v>
      </c>
      <c r="P379" s="12">
        <f>IF(TOTALCO!P904="", "",TOTALCO!P904)</f>
        <v>0</v>
      </c>
      <c r="Q379" s="12"/>
      <c r="R379" s="13"/>
    </row>
    <row r="380" spans="1:18" ht="15" x14ac:dyDescent="0.2">
      <c r="A380" s="382">
        <f>IF(TOTALCO!A905="", "",TOTALCO!A905)</f>
        <v>6</v>
      </c>
      <c r="B380" s="4" t="str">
        <f>IF(TOTALCO!B905="", "",TOTALCO!B905)</f>
        <v xml:space="preserve">  444-PUBLIC ST &amp; HWY LIGHTING</v>
      </c>
      <c r="C380" s="4" t="str">
        <f>IF(TOTALCO!C905="", "",TOTALCO!C905)</f>
        <v/>
      </c>
      <c r="D380" s="12">
        <f>IF(TOTALCO!D905="", "",TOTALCO!D905)</f>
        <v>10746104.729999999</v>
      </c>
      <c r="E380" s="12" t="str">
        <f>IF(TOTALCO!E905="", "",TOTALCO!E905)</f>
        <v/>
      </c>
      <c r="F380" s="12">
        <f>IF(TOTALCO!F905="", "",TOTALCO!F905)</f>
        <v>10423249.619999999</v>
      </c>
      <c r="G380" s="12" t="str">
        <f>IF(TOTALCO!G905="", "",TOTALCO!G905)</f>
        <v/>
      </c>
      <c r="H380" s="12">
        <f>IF(TOTALCO!H905="", "",TOTALCO!H905)</f>
        <v>322855.11</v>
      </c>
      <c r="I380" s="12">
        <f>IF(TOTALCO!I905="", "",TOTALCO!I905)</f>
        <v>0</v>
      </c>
      <c r="J380" s="12" t="str">
        <f>IF(TOTALCO!J905="", "",TOTALCO!J905)</f>
        <v/>
      </c>
      <c r="K380" s="12" t="str">
        <f>IF(TOTALCO!K905="", "",TOTALCO!K905)</f>
        <v/>
      </c>
      <c r="L380" s="12">
        <f>IF(TOTALCO!L905="", "",TOTALCO!L905)</f>
        <v>0</v>
      </c>
      <c r="M380" s="12" t="str">
        <f>IF(TOTALCO!M905="", "",TOTALCO!M905)</f>
        <v/>
      </c>
      <c r="N380" s="12">
        <f>IF(TOTALCO!N905="", "",TOTALCO!N905)</f>
        <v>0</v>
      </c>
      <c r="O380" s="12">
        <f>IF(TOTALCO!O905="", "",TOTALCO!O905)</f>
        <v>0</v>
      </c>
      <c r="P380" s="12">
        <f>IF(TOTALCO!P905="", "",TOTALCO!P905)</f>
        <v>0</v>
      </c>
      <c r="Q380" s="12"/>
      <c r="R380" s="13"/>
    </row>
    <row r="381" spans="1:18" ht="15" x14ac:dyDescent="0.2">
      <c r="A381" s="382">
        <f>IF(TOTALCO!A906="", "",TOTALCO!A906)</f>
        <v>7</v>
      </c>
      <c r="B381" s="4" t="str">
        <f>IF(TOTALCO!B906="", "",TOTALCO!B906)</f>
        <v xml:space="preserve">  445-OTHER PUBLIC AUTHORITIES</v>
      </c>
      <c r="C381" s="4" t="str">
        <f>IF(TOTALCO!C906="", "",TOTALCO!C906)</f>
        <v/>
      </c>
      <c r="D381" s="12">
        <f>IF(TOTALCO!D906="", "",TOTALCO!D906)</f>
        <v>111947307.06</v>
      </c>
      <c r="E381" s="12" t="str">
        <f>IF(TOTALCO!E906="", "",TOTALCO!E906)</f>
        <v/>
      </c>
      <c r="F381" s="12">
        <f>IF(TOTALCO!F906="", "",TOTALCO!F906)</f>
        <v>105659336.56</v>
      </c>
      <c r="G381" s="12" t="str">
        <f>IF(TOTALCO!G906="", "",TOTALCO!G906)</f>
        <v/>
      </c>
      <c r="H381" s="12">
        <f>IF(TOTALCO!H906="", "",TOTALCO!H906)</f>
        <v>6287970.5</v>
      </c>
      <c r="I381" s="12">
        <f>IF(TOTALCO!I906="", "",TOTALCO!I906)</f>
        <v>0</v>
      </c>
      <c r="J381" s="12" t="str">
        <f>IF(TOTALCO!J906="", "",TOTALCO!J906)</f>
        <v/>
      </c>
      <c r="K381" s="12" t="str">
        <f>IF(TOTALCO!K906="", "",TOTALCO!K906)</f>
        <v/>
      </c>
      <c r="L381" s="12">
        <f>IF(TOTALCO!L906="", "",TOTALCO!L906)</f>
        <v>0</v>
      </c>
      <c r="M381" s="12" t="str">
        <f>IF(TOTALCO!M906="", "",TOTALCO!M906)</f>
        <v/>
      </c>
      <c r="N381" s="12">
        <f>IF(TOTALCO!N906="", "",TOTALCO!N906)</f>
        <v>0</v>
      </c>
      <c r="O381" s="12">
        <f>IF(TOTALCO!O906="", "",TOTALCO!O906)</f>
        <v>0</v>
      </c>
      <c r="P381" s="12">
        <f>IF(TOTALCO!P906="", "",TOTALCO!P906)</f>
        <v>0</v>
      </c>
      <c r="Q381" s="12"/>
      <c r="R381" s="13"/>
    </row>
    <row r="382" spans="1:18" ht="15" x14ac:dyDescent="0.2">
      <c r="A382" s="382">
        <f>IF(TOTALCO!A907="", "",TOTALCO!A907)</f>
        <v>8</v>
      </c>
      <c r="B382" s="4" t="str">
        <f>IF(TOTALCO!B907="", "",TOTALCO!B907)</f>
        <v xml:space="preserve">  445-MUNICIPAL PUMPING</v>
      </c>
      <c r="C382" s="4" t="str">
        <f>IF(TOTALCO!C907="", "",TOTALCO!C907)</f>
        <v/>
      </c>
      <c r="D382" s="12">
        <f>IF(TOTALCO!D907="", "",TOTALCO!D907)</f>
        <v>4874900.92</v>
      </c>
      <c r="E382" s="12" t="str">
        <f>IF(TOTALCO!E907="", "",TOTALCO!E907)</f>
        <v/>
      </c>
      <c r="F382" s="12">
        <f>IF(TOTALCO!F907="", "",TOTALCO!F907)</f>
        <v>4703886.5199999996</v>
      </c>
      <c r="G382" s="12" t="str">
        <f>IF(TOTALCO!G907="", "",TOTALCO!G907)</f>
        <v/>
      </c>
      <c r="H382" s="12">
        <f>IF(TOTALCO!H907="", "",TOTALCO!H907)</f>
        <v>171014.39999999999</v>
      </c>
      <c r="I382" s="12">
        <f>IF(TOTALCO!I907="", "",TOTALCO!I907)</f>
        <v>0</v>
      </c>
      <c r="J382" s="12" t="str">
        <f>IF(TOTALCO!J907="", "",TOTALCO!J907)</f>
        <v/>
      </c>
      <c r="K382" s="12" t="str">
        <f>IF(TOTALCO!K907="", "",TOTALCO!K907)</f>
        <v/>
      </c>
      <c r="L382" s="12">
        <f>IF(TOTALCO!L907="", "",TOTALCO!L907)</f>
        <v>0</v>
      </c>
      <c r="M382" s="12" t="str">
        <f>IF(TOTALCO!M907="", "",TOTALCO!M907)</f>
        <v/>
      </c>
      <c r="N382" s="12">
        <f>IF(TOTALCO!N907="", "",TOTALCO!N907)</f>
        <v>0</v>
      </c>
      <c r="O382" s="12">
        <f>IF(TOTALCO!O907="", "",TOTALCO!O907)</f>
        <v>0</v>
      </c>
      <c r="P382" s="12">
        <f>IF(TOTALCO!P907="", "",TOTALCO!P907)</f>
        <v>0</v>
      </c>
      <c r="Q382" s="12"/>
      <c r="R382" s="13"/>
    </row>
    <row r="383" spans="1:18" ht="15" x14ac:dyDescent="0.2">
      <c r="A383" s="382">
        <f>IF(TOTALCO!A908="", "",TOTALCO!A908)</f>
        <v>9</v>
      </c>
      <c r="B383" s="4" t="str">
        <f>IF(TOTALCO!B908="", "",TOTALCO!B908)</f>
        <v xml:space="preserve">  447-SALES FOR RESALE-MUNICIPALS</v>
      </c>
      <c r="C383" s="4" t="str">
        <f>IF(TOTALCO!C908="", "",TOTALCO!C908)</f>
        <v/>
      </c>
      <c r="D383" s="12">
        <f>IF(TOTALCO!D908="", "",TOTALCO!D908)</f>
        <v>98298884.889999986</v>
      </c>
      <c r="E383" s="12" t="str">
        <f>IF(TOTALCO!E908="", "",TOTALCO!E908)</f>
        <v/>
      </c>
      <c r="F383" s="12">
        <f>IF(TOTALCO!F908="", "",TOTALCO!F908)</f>
        <v>0</v>
      </c>
      <c r="G383" s="12" t="str">
        <f>IF(TOTALCO!G908="", "",TOTALCO!G908)</f>
        <v/>
      </c>
      <c r="H383" s="12">
        <f>IF(TOTALCO!H908="", "",TOTALCO!H908)</f>
        <v>0</v>
      </c>
      <c r="I383" s="12">
        <f>IF(TOTALCO!I908="", "",TOTALCO!I908)</f>
        <v>98298884.889999986</v>
      </c>
      <c r="J383" s="12" t="str">
        <f>IF(TOTALCO!J908="", "",TOTALCO!J908)</f>
        <v/>
      </c>
      <c r="K383" s="12" t="str">
        <f>IF(TOTALCO!K908="", "",TOTALCO!K908)</f>
        <v/>
      </c>
      <c r="L383" s="12">
        <f>IF(TOTALCO!L908="", "",TOTALCO!L908)</f>
        <v>0</v>
      </c>
      <c r="M383" s="12" t="str">
        <f>IF(TOTALCO!M908="", "",TOTALCO!M908)</f>
        <v/>
      </c>
      <c r="N383" s="12">
        <f>IF(TOTALCO!N908="", "",TOTALCO!N908)</f>
        <v>98298884.889999986</v>
      </c>
      <c r="O383" s="12">
        <f>IF(TOTALCO!O908="", "",TOTALCO!O908)</f>
        <v>31838591.359999999</v>
      </c>
      <c r="P383" s="12">
        <f>IF(TOTALCO!P908="", "",TOTALCO!P908)</f>
        <v>66460293.529999994</v>
      </c>
      <c r="Q383" s="12"/>
      <c r="R383" s="13"/>
    </row>
    <row r="384" spans="1:18" ht="15" x14ac:dyDescent="0.2">
      <c r="A384" s="382">
        <f>IF(TOTALCO!A909="", "",TOTALCO!A909)</f>
        <v>10</v>
      </c>
      <c r="B384" s="4" t="str">
        <f>IF(TOTALCO!B909="", "",TOTALCO!B909)</f>
        <v xml:space="preserve">  447-SALES FOR RESALE-CITY OF PARIS</v>
      </c>
      <c r="C384" s="4" t="str">
        <f>IF(TOTALCO!C909="", "",TOTALCO!C909)</f>
        <v>ENERGY</v>
      </c>
      <c r="D384" s="12">
        <f ca="1">IF(TOTALCO!D909="", "",TOTALCO!D909)</f>
        <v>2912962.3200000003</v>
      </c>
      <c r="E384" s="12" t="str">
        <f>IF(TOTALCO!E909="", "",TOTALCO!E909)</f>
        <v/>
      </c>
      <c r="F384" s="12">
        <f ca="1">IF(TOTALCO!F909="", "",TOTALCO!F909)</f>
        <v>2527189.6272730194</v>
      </c>
      <c r="G384" s="12" t="str">
        <f>IF(TOTALCO!G909="", "",TOTALCO!G909)</f>
        <v/>
      </c>
      <c r="H384" s="12">
        <f ca="1">IF(TOTALCO!H909="", "",TOTALCO!H909)</f>
        <v>133623.58242474726</v>
      </c>
      <c r="I384" s="12">
        <f ca="1">IF(TOTALCO!I909="", "",TOTALCO!I909)</f>
        <v>252149.11030223337</v>
      </c>
      <c r="J384" s="12" t="str">
        <f>IF(TOTALCO!J909="", "",TOTALCO!J909)</f>
        <v/>
      </c>
      <c r="K384" s="12" t="str">
        <f>IF(TOTALCO!K909="", "",TOTALCO!K909)</f>
        <v/>
      </c>
      <c r="L384" s="12">
        <f ca="1">IF(TOTALCO!L909="", "",TOTALCO!L909)</f>
        <v>13.892260303447387</v>
      </c>
      <c r="M384" s="12" t="str">
        <f>IF(TOTALCO!M909="", "",TOTALCO!M909)</f>
        <v/>
      </c>
      <c r="N384" s="12">
        <f ca="1">IF(TOTALCO!N909="", "",TOTALCO!N909)</f>
        <v>252135.21804192991</v>
      </c>
      <c r="O384" s="12">
        <f ca="1">IF(TOTALCO!O909="", "",TOTALCO!O909)</f>
        <v>82308.675019026006</v>
      </c>
      <c r="P384" s="12">
        <f ca="1">IF(TOTALCO!P909="", "",TOTALCO!P909)</f>
        <v>169826.5430229039</v>
      </c>
      <c r="Q384" s="12"/>
      <c r="R384" s="13"/>
    </row>
    <row r="385" spans="1:18" ht="15" x14ac:dyDescent="0.2">
      <c r="A385" s="382">
        <f>IF(TOTALCO!A910="", "",TOTALCO!A910)</f>
        <v>11</v>
      </c>
      <c r="B385" s="4" t="str">
        <f>IF(TOTALCO!B910="", "",TOTALCO!B910)</f>
        <v xml:space="preserve">  447-SALES FOR RESALE-OFF SYSTEM:</v>
      </c>
      <c r="C385" s="4" t="str">
        <f>IF(TOTALCO!C910="", "",TOTALCO!C910)</f>
        <v/>
      </c>
      <c r="D385" s="12" t="str">
        <f>IF(TOTALCO!D910="", "",TOTALCO!D910)</f>
        <v/>
      </c>
      <c r="E385" s="12" t="str">
        <f>IF(TOTALCO!E910="", "",TOTALCO!E910)</f>
        <v/>
      </c>
      <c r="F385" s="12" t="str">
        <f>IF(TOTALCO!F910="", "",TOTALCO!F910)</f>
        <v/>
      </c>
      <c r="G385" s="12" t="str">
        <f>IF(TOTALCO!G910="", "",TOTALCO!G910)</f>
        <v/>
      </c>
      <c r="H385" s="12" t="str">
        <f>IF(TOTALCO!H910="", "",TOTALCO!H910)</f>
        <v/>
      </c>
      <c r="I385" s="12" t="str">
        <f>IF(TOTALCO!I910="", "",TOTALCO!I910)</f>
        <v/>
      </c>
      <c r="J385" s="12" t="str">
        <f>IF(TOTALCO!J910="", "",TOTALCO!J910)</f>
        <v/>
      </c>
      <c r="K385" s="12" t="str">
        <f>IF(TOTALCO!K910="", "",TOTALCO!K910)</f>
        <v/>
      </c>
      <c r="L385" s="12" t="str">
        <f>IF(TOTALCO!L910="", "",TOTALCO!L910)</f>
        <v/>
      </c>
      <c r="M385" s="12" t="str">
        <f>IF(TOTALCO!M910="", "",TOTALCO!M910)</f>
        <v/>
      </c>
      <c r="N385" s="12" t="str">
        <f>IF(TOTALCO!N910="", "",TOTALCO!N910)</f>
        <v/>
      </c>
      <c r="O385" s="12" t="str">
        <f>IF(TOTALCO!O910="", "",TOTALCO!O910)</f>
        <v/>
      </c>
      <c r="P385" s="12" t="str">
        <f>IF(TOTALCO!P910="", "",TOTALCO!P910)</f>
        <v/>
      </c>
      <c r="Q385" s="12"/>
      <c r="R385" s="13"/>
    </row>
    <row r="386" spans="1:18" ht="15" x14ac:dyDescent="0.2">
      <c r="A386" s="382">
        <f>IF(TOTALCO!A911="", "",TOTALCO!A911)</f>
        <v>12</v>
      </c>
      <c r="B386" s="4" t="str">
        <f>IF(TOTALCO!B911="", "",TOTALCO!B911)</f>
        <v xml:space="preserve">              DEMAND</v>
      </c>
      <c r="C386" s="4" t="str">
        <f>IF(TOTALCO!C911="", "",TOTALCO!C911)</f>
        <v>DEMPROD</v>
      </c>
      <c r="D386" s="12">
        <f ca="1">IF(TOTALCO!D911="", "",TOTALCO!D911)</f>
        <v>0</v>
      </c>
      <c r="E386" s="12" t="str">
        <f>IF(TOTALCO!E911="", "",TOTALCO!E911)</f>
        <v/>
      </c>
      <c r="F386" s="12">
        <f ca="1">IF(TOTALCO!F911="", "",TOTALCO!F911)</f>
        <v>0</v>
      </c>
      <c r="G386" s="12" t="str">
        <f>IF(TOTALCO!G911="", "",TOTALCO!G911)</f>
        <v/>
      </c>
      <c r="H386" s="12">
        <f ca="1">IF(TOTALCO!H911="", "",TOTALCO!H911)</f>
        <v>0</v>
      </c>
      <c r="I386" s="12">
        <f ca="1">IF(TOTALCO!I911="", "",TOTALCO!I911)</f>
        <v>0</v>
      </c>
      <c r="J386" s="12" t="str">
        <f>IF(TOTALCO!J911="", "",TOTALCO!J911)</f>
        <v/>
      </c>
      <c r="K386" s="12" t="str">
        <f>IF(TOTALCO!K911="", "",TOTALCO!K911)</f>
        <v/>
      </c>
      <c r="L386" s="12">
        <f ca="1">IF(TOTALCO!L911="", "",TOTALCO!L911)</f>
        <v>0</v>
      </c>
      <c r="M386" s="12" t="str">
        <f>IF(TOTALCO!M911="", "",TOTALCO!M911)</f>
        <v/>
      </c>
      <c r="N386" s="12">
        <f ca="1">IF(TOTALCO!N911="", "",TOTALCO!N911)</f>
        <v>0</v>
      </c>
      <c r="O386" s="12">
        <f ca="1">IF(TOTALCO!O911="", "",TOTALCO!O911)</f>
        <v>0</v>
      </c>
      <c r="P386" s="12">
        <f ca="1">IF(TOTALCO!P911="", "",TOTALCO!P911)</f>
        <v>0</v>
      </c>
      <c r="Q386" s="12"/>
      <c r="R386" s="13"/>
    </row>
    <row r="387" spans="1:18" ht="15" x14ac:dyDescent="0.2">
      <c r="A387" s="382">
        <f>IF(TOTALCO!A912="", "",TOTALCO!A912)</f>
        <v>13</v>
      </c>
      <c r="B387" s="4" t="str">
        <f>IF(TOTALCO!B912="", "",TOTALCO!B912)</f>
        <v xml:space="preserve">              ENERGY</v>
      </c>
      <c r="C387" s="4" t="str">
        <f>IF(TOTALCO!C912="", "",TOTALCO!C912)</f>
        <v>ENERGY</v>
      </c>
      <c r="D387" s="12">
        <f ca="1">IF(TOTALCO!D912="", "",TOTALCO!D912)</f>
        <v>29862147</v>
      </c>
      <c r="E387" s="12" t="str">
        <f>IF(TOTALCO!E912="", "",TOTALCO!E912)</f>
        <v/>
      </c>
      <c r="F387" s="12">
        <f ca="1">IF(TOTALCO!F912="", "",TOTALCO!F912)</f>
        <v>25907409.659353957</v>
      </c>
      <c r="G387" s="12" t="str">
        <f>IF(TOTALCO!G912="", "",TOTALCO!G912)</f>
        <v/>
      </c>
      <c r="H387" s="12">
        <f ca="1">IF(TOTALCO!H912="", "",TOTALCO!H912)</f>
        <v>1369838.1999786454</v>
      </c>
      <c r="I387" s="12">
        <f ca="1">IF(TOTALCO!I912="", "",TOTALCO!I912)</f>
        <v>2584899.1406673966</v>
      </c>
      <c r="J387" s="12" t="str">
        <f>IF(TOTALCO!J912="", "",TOTALCO!J912)</f>
        <v/>
      </c>
      <c r="K387" s="12" t="str">
        <f>IF(TOTALCO!K912="", "",TOTALCO!K912)</f>
        <v/>
      </c>
      <c r="L387" s="12">
        <f ca="1">IF(TOTALCO!L912="", "",TOTALCO!L912)</f>
        <v>142.41609529086199</v>
      </c>
      <c r="M387" s="12" t="str">
        <f>IF(TOTALCO!M912="", "",TOTALCO!M912)</f>
        <v/>
      </c>
      <c r="N387" s="12">
        <f ca="1">IF(TOTALCO!N912="", "",TOTALCO!N912)</f>
        <v>2584756.7245721058</v>
      </c>
      <c r="O387" s="12">
        <f ca="1">IF(TOTALCO!O912="", "",TOTALCO!O912)</f>
        <v>843784.94562654768</v>
      </c>
      <c r="P387" s="12">
        <f ca="1">IF(TOTALCO!P912="", "",TOTALCO!P912)</f>
        <v>1740971.7789455582</v>
      </c>
      <c r="Q387" s="12"/>
      <c r="R387" s="13"/>
    </row>
    <row r="388" spans="1:18" ht="15" x14ac:dyDescent="0.2">
      <c r="A388" s="382">
        <f>IF(TOTALCO!A913="", "",TOTALCO!A913)</f>
        <v>14</v>
      </c>
      <c r="B388" s="4" t="str">
        <f>IF(TOTALCO!B913="", "",TOTALCO!B913)</f>
        <v xml:space="preserve">  TOTAL 447-OFF SYSTEM</v>
      </c>
      <c r="C388" s="4" t="str">
        <f>IF(TOTALCO!C913="", "",TOTALCO!C913)</f>
        <v/>
      </c>
      <c r="D388" s="12">
        <f ca="1">IF(TOTALCO!D913="", "",TOTALCO!D913)</f>
        <v>29862147</v>
      </c>
      <c r="E388" s="12" t="str">
        <f>IF(TOTALCO!E913="", "",TOTALCO!E913)</f>
        <v/>
      </c>
      <c r="F388" s="12">
        <f ca="1">IF(TOTALCO!F913="", "",TOTALCO!F913)</f>
        <v>25907409.659353957</v>
      </c>
      <c r="G388" s="12" t="str">
        <f>IF(TOTALCO!G913="", "",TOTALCO!G913)</f>
        <v/>
      </c>
      <c r="H388" s="12">
        <f ca="1">IF(TOTALCO!H913="", "",TOTALCO!H913)</f>
        <v>1369838.1999786454</v>
      </c>
      <c r="I388" s="12">
        <f ca="1">IF(TOTALCO!I913="", "",TOTALCO!I913)</f>
        <v>2584899.1406673966</v>
      </c>
      <c r="J388" s="12" t="str">
        <f>IF(TOTALCO!J913="", "",TOTALCO!J913)</f>
        <v/>
      </c>
      <c r="K388" s="12" t="str">
        <f>IF(TOTALCO!K913="", "",TOTALCO!K913)</f>
        <v/>
      </c>
      <c r="L388" s="12">
        <f ca="1">IF(TOTALCO!L913="", "",TOTALCO!L913)</f>
        <v>142.41609529086199</v>
      </c>
      <c r="M388" s="12" t="str">
        <f>IF(TOTALCO!M913="", "",TOTALCO!M913)</f>
        <v/>
      </c>
      <c r="N388" s="12">
        <f ca="1">IF(TOTALCO!N913="", "",TOTALCO!N913)</f>
        <v>2584756.7245721058</v>
      </c>
      <c r="O388" s="12">
        <f ca="1">IF(TOTALCO!O913="", "",TOTALCO!O913)</f>
        <v>843784.94562654768</v>
      </c>
      <c r="P388" s="12">
        <f ca="1">IF(TOTALCO!P913="", "",TOTALCO!P913)</f>
        <v>1740971.7789455582</v>
      </c>
      <c r="Q388" s="12"/>
      <c r="R388" s="13"/>
    </row>
    <row r="389" spans="1:18" ht="15" x14ac:dyDescent="0.2">
      <c r="A389" s="382" t="str">
        <f>IF(TOTALCO!A914="", "",TOTALCO!A914)</f>
        <v/>
      </c>
      <c r="B389" s="4" t="str">
        <f>IF(TOTALCO!B914="", "",TOTALCO!B914)</f>
        <v/>
      </c>
      <c r="C389" s="4" t="str">
        <f>IF(TOTALCO!C914="", "",TOTALCO!C914)</f>
        <v/>
      </c>
      <c r="D389" s="12" t="str">
        <f>IF(TOTALCO!D914="", "",TOTALCO!D914)</f>
        <v/>
      </c>
      <c r="E389" s="12" t="str">
        <f>IF(TOTALCO!E914="", "",TOTALCO!E914)</f>
        <v/>
      </c>
      <c r="F389" s="12" t="str">
        <f>IF(TOTALCO!F914="", "",TOTALCO!F914)</f>
        <v/>
      </c>
      <c r="G389" s="12" t="str">
        <f>IF(TOTALCO!G914="", "",TOTALCO!G914)</f>
        <v/>
      </c>
      <c r="H389" s="12" t="str">
        <f>IF(TOTALCO!H914="", "",TOTALCO!H914)</f>
        <v/>
      </c>
      <c r="I389" s="12" t="str">
        <f>IF(TOTALCO!I914="", "",TOTALCO!I914)</f>
        <v/>
      </c>
      <c r="J389" s="12" t="str">
        <f>IF(TOTALCO!J914="", "",TOTALCO!J914)</f>
        <v/>
      </c>
      <c r="K389" s="12" t="str">
        <f>IF(TOTALCO!K914="", "",TOTALCO!K914)</f>
        <v/>
      </c>
      <c r="L389" s="12" t="str">
        <f>IF(TOTALCO!L914="", "",TOTALCO!L914)</f>
        <v/>
      </c>
      <c r="M389" s="12" t="str">
        <f>IF(TOTALCO!M914="", "",TOTALCO!M914)</f>
        <v/>
      </c>
      <c r="N389" s="12" t="str">
        <f>IF(TOTALCO!N914="", "",TOTALCO!N914)</f>
        <v/>
      </c>
      <c r="O389" s="12" t="str">
        <f>IF(TOTALCO!O914="", "",TOTALCO!O914)</f>
        <v/>
      </c>
      <c r="P389" s="12" t="str">
        <f>IF(TOTALCO!P914="", "",TOTALCO!P914)</f>
        <v/>
      </c>
      <c r="Q389" s="12"/>
      <c r="R389" s="13"/>
    </row>
    <row r="390" spans="1:18" ht="15" x14ac:dyDescent="0.2">
      <c r="A390" s="382">
        <f>IF(TOTALCO!A915="", "",TOTALCO!A915)</f>
        <v>15</v>
      </c>
      <c r="B390" s="4" t="str">
        <f>IF(TOTALCO!B915="", "",TOTALCO!B915)</f>
        <v xml:space="preserve">  449-PROVISION FOR RATE REFUND</v>
      </c>
      <c r="C390" s="4" t="str">
        <f>IF(TOTALCO!C915="", "",TOTALCO!C915)</f>
        <v/>
      </c>
      <c r="D390" s="12">
        <f>IF(TOTALCO!D915="", "",TOTALCO!D915)</f>
        <v>0</v>
      </c>
      <c r="E390" s="12" t="str">
        <f>IF(TOTALCO!E915="", "",TOTALCO!E915)</f>
        <v/>
      </c>
      <c r="F390" s="12">
        <f>IF(TOTALCO!F915="", "",TOTALCO!F915)</f>
        <v>0</v>
      </c>
      <c r="G390" s="12" t="str">
        <f>IF(TOTALCO!G915="", "",TOTALCO!G915)</f>
        <v/>
      </c>
      <c r="H390" s="12">
        <f>IF(TOTALCO!H915="", "",TOTALCO!H915)</f>
        <v>0</v>
      </c>
      <c r="I390" s="12">
        <f>IF(TOTALCO!I915="", "",TOTALCO!I915)</f>
        <v>0</v>
      </c>
      <c r="J390" s="12" t="str">
        <f>IF(TOTALCO!J915="", "",TOTALCO!J915)</f>
        <v/>
      </c>
      <c r="K390" s="12" t="str">
        <f>IF(TOTALCO!K915="", "",TOTALCO!K915)</f>
        <v/>
      </c>
      <c r="L390" s="12">
        <f>IF(TOTALCO!L915="", "",TOTALCO!L915)</f>
        <v>0</v>
      </c>
      <c r="M390" s="12" t="str">
        <f>IF(TOTALCO!M915="", "",TOTALCO!M915)</f>
        <v/>
      </c>
      <c r="N390" s="12">
        <f>IF(TOTALCO!N915="", "",TOTALCO!N915)</f>
        <v>0</v>
      </c>
      <c r="O390" s="12">
        <f>IF(TOTALCO!O915="", "",TOTALCO!O915)</f>
        <v>0</v>
      </c>
      <c r="P390" s="12">
        <f>IF(TOTALCO!P915="", "",TOTALCO!P915)</f>
        <v>0</v>
      </c>
      <c r="Q390" s="12"/>
      <c r="R390" s="13"/>
    </row>
    <row r="391" spans="1:18" ht="15" x14ac:dyDescent="0.2">
      <c r="A391" s="382" t="str">
        <f>IF(TOTALCO!A916="", "",TOTALCO!A916)</f>
        <v/>
      </c>
      <c r="B391" s="4" t="str">
        <f>IF(TOTALCO!B916="", "",TOTALCO!B916)</f>
        <v/>
      </c>
      <c r="C391" s="4" t="str">
        <f>IF(TOTALCO!C916="", "",TOTALCO!C916)</f>
        <v/>
      </c>
      <c r="D391" s="12" t="str">
        <f>IF(TOTALCO!D916="", "",TOTALCO!D916)</f>
        <v/>
      </c>
      <c r="E391" s="12" t="str">
        <f>IF(TOTALCO!E916="", "",TOTALCO!E916)</f>
        <v/>
      </c>
      <c r="F391" s="12" t="str">
        <f>IF(TOTALCO!F916="", "",TOTALCO!F916)</f>
        <v/>
      </c>
      <c r="G391" s="12" t="str">
        <f>IF(TOTALCO!G916="", "",TOTALCO!G916)</f>
        <v/>
      </c>
      <c r="H391" s="12" t="str">
        <f>IF(TOTALCO!H916="", "",TOTALCO!H916)</f>
        <v/>
      </c>
      <c r="I391" s="12" t="str">
        <f>IF(TOTALCO!I916="", "",TOTALCO!I916)</f>
        <v/>
      </c>
      <c r="J391" s="12" t="str">
        <f>IF(TOTALCO!J916="", "",TOTALCO!J916)</f>
        <v/>
      </c>
      <c r="K391" s="12" t="str">
        <f>IF(TOTALCO!K916="", "",TOTALCO!K916)</f>
        <v/>
      </c>
      <c r="L391" s="12" t="str">
        <f>IF(TOTALCO!L916="", "",TOTALCO!L916)</f>
        <v/>
      </c>
      <c r="M391" s="12" t="str">
        <f>IF(TOTALCO!M916="", "",TOTALCO!M916)</f>
        <v/>
      </c>
      <c r="N391" s="12" t="str">
        <f>IF(TOTALCO!N916="", "",TOTALCO!N916)</f>
        <v/>
      </c>
      <c r="O391" s="12" t="str">
        <f>IF(TOTALCO!O916="", "",TOTALCO!O916)</f>
        <v/>
      </c>
      <c r="P391" s="12" t="str">
        <f>IF(TOTALCO!P916="", "",TOTALCO!P916)</f>
        <v/>
      </c>
      <c r="Q391" s="12"/>
      <c r="R391" s="13"/>
    </row>
    <row r="392" spans="1:18" ht="15" x14ac:dyDescent="0.2">
      <c r="A392" s="382">
        <f>IF(TOTALCO!A917="", "",TOTALCO!A917)</f>
        <v>16</v>
      </c>
      <c r="B392" s="4" t="str">
        <f>IF(TOTALCO!B917="", "",TOTALCO!B917)</f>
        <v>TOTAL ELECTRIC SALES REVENUES</v>
      </c>
      <c r="C392" s="4" t="str">
        <f>IF(TOTALCO!C917="", "",TOTALCO!C917)</f>
        <v/>
      </c>
      <c r="D392" s="12">
        <f ca="1">IF(TOTALCO!D917="", "",TOTALCO!D917)</f>
        <v>1495925595.7400002</v>
      </c>
      <c r="E392" s="12" t="str">
        <f>IF(TOTALCO!E917="", "",TOTALCO!E917)</f>
        <v/>
      </c>
      <c r="F392" s="12">
        <f ca="1">IF(TOTALCO!F917="", "",TOTALCO!F917)</f>
        <v>1320135670.366627</v>
      </c>
      <c r="G392" s="12" t="str">
        <f>IF(TOTALCO!G917="", "",TOTALCO!G917)</f>
        <v/>
      </c>
      <c r="H392" s="12">
        <f ca="1">IF(TOTALCO!H917="", "",TOTALCO!H917)</f>
        <v>74647937.232403412</v>
      </c>
      <c r="I392" s="12">
        <f ca="1">IF(TOTALCO!I917="", "",TOTALCO!I917)</f>
        <v>101141988.14096963</v>
      </c>
      <c r="J392" s="12" t="str">
        <f>IF(TOTALCO!J917="", "",TOTALCO!J917)</f>
        <v/>
      </c>
      <c r="K392" s="12" t="str">
        <f>IF(TOTALCO!K917="", "",TOTALCO!K917)</f>
        <v/>
      </c>
      <c r="L392" s="12">
        <f ca="1">IF(TOTALCO!L917="", "",TOTALCO!L917)</f>
        <v>6211.3083555943094</v>
      </c>
      <c r="M392" s="12" t="str">
        <f>IF(TOTALCO!M917="", "",TOTALCO!M917)</f>
        <v/>
      </c>
      <c r="N392" s="12">
        <f ca="1">IF(TOTALCO!N917="", "",TOTALCO!N917)</f>
        <v>101135776.83261403</v>
      </c>
      <c r="O392" s="12">
        <f ca="1">IF(TOTALCO!O917="", "",TOTALCO!O917)</f>
        <v>32764684.980645575</v>
      </c>
      <c r="P392" s="12">
        <f ca="1">IF(TOTALCO!P917="", "",TOTALCO!P917)</f>
        <v>68371091.851968452</v>
      </c>
      <c r="Q392" s="12"/>
      <c r="R392" s="13"/>
    </row>
    <row r="393" spans="1:18" ht="15" x14ac:dyDescent="0.2">
      <c r="A393" s="382" t="str">
        <f>IF(TOTALCO!A918="", "",TOTALCO!A918)</f>
        <v/>
      </c>
      <c r="B393" s="4" t="str">
        <f>IF(TOTALCO!B918="", "",TOTALCO!B918)</f>
        <v/>
      </c>
      <c r="C393" s="4" t="str">
        <f>IF(TOTALCO!C918="", "",TOTALCO!C918)</f>
        <v/>
      </c>
      <c r="D393" s="12" t="str">
        <f>IF(TOTALCO!D918="", "",TOTALCO!D918)</f>
        <v/>
      </c>
      <c r="E393" s="12" t="str">
        <f>IF(TOTALCO!E918="", "",TOTALCO!E918)</f>
        <v/>
      </c>
      <c r="F393" s="12" t="str">
        <f>IF(TOTALCO!F918="", "",TOTALCO!F918)</f>
        <v/>
      </c>
      <c r="G393" s="12" t="str">
        <f>IF(TOTALCO!G918="", "",TOTALCO!G918)</f>
        <v/>
      </c>
      <c r="H393" s="12" t="str">
        <f>IF(TOTALCO!H918="", "",TOTALCO!H918)</f>
        <v/>
      </c>
      <c r="I393" s="12" t="str">
        <f>IF(TOTALCO!I918="", "",TOTALCO!I918)</f>
        <v/>
      </c>
      <c r="J393" s="12" t="str">
        <f>IF(TOTALCO!J918="", "",TOTALCO!J918)</f>
        <v/>
      </c>
      <c r="K393" s="12" t="str">
        <f>IF(TOTALCO!K918="", "",TOTALCO!K918)</f>
        <v/>
      </c>
      <c r="L393" s="12" t="str">
        <f>IF(TOTALCO!L918="", "",TOTALCO!L918)</f>
        <v/>
      </c>
      <c r="M393" s="12" t="str">
        <f>IF(TOTALCO!M918="", "",TOTALCO!M918)</f>
        <v/>
      </c>
      <c r="N393" s="12" t="str">
        <f>IF(TOTALCO!N918="", "",TOTALCO!N918)</f>
        <v/>
      </c>
      <c r="O393" s="12" t="str">
        <f>IF(TOTALCO!O918="", "",TOTALCO!O918)</f>
        <v/>
      </c>
      <c r="P393" s="12" t="str">
        <f>IF(TOTALCO!P918="", "",TOTALCO!P918)</f>
        <v/>
      </c>
      <c r="Q393" s="12"/>
      <c r="R393" s="13"/>
    </row>
    <row r="394" spans="1:18" ht="15" x14ac:dyDescent="0.2">
      <c r="A394" s="382" t="str">
        <f>IF(TOTALCO!A919="", "",TOTALCO!A919)</f>
        <v/>
      </c>
      <c r="B394" s="4" t="str">
        <f>IF(TOTALCO!B919="", "",TOTALCO!B919)</f>
        <v>OTHER OPERATING REVENUES</v>
      </c>
      <c r="C394" s="4" t="str">
        <f>IF(TOTALCO!C919="", "",TOTALCO!C919)</f>
        <v/>
      </c>
      <c r="D394" s="12" t="str">
        <f>IF(TOTALCO!D919="", "",TOTALCO!D919)</f>
        <v/>
      </c>
      <c r="E394" s="12" t="str">
        <f>IF(TOTALCO!E919="", "",TOTALCO!E919)</f>
        <v/>
      </c>
      <c r="F394" s="12" t="str">
        <f>IF(TOTALCO!F919="", "",TOTALCO!F919)</f>
        <v/>
      </c>
      <c r="G394" s="12" t="str">
        <f>IF(TOTALCO!G919="", "",TOTALCO!G919)</f>
        <v/>
      </c>
      <c r="H394" s="12" t="str">
        <f>IF(TOTALCO!H919="", "",TOTALCO!H919)</f>
        <v/>
      </c>
      <c r="I394" s="12" t="str">
        <f>IF(TOTALCO!I919="", "",TOTALCO!I919)</f>
        <v/>
      </c>
      <c r="J394" s="12" t="str">
        <f>IF(TOTALCO!J919="", "",TOTALCO!J919)</f>
        <v/>
      </c>
      <c r="K394" s="12" t="str">
        <f>IF(TOTALCO!K919="", "",TOTALCO!K919)</f>
        <v/>
      </c>
      <c r="L394" s="12" t="str">
        <f>IF(TOTALCO!L919="", "",TOTALCO!L919)</f>
        <v/>
      </c>
      <c r="M394" s="12" t="str">
        <f>IF(TOTALCO!M919="", "",TOTALCO!M919)</f>
        <v/>
      </c>
      <c r="N394" s="12" t="str">
        <f>IF(TOTALCO!N919="", "",TOTALCO!N919)</f>
        <v/>
      </c>
      <c r="O394" s="12" t="str">
        <f>IF(TOTALCO!O919="", "",TOTALCO!O919)</f>
        <v/>
      </c>
      <c r="P394" s="12" t="str">
        <f>IF(TOTALCO!P919="", "",TOTALCO!P919)</f>
        <v/>
      </c>
      <c r="Q394" s="12"/>
      <c r="R394" s="13"/>
    </row>
    <row r="395" spans="1:18" ht="15" x14ac:dyDescent="0.2">
      <c r="A395" s="382">
        <f>IF(TOTALCO!A920="", "",TOTALCO!A920)</f>
        <v>17</v>
      </c>
      <c r="B395" s="4" t="str">
        <f>IF(TOTALCO!B920="", "",TOTALCO!B920)</f>
        <v xml:space="preserve">  450-LATE PAYMENT CHARGES</v>
      </c>
      <c r="C395" s="4" t="str">
        <f>IF(TOTALCO!C920="", "",TOTALCO!C920)</f>
        <v>DIR450REV</v>
      </c>
      <c r="D395" s="12">
        <f ca="1">IF(TOTALCO!D920="", "",TOTALCO!D920)</f>
        <v>7125786</v>
      </c>
      <c r="E395" s="12" t="str">
        <f>IF(TOTALCO!E920="", "",TOTALCO!E920)</f>
        <v/>
      </c>
      <c r="F395" s="12">
        <f ca="1">IF(TOTALCO!F920="", "",TOTALCO!F920)</f>
        <v>6910623.978525958</v>
      </c>
      <c r="G395" s="12" t="str">
        <f>IF(TOTALCO!G920="", "",TOTALCO!G920)</f>
        <v/>
      </c>
      <c r="H395" s="12">
        <f ca="1">IF(TOTALCO!H920="", "",TOTALCO!H920)</f>
        <v>213936.55140869084</v>
      </c>
      <c r="I395" s="12">
        <f ca="1">IF(TOTALCO!I920="", "",TOTALCO!I920)</f>
        <v>1225.4700653511941</v>
      </c>
      <c r="J395" s="12" t="str">
        <f>IF(TOTALCO!J920="", "",TOTALCO!J920)</f>
        <v/>
      </c>
      <c r="K395" s="12" t="str">
        <f>IF(TOTALCO!K920="", "",TOTALCO!K920)</f>
        <v/>
      </c>
      <c r="L395" s="12">
        <f ca="1">IF(TOTALCO!L920="", "",TOTALCO!L920)</f>
        <v>0</v>
      </c>
      <c r="M395" s="12" t="str">
        <f>IF(TOTALCO!M920="", "",TOTALCO!M920)</f>
        <v/>
      </c>
      <c r="N395" s="12">
        <f ca="1">IF(TOTALCO!N920="", "",TOTALCO!N920)</f>
        <v>1225.4700653511941</v>
      </c>
      <c r="O395" s="12">
        <f ca="1">IF(TOTALCO!O920="", "",TOTALCO!O920)</f>
        <v>1198.6500639209519</v>
      </c>
      <c r="P395" s="12">
        <f ca="1">IF(TOTALCO!P920="", "",TOTALCO!P920)</f>
        <v>26.820001430242296</v>
      </c>
      <c r="Q395" s="12"/>
      <c r="R395" s="13"/>
    </row>
    <row r="396" spans="1:18" ht="15" x14ac:dyDescent="0.2">
      <c r="A396" s="382">
        <f>IF(TOTALCO!A921="", "",TOTALCO!A921)</f>
        <v>18</v>
      </c>
      <c r="B396" s="4" t="str">
        <f>IF(TOTALCO!B921="", "",TOTALCO!B921)</f>
        <v xml:space="preserve">  451-RECONNECT CHARGES</v>
      </c>
      <c r="C396" s="4" t="str">
        <f>IF(TOTALCO!C921="", "",TOTALCO!C921)</f>
        <v>DIR451REC</v>
      </c>
      <c r="D396" s="12">
        <f ca="1">IF(TOTALCO!D921="", "",TOTALCO!D921)</f>
        <v>1791597</v>
      </c>
      <c r="E396" s="12" t="str">
        <f>IF(TOTALCO!E921="", "",TOTALCO!E921)</f>
        <v/>
      </c>
      <c r="F396" s="12">
        <f ca="1">IF(TOTALCO!F921="", "",TOTALCO!F921)</f>
        <v>1659612.2684171903</v>
      </c>
      <c r="G396" s="12" t="str">
        <f>IF(TOTALCO!G921="", "",TOTALCO!G921)</f>
        <v/>
      </c>
      <c r="H396" s="12">
        <f ca="1">IF(TOTALCO!H921="", "",TOTALCO!H921)</f>
        <v>131984.73158280971</v>
      </c>
      <c r="I396" s="12">
        <f ca="1">IF(TOTALCO!I921="", "",TOTALCO!I921)</f>
        <v>0</v>
      </c>
      <c r="J396" s="12" t="str">
        <f>IF(TOTALCO!J921="", "",TOTALCO!J921)</f>
        <v/>
      </c>
      <c r="K396" s="12" t="str">
        <f>IF(TOTALCO!K921="", "",TOTALCO!K921)</f>
        <v/>
      </c>
      <c r="L396" s="12">
        <f ca="1">IF(TOTALCO!L921="", "",TOTALCO!L921)</f>
        <v>0</v>
      </c>
      <c r="M396" s="12" t="str">
        <f>IF(TOTALCO!M921="", "",TOTALCO!M921)</f>
        <v/>
      </c>
      <c r="N396" s="12">
        <f ca="1">IF(TOTALCO!N921="", "",TOTALCO!N921)</f>
        <v>0</v>
      </c>
      <c r="O396" s="12">
        <f ca="1">IF(TOTALCO!O921="", "",TOTALCO!O921)</f>
        <v>0</v>
      </c>
      <c r="P396" s="12">
        <f ca="1">IF(TOTALCO!P921="", "",TOTALCO!P921)</f>
        <v>0</v>
      </c>
      <c r="Q396" s="12"/>
      <c r="R396" s="13"/>
    </row>
    <row r="397" spans="1:18" ht="15" x14ac:dyDescent="0.2">
      <c r="A397" s="382">
        <f>IF(TOTALCO!A922="", "",TOTALCO!A922)</f>
        <v>19</v>
      </c>
      <c r="B397" s="4" t="str">
        <f>IF(TOTALCO!B922="", "",TOTALCO!B922)</f>
        <v xml:space="preserve">  451-OTHER SERVICE CHARGES</v>
      </c>
      <c r="C397" s="4" t="str">
        <f>IF(TOTALCO!C922="", "",TOTALCO!C922)</f>
        <v>DIR451OTH</v>
      </c>
      <c r="D397" s="12">
        <f ca="1">IF(TOTALCO!D922="", "",TOTALCO!D922)</f>
        <v>559380</v>
      </c>
      <c r="E397" s="12" t="str">
        <f>IF(TOTALCO!E922="", "",TOTALCO!E922)</f>
        <v/>
      </c>
      <c r="F397" s="12">
        <f ca="1">IF(TOTALCO!F922="", "",TOTALCO!F922)</f>
        <v>547024.67536161793</v>
      </c>
      <c r="G397" s="12" t="str">
        <f>IF(TOTALCO!G922="", "",TOTALCO!G922)</f>
        <v/>
      </c>
      <c r="H397" s="12">
        <f ca="1">IF(TOTALCO!H922="", "",TOTALCO!H922)</f>
        <v>12355.324638382092</v>
      </c>
      <c r="I397" s="12">
        <f ca="1">IF(TOTALCO!I922="", "",TOTALCO!I922)</f>
        <v>0</v>
      </c>
      <c r="J397" s="12" t="str">
        <f>IF(TOTALCO!J922="", "",TOTALCO!J922)</f>
        <v/>
      </c>
      <c r="K397" s="12" t="str">
        <f>IF(TOTALCO!K922="", "",TOTALCO!K922)</f>
        <v/>
      </c>
      <c r="L397" s="12">
        <f ca="1">IF(TOTALCO!L922="", "",TOTALCO!L922)</f>
        <v>0</v>
      </c>
      <c r="M397" s="12" t="str">
        <f>IF(TOTALCO!M922="", "",TOTALCO!M922)</f>
        <v/>
      </c>
      <c r="N397" s="12">
        <f ca="1">IF(TOTALCO!N922="", "",TOTALCO!N922)</f>
        <v>0</v>
      </c>
      <c r="O397" s="12">
        <f ca="1">IF(TOTALCO!O922="", "",TOTALCO!O922)</f>
        <v>0</v>
      </c>
      <c r="P397" s="12">
        <f ca="1">IF(TOTALCO!P922="", "",TOTALCO!P922)</f>
        <v>0</v>
      </c>
      <c r="Q397" s="12"/>
      <c r="R397" s="13"/>
    </row>
    <row r="398" spans="1:18" ht="15" x14ac:dyDescent="0.2">
      <c r="A398" s="382">
        <f>IF(TOTALCO!A923="", "",TOTALCO!A923)</f>
        <v>20</v>
      </c>
      <c r="B398" s="4" t="str">
        <f>IF(TOTALCO!B923="", "",TOTALCO!B923)</f>
        <v xml:space="preserve">  454-RENT FROM ELEC PROPERTY</v>
      </c>
      <c r="C398" s="4" t="str">
        <f>IF(TOTALCO!C923="", "",TOTALCO!C923)</f>
        <v>DIR454REV</v>
      </c>
      <c r="D398" s="12">
        <f ca="1">IF(TOTALCO!D923="", "",TOTALCO!D923)</f>
        <v>2338708.0000000005</v>
      </c>
      <c r="E398" s="12" t="str">
        <f>IF(TOTALCO!E923="", "",TOTALCO!E923)</f>
        <v/>
      </c>
      <c r="F398" s="12">
        <f ca="1">IF(TOTALCO!F923="", "",TOTALCO!F923)</f>
        <v>2153990.4323694822</v>
      </c>
      <c r="G398" s="12" t="str">
        <f>IF(TOTALCO!G923="", "",TOTALCO!G923)</f>
        <v/>
      </c>
      <c r="H398" s="12">
        <f ca="1">IF(TOTALCO!H923="", "",TOTALCO!H923)</f>
        <v>184358.56763512292</v>
      </c>
      <c r="I398" s="12">
        <f ca="1">IF(TOTALCO!I923="", "",TOTALCO!I923)</f>
        <v>358.99999539489335</v>
      </c>
      <c r="J398" s="12" t="str">
        <f>IF(TOTALCO!J923="", "",TOTALCO!J923)</f>
        <v/>
      </c>
      <c r="K398" s="12" t="str">
        <f>IF(TOTALCO!K923="", "",TOTALCO!K923)</f>
        <v/>
      </c>
      <c r="L398" s="12">
        <f ca="1">IF(TOTALCO!L923="", "",TOTALCO!L923)</f>
        <v>358.99999539489335</v>
      </c>
      <c r="M398" s="12" t="str">
        <f>IF(TOTALCO!M923="", "",TOTALCO!M923)</f>
        <v/>
      </c>
      <c r="N398" s="12">
        <f ca="1">IF(TOTALCO!N923="", "",TOTALCO!N923)</f>
        <v>0</v>
      </c>
      <c r="O398" s="12">
        <f ca="1">IF(TOTALCO!O923="", "",TOTALCO!O923)</f>
        <v>0</v>
      </c>
      <c r="P398" s="12">
        <f ca="1">IF(TOTALCO!P923="", "",TOTALCO!P923)</f>
        <v>0</v>
      </c>
      <c r="Q398" s="12"/>
      <c r="R398" s="13"/>
    </row>
    <row r="399" spans="1:18" ht="15" x14ac:dyDescent="0.2">
      <c r="A399" s="382">
        <f>IF(TOTALCO!A924="", "",TOTALCO!A924)</f>
        <v>21</v>
      </c>
      <c r="B399" s="4" t="str">
        <f>IF(TOTALCO!B924="", "",TOTALCO!B924)</f>
        <v xml:space="preserve">  456-TRANSMISSION SERVICE</v>
      </c>
      <c r="C399" s="4" t="str">
        <f>IF(TOTALCO!C924="", "",TOTALCO!C924)</f>
        <v>DEMTRANNF</v>
      </c>
      <c r="D399" s="12">
        <f ca="1">IF(TOTALCO!D924="", "",TOTALCO!D924)</f>
        <v>14103930</v>
      </c>
      <c r="E399" s="12" t="str">
        <f>IF(TOTALCO!E924="", "",TOTALCO!E924)</f>
        <v/>
      </c>
      <c r="F399" s="12">
        <f ca="1">IF(TOTALCO!F924="", "",TOTALCO!F924)</f>
        <v>10488823.331374643</v>
      </c>
      <c r="G399" s="12" t="str">
        <f>IF(TOTALCO!G924="", "",TOTALCO!G924)</f>
        <v/>
      </c>
      <c r="H399" s="12">
        <f ca="1">IF(TOTALCO!H924="", "",TOTALCO!H924)</f>
        <v>616201.45514520886</v>
      </c>
      <c r="I399" s="12">
        <f ca="1">IF(TOTALCO!I924="", "",TOTALCO!I924)</f>
        <v>2998905.2134801485</v>
      </c>
      <c r="J399" s="12" t="str">
        <f>IF(TOTALCO!J924="", "",TOTALCO!J924)</f>
        <v/>
      </c>
      <c r="K399" s="12" t="str">
        <f>IF(TOTALCO!K924="", "",TOTALCO!K924)</f>
        <v/>
      </c>
      <c r="L399" s="12">
        <f ca="1">IF(TOTALCO!L924="", "",TOTALCO!L924)</f>
        <v>92.773480148330151</v>
      </c>
      <c r="M399" s="12" t="str">
        <f>IF(TOTALCO!M924="", "",TOTALCO!M924)</f>
        <v/>
      </c>
      <c r="N399" s="12">
        <f ca="1">IF(TOTALCO!N924="", "",TOTALCO!N924)</f>
        <v>2998812.44</v>
      </c>
      <c r="O399" s="12">
        <f>IF(TOTALCO!O924="", "",TOTALCO!O924)</f>
        <v>888558.42</v>
      </c>
      <c r="P399" s="12">
        <f>IF(TOTALCO!P924="", "",TOTALCO!P924)</f>
        <v>2110254.02</v>
      </c>
      <c r="Q399" s="12"/>
      <c r="R399" s="13"/>
    </row>
    <row r="400" spans="1:18" ht="15" x14ac:dyDescent="0.2">
      <c r="A400" s="382">
        <f>IF(TOTALCO!A925="", "",TOTALCO!A925)</f>
        <v>22</v>
      </c>
      <c r="B400" s="4" t="str">
        <f>IF(TOTALCO!B925="", "",TOTALCO!B925)</f>
        <v xml:space="preserve">  456-TAX REMITTANCE COMPENSATION</v>
      </c>
      <c r="C400" s="4" t="str">
        <f>IF(TOTALCO!C925="", "",TOTALCO!C925)</f>
        <v>REVKY</v>
      </c>
      <c r="D400" s="12">
        <f ca="1">IF(TOTALCO!D925="", "",TOTALCO!D925)</f>
        <v>17113</v>
      </c>
      <c r="E400" s="12" t="str">
        <f>IF(TOTALCO!E925="", "",TOTALCO!E925)</f>
        <v/>
      </c>
      <c r="F400" s="12">
        <f ca="1">IF(TOTALCO!F925="", "",TOTALCO!F925)</f>
        <v>17113</v>
      </c>
      <c r="G400" s="12" t="str">
        <f>IF(TOTALCO!G925="", "",TOTALCO!G925)</f>
        <v/>
      </c>
      <c r="H400" s="12">
        <f ca="1">IF(TOTALCO!H925="", "",TOTALCO!H925)</f>
        <v>0</v>
      </c>
      <c r="I400" s="12">
        <f ca="1">IF(TOTALCO!I925="", "",TOTALCO!I925)</f>
        <v>0</v>
      </c>
      <c r="J400" s="12" t="str">
        <f>IF(TOTALCO!J925="", "",TOTALCO!J925)</f>
        <v/>
      </c>
      <c r="K400" s="12" t="str">
        <f>IF(TOTALCO!K925="", "",TOTALCO!K925)</f>
        <v/>
      </c>
      <c r="L400" s="12">
        <f ca="1">IF(TOTALCO!L925="", "",TOTALCO!L925)</f>
        <v>0</v>
      </c>
      <c r="M400" s="12" t="str">
        <f>IF(TOTALCO!M925="", "",TOTALCO!M925)</f>
        <v/>
      </c>
      <c r="N400" s="12">
        <f ca="1">IF(TOTALCO!N925="", "",TOTALCO!N925)</f>
        <v>0</v>
      </c>
      <c r="O400" s="12">
        <f ca="1">IF(TOTALCO!O925="", "",TOTALCO!O925)</f>
        <v>0</v>
      </c>
      <c r="P400" s="12">
        <f ca="1">IF(TOTALCO!P925="", "",TOTALCO!P925)</f>
        <v>0</v>
      </c>
      <c r="Q400" s="12"/>
      <c r="R400" s="13"/>
    </row>
    <row r="401" spans="1:18" ht="15" x14ac:dyDescent="0.2">
      <c r="A401" s="382">
        <f>IF(TOTALCO!A926="", "",TOTALCO!A926)</f>
        <v>23</v>
      </c>
      <c r="B401" s="4" t="str">
        <f>IF(TOTALCO!B926="", "",TOTALCO!B926)</f>
        <v xml:space="preserve">  456-RETURN CHECK CHARGES</v>
      </c>
      <c r="C401" s="4" t="str">
        <f>IF(TOTALCO!C926="", "",TOTALCO!C926)</f>
        <v>DIR456CHK</v>
      </c>
      <c r="D401" s="12">
        <f ca="1">IF(TOTALCO!D926="", "",TOTALCO!D926)</f>
        <v>139732</v>
      </c>
      <c r="E401" s="12" t="str">
        <f>IF(TOTALCO!E926="", "",TOTALCO!E926)</f>
        <v/>
      </c>
      <c r="F401" s="12">
        <f ca="1">IF(TOTALCO!F926="", "",TOTALCO!F926)</f>
        <v>130861.99047819091</v>
      </c>
      <c r="G401" s="12" t="str">
        <f>IF(TOTALCO!G926="", "",TOTALCO!G926)</f>
        <v/>
      </c>
      <c r="H401" s="12">
        <f ca="1">IF(TOTALCO!H926="", "",TOTALCO!H926)</f>
        <v>8870.0095218090937</v>
      </c>
      <c r="I401" s="12">
        <f ca="1">IF(TOTALCO!I926="", "",TOTALCO!I926)</f>
        <v>0</v>
      </c>
      <c r="J401" s="12" t="str">
        <f>IF(TOTALCO!J926="", "",TOTALCO!J926)</f>
        <v/>
      </c>
      <c r="K401" s="12" t="str">
        <f>IF(TOTALCO!K926="", "",TOTALCO!K926)</f>
        <v/>
      </c>
      <c r="L401" s="12">
        <f ca="1">IF(TOTALCO!L926="", "",TOTALCO!L926)</f>
        <v>0</v>
      </c>
      <c r="M401" s="12" t="str">
        <f>IF(TOTALCO!M926="", "",TOTALCO!M926)</f>
        <v/>
      </c>
      <c r="N401" s="12">
        <f ca="1">IF(TOTALCO!N926="", "",TOTALCO!N926)</f>
        <v>0</v>
      </c>
      <c r="O401" s="12">
        <f ca="1">IF(TOTALCO!O926="", "",TOTALCO!O926)</f>
        <v>0</v>
      </c>
      <c r="P401" s="12">
        <f ca="1">IF(TOTALCO!P926="", "",TOTALCO!P926)</f>
        <v>0</v>
      </c>
      <c r="Q401" s="12"/>
      <c r="R401" s="13"/>
    </row>
    <row r="402" spans="1:18" ht="15" x14ac:dyDescent="0.2">
      <c r="A402" s="382">
        <f>IF(TOTALCO!A927="", "",TOTALCO!A927)</f>
        <v>24</v>
      </c>
      <c r="B402" s="4" t="str">
        <f>IF(TOTALCO!B927="", "",TOTALCO!B927)</f>
        <v xml:space="preserve">  456-OTHER MISC REVENUES</v>
      </c>
      <c r="C402" s="4" t="str">
        <f>IF(TOTALCO!C927="", "",TOTALCO!C927)</f>
        <v>DIR456OTH</v>
      </c>
      <c r="D402" s="12">
        <f ca="1">IF(TOTALCO!D927="", "",TOTALCO!D927)</f>
        <v>22525</v>
      </c>
      <c r="E402" s="12" t="str">
        <f>IF(TOTALCO!E927="", "",TOTALCO!E927)</f>
        <v/>
      </c>
      <c r="F402" s="12">
        <f ca="1">IF(TOTALCO!F927="", "",TOTALCO!F927)</f>
        <v>22525</v>
      </c>
      <c r="G402" s="12" t="str">
        <f>IF(TOTALCO!G927="", "",TOTALCO!G927)</f>
        <v/>
      </c>
      <c r="H402" s="12">
        <f ca="1">IF(TOTALCO!H927="", "",TOTALCO!H927)</f>
        <v>0</v>
      </c>
      <c r="I402" s="12">
        <f ca="1">IF(TOTALCO!I927="", "",TOTALCO!I927)</f>
        <v>0</v>
      </c>
      <c r="J402" s="12" t="str">
        <f>IF(TOTALCO!J927="", "",TOTALCO!J927)</f>
        <v/>
      </c>
      <c r="K402" s="12" t="str">
        <f>IF(TOTALCO!K927="", "",TOTALCO!K927)</f>
        <v/>
      </c>
      <c r="L402" s="12">
        <f ca="1">IF(TOTALCO!L927="", "",TOTALCO!L927)</f>
        <v>0</v>
      </c>
      <c r="M402" s="12" t="str">
        <f>IF(TOTALCO!M927="", "",TOTALCO!M927)</f>
        <v/>
      </c>
      <c r="N402" s="12">
        <f ca="1">IF(TOTALCO!N927="", "",TOTALCO!N927)</f>
        <v>0</v>
      </c>
      <c r="O402" s="12">
        <f ca="1">IF(TOTALCO!O927="", "",TOTALCO!O927)</f>
        <v>0</v>
      </c>
      <c r="P402" s="12">
        <f ca="1">IF(TOTALCO!P927="", "",TOTALCO!P927)</f>
        <v>0</v>
      </c>
      <c r="Q402" s="12"/>
      <c r="R402" s="13"/>
    </row>
    <row r="403" spans="1:18" ht="15" x14ac:dyDescent="0.2">
      <c r="A403" s="382">
        <f>IF(TOTALCO!A928="", "",TOTALCO!A928)</f>
        <v>25</v>
      </c>
      <c r="B403" s="4" t="str">
        <f>IF(TOTALCO!B928="", "",TOTALCO!B928)</f>
        <v xml:space="preserve">  456-EXCESS FACILITIES CHARGES</v>
      </c>
      <c r="C403" s="4" t="str">
        <f>IF(TOTALCO!C928="", "",TOTALCO!C928)</f>
        <v>DIR456FAC</v>
      </c>
      <c r="D403" s="12">
        <f ca="1">IF(TOTALCO!D928="", "",TOTALCO!D928)</f>
        <v>15192.000000000002</v>
      </c>
      <c r="E403" s="12" t="str">
        <f>IF(TOTALCO!E928="", "",TOTALCO!E928)</f>
        <v/>
      </c>
      <c r="F403" s="12">
        <f ca="1">IF(TOTALCO!F928="", "",TOTALCO!F928)</f>
        <v>14276.52229638957</v>
      </c>
      <c r="G403" s="12" t="str">
        <f>IF(TOTALCO!G928="", "",TOTALCO!G928)</f>
        <v/>
      </c>
      <c r="H403" s="12">
        <f ca="1">IF(TOTALCO!H928="", "",TOTALCO!H928)</f>
        <v>915.47770361043069</v>
      </c>
      <c r="I403" s="12">
        <f ca="1">IF(TOTALCO!I928="", "",TOTALCO!I928)</f>
        <v>0</v>
      </c>
      <c r="J403" s="12" t="str">
        <f>IF(TOTALCO!J928="", "",TOTALCO!J928)</f>
        <v/>
      </c>
      <c r="K403" s="12" t="str">
        <f>IF(TOTALCO!K928="", "",TOTALCO!K928)</f>
        <v/>
      </c>
      <c r="L403" s="12">
        <f ca="1">IF(TOTALCO!L928="", "",TOTALCO!L928)</f>
        <v>0</v>
      </c>
      <c r="M403" s="12" t="str">
        <f>IF(TOTALCO!M928="", "",TOTALCO!M928)</f>
        <v/>
      </c>
      <c r="N403" s="12">
        <f ca="1">IF(TOTALCO!N928="", "",TOTALCO!N928)</f>
        <v>0</v>
      </c>
      <c r="O403" s="12">
        <f ca="1">IF(TOTALCO!O928="", "",TOTALCO!O928)</f>
        <v>0</v>
      </c>
      <c r="P403" s="12">
        <f ca="1">IF(TOTALCO!P928="", "",TOTALCO!P928)</f>
        <v>0</v>
      </c>
      <c r="Q403" s="12"/>
      <c r="R403" s="13"/>
    </row>
    <row r="404" spans="1:18" ht="15" x14ac:dyDescent="0.2">
      <c r="A404" s="382">
        <f>IF(TOTALCO!A929="", "",TOTALCO!A929)</f>
        <v>26</v>
      </c>
      <c r="B404" s="4" t="str">
        <f>IF(TOTALCO!B929="", "",TOTALCO!B929)</f>
        <v xml:space="preserve">  456-FORFEITED REFUNDABLE ADVANCES</v>
      </c>
      <c r="C404" s="4" t="str">
        <f>IF(TOTALCO!C929="", "",TOTALCO!C929)</f>
        <v>REVKY</v>
      </c>
      <c r="D404" s="12">
        <f ca="1">IF(TOTALCO!D929="", "",TOTALCO!D929)</f>
        <v>-3602</v>
      </c>
      <c r="E404" s="12" t="str">
        <f>IF(TOTALCO!E929="", "",TOTALCO!E929)</f>
        <v/>
      </c>
      <c r="F404" s="12">
        <f ca="1">IF(TOTALCO!F929="", "",TOTALCO!F929)</f>
        <v>-3602</v>
      </c>
      <c r="G404" s="12" t="str">
        <f>IF(TOTALCO!G929="", "",TOTALCO!G929)</f>
        <v/>
      </c>
      <c r="H404" s="12">
        <f ca="1">IF(TOTALCO!H929="", "",TOTALCO!H929)</f>
        <v>0</v>
      </c>
      <c r="I404" s="12">
        <f ca="1">IF(TOTALCO!I929="", "",TOTALCO!I929)</f>
        <v>0</v>
      </c>
      <c r="J404" s="12" t="str">
        <f>IF(TOTALCO!J929="", "",TOTALCO!J929)</f>
        <v/>
      </c>
      <c r="K404" s="12" t="str">
        <f>IF(TOTALCO!K929="", "",TOTALCO!K929)</f>
        <v/>
      </c>
      <c r="L404" s="12">
        <f ca="1">IF(TOTALCO!L929="", "",TOTALCO!L929)</f>
        <v>0</v>
      </c>
      <c r="M404" s="12" t="str">
        <f>IF(TOTALCO!M929="", "",TOTALCO!M929)</f>
        <v/>
      </c>
      <c r="N404" s="12">
        <f ca="1">IF(TOTALCO!N929="", "",TOTALCO!N929)</f>
        <v>0</v>
      </c>
      <c r="O404" s="12">
        <f ca="1">IF(TOTALCO!O929="", "",TOTALCO!O929)</f>
        <v>0</v>
      </c>
      <c r="P404" s="12">
        <f ca="1">IF(TOTALCO!P929="", "",TOTALCO!P929)</f>
        <v>0</v>
      </c>
      <c r="Q404" s="12"/>
      <c r="R404" s="13"/>
    </row>
    <row r="405" spans="1:18" ht="15" x14ac:dyDescent="0.2">
      <c r="A405" s="382">
        <f>IF(TOTALCO!A930="", "",TOTALCO!A930)</f>
        <v>27</v>
      </c>
      <c r="B405" s="4" t="str">
        <f>IF(TOTALCO!B930="", "",TOTALCO!B930)</f>
        <v>TOTAL OTHER REVENUES</v>
      </c>
      <c r="C405" s="4" t="str">
        <f>IF(TOTALCO!C930="", "",TOTALCO!C930)</f>
        <v/>
      </c>
      <c r="D405" s="12">
        <f ca="1">IF(TOTALCO!D930="", "",TOTALCO!D930)</f>
        <v>26110361.000000004</v>
      </c>
      <c r="E405" s="12" t="str">
        <f>IF(TOTALCO!E930="", "",TOTALCO!E930)</f>
        <v/>
      </c>
      <c r="F405" s="12">
        <f ca="1">IF(TOTALCO!F930="", "",TOTALCO!F930)</f>
        <v>21941249.198823474</v>
      </c>
      <c r="G405" s="12" t="str">
        <f>IF(TOTALCO!G930="", "",TOTALCO!G930)</f>
        <v/>
      </c>
      <c r="H405" s="12">
        <f ca="1">IF(TOTALCO!H930="", "",TOTALCO!H930)</f>
        <v>1168622.117635634</v>
      </c>
      <c r="I405" s="12">
        <f ca="1">IF(TOTALCO!I930="", "",TOTALCO!I930)</f>
        <v>3000489.6835408946</v>
      </c>
      <c r="J405" s="12" t="str">
        <f>IF(TOTALCO!J930="", "",TOTALCO!J930)</f>
        <v/>
      </c>
      <c r="K405" s="12" t="str">
        <f>IF(TOTALCO!K930="", "",TOTALCO!K930)</f>
        <v/>
      </c>
      <c r="L405" s="12">
        <f ca="1">IF(TOTALCO!L930="", "",TOTALCO!L930)</f>
        <v>451.77347554322353</v>
      </c>
      <c r="M405" s="12" t="str">
        <f>IF(TOTALCO!M930="", "",TOTALCO!M930)</f>
        <v/>
      </c>
      <c r="N405" s="12">
        <f ca="1">IF(TOTALCO!N930="", "",TOTALCO!N930)</f>
        <v>3000037.9100653515</v>
      </c>
      <c r="O405" s="12">
        <f ca="1">IF(TOTALCO!O930="", "",TOTALCO!O930)</f>
        <v>889757.07006392104</v>
      </c>
      <c r="P405" s="12">
        <f ca="1">IF(TOTALCO!P930="", "",TOTALCO!P930)</f>
        <v>2110280.8400014304</v>
      </c>
      <c r="Q405" s="12"/>
      <c r="R405" s="13"/>
    </row>
    <row r="406" spans="1:18" ht="15" x14ac:dyDescent="0.2">
      <c r="A406" s="382" t="str">
        <f>IF(TOTALCO!A931="", "",TOTALCO!A931)</f>
        <v/>
      </c>
      <c r="B406" s="4" t="str">
        <f>IF(TOTALCO!B931="", "",TOTALCO!B931)</f>
        <v/>
      </c>
      <c r="C406" s="4" t="str">
        <f>IF(TOTALCO!C931="", "",TOTALCO!C931)</f>
        <v/>
      </c>
      <c r="D406" s="12" t="str">
        <f>IF(TOTALCO!D931="", "",TOTALCO!D931)</f>
        <v/>
      </c>
      <c r="E406" s="12" t="str">
        <f>IF(TOTALCO!E931="", "",TOTALCO!E931)</f>
        <v/>
      </c>
      <c r="F406" s="12" t="str">
        <f>IF(TOTALCO!F931="", "",TOTALCO!F931)</f>
        <v/>
      </c>
      <c r="G406" s="12" t="str">
        <f>IF(TOTALCO!G931="", "",TOTALCO!G931)</f>
        <v/>
      </c>
      <c r="H406" s="12" t="str">
        <f>IF(TOTALCO!H931="", "",TOTALCO!H931)</f>
        <v/>
      </c>
      <c r="I406" s="12" t="str">
        <f>IF(TOTALCO!I931="", "",TOTALCO!I931)</f>
        <v/>
      </c>
      <c r="J406" s="12" t="str">
        <f>IF(TOTALCO!J931="", "",TOTALCO!J931)</f>
        <v/>
      </c>
      <c r="K406" s="12" t="str">
        <f>IF(TOTALCO!K931="", "",TOTALCO!K931)</f>
        <v/>
      </c>
      <c r="L406" s="12" t="str">
        <f>IF(TOTALCO!L931="", "",TOTALCO!L931)</f>
        <v/>
      </c>
      <c r="M406" s="12" t="str">
        <f>IF(TOTALCO!M931="", "",TOTALCO!M931)</f>
        <v/>
      </c>
      <c r="N406" s="12" t="str">
        <f>IF(TOTALCO!N931="", "",TOTALCO!N931)</f>
        <v/>
      </c>
      <c r="O406" s="12" t="str">
        <f>IF(TOTALCO!O931="", "",TOTALCO!O931)</f>
        <v/>
      </c>
      <c r="P406" s="12" t="str">
        <f>IF(TOTALCO!P931="", "",TOTALCO!P931)</f>
        <v/>
      </c>
      <c r="Q406" s="12"/>
      <c r="R406" s="13"/>
    </row>
    <row r="407" spans="1:18" ht="15" x14ac:dyDescent="0.2">
      <c r="A407" s="382">
        <f>IF(TOTALCO!A932="", "",TOTALCO!A932)</f>
        <v>28</v>
      </c>
      <c r="B407" s="4" t="str">
        <f>IF(TOTALCO!B932="", "",TOTALCO!B932)</f>
        <v>TOTAL OPERATING REVENUES</v>
      </c>
      <c r="C407" s="4" t="str">
        <f>IF(TOTALCO!C932="", "",TOTALCO!C932)</f>
        <v/>
      </c>
      <c r="D407" s="12">
        <f ca="1">IF(TOTALCO!D932="", "",TOTALCO!D932)</f>
        <v>1522035956.74</v>
      </c>
      <c r="E407" s="12" t="str">
        <f>IF(TOTALCO!E932="", "",TOTALCO!E932)</f>
        <v/>
      </c>
      <c r="F407" s="12">
        <f ca="1">IF(TOTALCO!F932="", "",TOTALCO!F932)</f>
        <v>1342076919.5654504</v>
      </c>
      <c r="G407" s="12" t="str">
        <f>IF(TOTALCO!G932="", "",TOTALCO!G932)</f>
        <v/>
      </c>
      <c r="H407" s="12">
        <f ca="1">IF(TOTALCO!H932="", "",TOTALCO!H932)</f>
        <v>75816559.35003905</v>
      </c>
      <c r="I407" s="12">
        <f ca="1">IF(TOTALCO!I932="", "",TOTALCO!I932)</f>
        <v>104142477.82451053</v>
      </c>
      <c r="J407" s="12" t="str">
        <f>IF(TOTALCO!J932="", "",TOTALCO!J932)</f>
        <v/>
      </c>
      <c r="K407" s="12" t="str">
        <f>IF(TOTALCO!K932="", "",TOTALCO!K932)</f>
        <v/>
      </c>
      <c r="L407" s="12">
        <f ca="1">IF(TOTALCO!L932="", "",TOTALCO!L932)</f>
        <v>6663.0818311375333</v>
      </c>
      <c r="M407" s="12" t="str">
        <f>IF(TOTALCO!M932="", "",TOTALCO!M932)</f>
        <v/>
      </c>
      <c r="N407" s="12">
        <f ca="1">IF(TOTALCO!N932="", "",TOTALCO!N932)</f>
        <v>104135814.74267939</v>
      </c>
      <c r="O407" s="12">
        <f ca="1">IF(TOTALCO!O932="", "",TOTALCO!O932)</f>
        <v>33654442.050709493</v>
      </c>
      <c r="P407" s="12">
        <f ca="1">IF(TOTALCO!P932="", "",TOTALCO!P932)</f>
        <v>70481372.691969886</v>
      </c>
      <c r="Q407" s="12"/>
      <c r="R407" s="13"/>
    </row>
    <row r="408" spans="1:18" ht="15" x14ac:dyDescent="0.2">
      <c r="A408" s="382" t="str">
        <f>IF(TOTALCO!A933="", "",TOTALCO!A933)</f>
        <v/>
      </c>
      <c r="B408" s="4" t="str">
        <f>IF(TOTALCO!B933="", "",TOTALCO!B933)</f>
        <v/>
      </c>
      <c r="C408" s="4" t="str">
        <f>IF(TOTALCO!C933="", "",TOTALCO!C933)</f>
        <v/>
      </c>
      <c r="D408" s="12" t="str">
        <f>IF(TOTALCO!D933="", "",TOTALCO!D933)</f>
        <v/>
      </c>
      <c r="E408" s="12" t="str">
        <f>IF(TOTALCO!E933="", "",TOTALCO!E933)</f>
        <v/>
      </c>
      <c r="F408" s="12" t="str">
        <f>IF(TOTALCO!F933="", "",TOTALCO!F933)</f>
        <v/>
      </c>
      <c r="G408" s="12" t="str">
        <f>IF(TOTALCO!G933="", "",TOTALCO!G933)</f>
        <v/>
      </c>
      <c r="H408" s="12" t="str">
        <f>IF(TOTALCO!H933="", "",TOTALCO!H933)</f>
        <v/>
      </c>
      <c r="I408" s="12" t="str">
        <f>IF(TOTALCO!I933="", "",TOTALCO!I933)</f>
        <v/>
      </c>
      <c r="J408" s="12" t="str">
        <f>IF(TOTALCO!J933="", "",TOTALCO!J933)</f>
        <v/>
      </c>
      <c r="K408" s="12" t="str">
        <f>IF(TOTALCO!K933="", "",TOTALCO!K933)</f>
        <v/>
      </c>
      <c r="L408" s="12" t="str">
        <f>IF(TOTALCO!L933="", "",TOTALCO!L933)</f>
        <v/>
      </c>
      <c r="M408" s="12" t="str">
        <f>IF(TOTALCO!M933="", "",TOTALCO!M933)</f>
        <v/>
      </c>
      <c r="N408" s="12" t="str">
        <f>IF(TOTALCO!N933="", "",TOTALCO!N933)</f>
        <v/>
      </c>
      <c r="O408" s="12" t="str">
        <f>IF(TOTALCO!O933="", "",TOTALCO!O933)</f>
        <v/>
      </c>
      <c r="P408" s="12" t="str">
        <f>IF(TOTALCO!P933="", "",TOTALCO!P933)</f>
        <v/>
      </c>
      <c r="Q408" s="12"/>
      <c r="R408" s="13"/>
    </row>
    <row r="409" spans="1:18" ht="15" x14ac:dyDescent="0.2">
      <c r="A409" s="382" t="str">
        <f>IF(TOTALCO!A934="", "",TOTALCO!A934)</f>
        <v/>
      </c>
      <c r="B409" s="4" t="str">
        <f>IF(TOTALCO!B934="", "",TOTALCO!B934)</f>
        <v/>
      </c>
      <c r="C409" s="4" t="str">
        <f>IF(TOTALCO!C934="", "",TOTALCO!C934)</f>
        <v/>
      </c>
      <c r="D409" s="12" t="str">
        <f>IF(TOTALCO!D934="", "",TOTALCO!D934)</f>
        <v/>
      </c>
      <c r="E409" s="12" t="str">
        <f>IF(TOTALCO!E934="", "",TOTALCO!E934)</f>
        <v/>
      </c>
      <c r="F409" s="12" t="str">
        <f>IF(TOTALCO!F934="", "",TOTALCO!F934)</f>
        <v/>
      </c>
      <c r="G409" s="12" t="str">
        <f>IF(TOTALCO!G934="", "",TOTALCO!G934)</f>
        <v/>
      </c>
      <c r="H409" s="12" t="str">
        <f>IF(TOTALCO!H934="", "",TOTALCO!H934)</f>
        <v/>
      </c>
      <c r="I409" s="12" t="str">
        <f>IF(TOTALCO!I934="", "",TOTALCO!I934)</f>
        <v/>
      </c>
      <c r="J409" s="12" t="str">
        <f>IF(TOTALCO!J934="", "",TOTALCO!J934)</f>
        <v/>
      </c>
      <c r="K409" s="12" t="str">
        <f>IF(TOTALCO!K934="", "",TOTALCO!K934)</f>
        <v/>
      </c>
      <c r="L409" s="12" t="str">
        <f>IF(TOTALCO!L934="", "",TOTALCO!L934)</f>
        <v/>
      </c>
      <c r="M409" s="12" t="str">
        <f>IF(TOTALCO!M934="", "",TOTALCO!M934)</f>
        <v/>
      </c>
      <c r="N409" s="12" t="str">
        <f>IF(TOTALCO!N934="", "",TOTALCO!N934)</f>
        <v/>
      </c>
      <c r="O409" s="12" t="str">
        <f>IF(TOTALCO!O934="", "",TOTALCO!O934)</f>
        <v/>
      </c>
      <c r="P409" s="12" t="str">
        <f>IF(TOTALCO!P934="", "",TOTALCO!P934)</f>
        <v/>
      </c>
      <c r="Q409" s="12"/>
      <c r="R409" s="13"/>
    </row>
    <row r="410" spans="1:18" ht="15" x14ac:dyDescent="0.2">
      <c r="A410" s="382" t="str">
        <f>IF(TOTALCO!A935="", "",TOTALCO!A935)</f>
        <v/>
      </c>
      <c r="B410" s="4" t="str">
        <f>IF(TOTALCO!B935="", "",TOTALCO!B935)</f>
        <v>OPERATION &amp; MAINTENANCE EXP</v>
      </c>
      <c r="C410" s="4" t="str">
        <f>IF(TOTALCO!C935="", "",TOTALCO!C935)</f>
        <v/>
      </c>
      <c r="D410" s="12" t="str">
        <f>IF(TOTALCO!D935="", "",TOTALCO!D935)</f>
        <v/>
      </c>
      <c r="E410" s="12" t="str">
        <f>IF(TOTALCO!E935="", "",TOTALCO!E935)</f>
        <v/>
      </c>
      <c r="F410" s="12" t="str">
        <f>IF(TOTALCO!F935="", "",TOTALCO!F935)</f>
        <v/>
      </c>
      <c r="G410" s="12" t="str">
        <f>IF(TOTALCO!G935="", "",TOTALCO!G935)</f>
        <v/>
      </c>
      <c r="H410" s="12" t="str">
        <f>IF(TOTALCO!H935="", "",TOTALCO!H935)</f>
        <v/>
      </c>
      <c r="I410" s="12" t="str">
        <f>IF(TOTALCO!I935="", "",TOTALCO!I935)</f>
        <v/>
      </c>
      <c r="J410" s="12" t="str">
        <f>IF(TOTALCO!J935="", "",TOTALCO!J935)</f>
        <v/>
      </c>
      <c r="K410" s="12" t="str">
        <f>IF(TOTALCO!K935="", "",TOTALCO!K935)</f>
        <v/>
      </c>
      <c r="L410" s="12" t="str">
        <f>IF(TOTALCO!L935="", "",TOTALCO!L935)</f>
        <v/>
      </c>
      <c r="M410" s="12" t="str">
        <f>IF(TOTALCO!M935="", "",TOTALCO!M935)</f>
        <v/>
      </c>
      <c r="N410" s="12" t="str">
        <f>IF(TOTALCO!N935="", "",TOTALCO!N935)</f>
        <v/>
      </c>
      <c r="O410" s="12" t="str">
        <f>IF(TOTALCO!O935="", "",TOTALCO!O935)</f>
        <v/>
      </c>
      <c r="P410" s="12" t="str">
        <f>IF(TOTALCO!P935="", "",TOTALCO!P935)</f>
        <v/>
      </c>
      <c r="Q410" s="12"/>
      <c r="R410" s="13"/>
    </row>
    <row r="411" spans="1:18" ht="15" x14ac:dyDescent="0.2">
      <c r="A411" s="382" t="str">
        <f>IF(TOTALCO!A936="", "",TOTALCO!A936)</f>
        <v/>
      </c>
      <c r="B411" s="4" t="str">
        <f>IF(TOTALCO!B936="", "",TOTALCO!B936)</f>
        <v/>
      </c>
      <c r="C411" s="4" t="str">
        <f>IF(TOTALCO!C936="", "",TOTALCO!C936)</f>
        <v/>
      </c>
      <c r="D411" s="12" t="str">
        <f>IF(TOTALCO!D936="", "",TOTALCO!D936)</f>
        <v/>
      </c>
      <c r="E411" s="12" t="str">
        <f>IF(TOTALCO!E936="", "",TOTALCO!E936)</f>
        <v/>
      </c>
      <c r="F411" s="12" t="str">
        <f>IF(TOTALCO!F936="", "",TOTALCO!F936)</f>
        <v/>
      </c>
      <c r="G411" s="12" t="str">
        <f>IF(TOTALCO!G936="", "",TOTALCO!G936)</f>
        <v/>
      </c>
      <c r="H411" s="12" t="str">
        <f>IF(TOTALCO!H936="", "",TOTALCO!H936)</f>
        <v/>
      </c>
      <c r="I411" s="12" t="str">
        <f>IF(TOTALCO!I936="", "",TOTALCO!I936)</f>
        <v/>
      </c>
      <c r="J411" s="12" t="str">
        <f>IF(TOTALCO!J936="", "",TOTALCO!J936)</f>
        <v/>
      </c>
      <c r="K411" s="12" t="str">
        <f>IF(TOTALCO!K936="", "",TOTALCO!K936)</f>
        <v/>
      </c>
      <c r="L411" s="12" t="str">
        <f>IF(TOTALCO!L936="", "",TOTALCO!L936)</f>
        <v/>
      </c>
      <c r="M411" s="12" t="str">
        <f>IF(TOTALCO!M936="", "",TOTALCO!M936)</f>
        <v/>
      </c>
      <c r="N411" s="12" t="str">
        <f>IF(TOTALCO!N936="", "",TOTALCO!N936)</f>
        <v/>
      </c>
      <c r="O411" s="12" t="str">
        <f>IF(TOTALCO!O936="", "",TOTALCO!O936)</f>
        <v/>
      </c>
      <c r="P411" s="12" t="str">
        <f>IF(TOTALCO!P936="", "",TOTALCO!P936)</f>
        <v/>
      </c>
      <c r="Q411" s="12"/>
      <c r="R411" s="13"/>
    </row>
    <row r="412" spans="1:18" ht="15" x14ac:dyDescent="0.2">
      <c r="A412" s="382" t="str">
        <f>IF(TOTALCO!A937="", "",TOTALCO!A937)</f>
        <v/>
      </c>
      <c r="B412" s="4" t="str">
        <f>IF(TOTALCO!B937="", "",TOTALCO!B937)</f>
        <v>PRODUCTION EXPENSE-STEAM</v>
      </c>
      <c r="C412" s="4" t="str">
        <f>IF(TOTALCO!C937="", "",TOTALCO!C937)</f>
        <v/>
      </c>
      <c r="D412" s="12" t="str">
        <f>IF(TOTALCO!D937="", "",TOTALCO!D937)</f>
        <v/>
      </c>
      <c r="E412" s="12" t="str">
        <f>IF(TOTALCO!E937="", "",TOTALCO!E937)</f>
        <v/>
      </c>
      <c r="F412" s="12" t="str">
        <f>IF(TOTALCO!F937="", "",TOTALCO!F937)</f>
        <v/>
      </c>
      <c r="G412" s="12" t="str">
        <f>IF(TOTALCO!G937="", "",TOTALCO!G937)</f>
        <v/>
      </c>
      <c r="H412" s="12" t="str">
        <f>IF(TOTALCO!H937="", "",TOTALCO!H937)</f>
        <v/>
      </c>
      <c r="I412" s="12" t="str">
        <f>IF(TOTALCO!I937="", "",TOTALCO!I937)</f>
        <v/>
      </c>
      <c r="J412" s="12" t="str">
        <f>IF(TOTALCO!J937="", "",TOTALCO!J937)</f>
        <v/>
      </c>
      <c r="K412" s="12" t="str">
        <f>IF(TOTALCO!K937="", "",TOTALCO!K937)</f>
        <v/>
      </c>
      <c r="L412" s="12" t="str">
        <f>IF(TOTALCO!L937="", "",TOTALCO!L937)</f>
        <v/>
      </c>
      <c r="M412" s="12" t="str">
        <f>IF(TOTALCO!M937="", "",TOTALCO!M937)</f>
        <v/>
      </c>
      <c r="N412" s="12" t="str">
        <f>IF(TOTALCO!N937="", "",TOTALCO!N937)</f>
        <v/>
      </c>
      <c r="O412" s="12" t="str">
        <f>IF(TOTALCO!O937="", "",TOTALCO!O937)</f>
        <v/>
      </c>
      <c r="P412" s="12" t="str">
        <f>IF(TOTALCO!P937="", "",TOTALCO!P937)</f>
        <v/>
      </c>
      <c r="Q412" s="12"/>
      <c r="R412" s="13"/>
    </row>
    <row r="413" spans="1:18" ht="15" x14ac:dyDescent="0.2">
      <c r="A413" s="382">
        <f>IF(TOTALCO!A938="", "",TOTALCO!A938)</f>
        <v>1</v>
      </c>
      <c r="B413" s="4" t="str">
        <f>IF(TOTALCO!B938="", "",TOTALCO!B938)</f>
        <v xml:space="preserve">  500-SUPERV &amp; ENGINEERING</v>
      </c>
      <c r="C413" s="4" t="str">
        <f>IF(TOTALCO!C938="", "",TOTALCO!C938)</f>
        <v>STMPLT</v>
      </c>
      <c r="D413" s="12">
        <f ca="1">IF(TOTALCO!D938="", "",TOTALCO!D938)</f>
        <v>5863734.8500000006</v>
      </c>
      <c r="E413" s="12" t="str">
        <f>IF(TOTALCO!E938="", "",TOTALCO!E938)</f>
        <v/>
      </c>
      <c r="F413" s="12">
        <f ca="1">IF(TOTALCO!F938="", "",TOTALCO!F938)</f>
        <v>5020058.5214573201</v>
      </c>
      <c r="G413" s="12" t="str">
        <f>IF(TOTALCO!G938="", "",TOTALCO!G938)</f>
        <v/>
      </c>
      <c r="H413" s="12">
        <f ca="1">IF(TOTALCO!H938="", "",TOTALCO!H938)</f>
        <v>305263.99230084603</v>
      </c>
      <c r="I413" s="12">
        <f ca="1">IF(TOTALCO!I938="", "",TOTALCO!I938)</f>
        <v>538412.33624183445</v>
      </c>
      <c r="J413" s="12" t="str">
        <f>IF(TOTALCO!J938="", "",TOTALCO!J938)</f>
        <v/>
      </c>
      <c r="K413" s="12" t="str">
        <f>IF(TOTALCO!K938="", "",TOTALCO!K938)</f>
        <v/>
      </c>
      <c r="L413" s="12">
        <f ca="1">IF(TOTALCO!L938="", "",TOTALCO!L938)</f>
        <v>44.386199198368878</v>
      </c>
      <c r="M413" s="12" t="str">
        <f>IF(TOTALCO!M938="", "",TOTALCO!M938)</f>
        <v/>
      </c>
      <c r="N413" s="12">
        <f ca="1">IF(TOTALCO!N938="", "",TOTALCO!N938)</f>
        <v>538367.95004263613</v>
      </c>
      <c r="O413" s="12">
        <f ca="1">IF(TOTALCO!O938="", "",TOTALCO!O938)</f>
        <v>167984.46003107197</v>
      </c>
      <c r="P413" s="12">
        <f ca="1">IF(TOTALCO!P938="", "",TOTALCO!P938)</f>
        <v>370383.49001156411</v>
      </c>
      <c r="Q413" s="12"/>
      <c r="R413" s="13"/>
    </row>
    <row r="414" spans="1:18" ht="15" x14ac:dyDescent="0.2">
      <c r="A414" s="382">
        <f>IF(TOTALCO!A939="", "",TOTALCO!A939)</f>
        <v>2</v>
      </c>
      <c r="B414" s="4" t="str">
        <f>IF(TOTALCO!B939="", "",TOTALCO!B939)</f>
        <v xml:space="preserve">  501-FUEL</v>
      </c>
      <c r="C414" s="4" t="str">
        <f>IF(TOTALCO!C939="", "",TOTALCO!C939)</f>
        <v>ENERGY</v>
      </c>
      <c r="D414" s="12">
        <f ca="1">IF(TOTALCO!D939="", "",TOTALCO!D939)</f>
        <v>485118156.84999996</v>
      </c>
      <c r="E414" s="12" t="str">
        <f>IF(TOTALCO!E939="", "",TOTALCO!E939)</f>
        <v/>
      </c>
      <c r="F414" s="12">
        <f ca="1">IF(TOTALCO!F939="", "",TOTALCO!F939)</f>
        <v>420872445.06242895</v>
      </c>
      <c r="G414" s="12" t="str">
        <f>IF(TOTALCO!G939="", "",TOTALCO!G939)</f>
        <v/>
      </c>
      <c r="H414" s="12">
        <f ca="1">IF(TOTALCO!H939="", "",TOTALCO!H939)</f>
        <v>22253369.215427212</v>
      </c>
      <c r="I414" s="12">
        <f ca="1">IF(TOTALCO!I939="", "",TOTALCO!I939)</f>
        <v>41992342.572143801</v>
      </c>
      <c r="J414" s="12" t="str">
        <f>IF(TOTALCO!J939="", "",TOTALCO!J939)</f>
        <v/>
      </c>
      <c r="K414" s="12" t="str">
        <f>IF(TOTALCO!K939="", "",TOTALCO!K939)</f>
        <v/>
      </c>
      <c r="L414" s="12">
        <f ca="1">IF(TOTALCO!L939="", "",TOTALCO!L939)</f>
        <v>2313.5856123565709</v>
      </c>
      <c r="M414" s="12" t="str">
        <f>IF(TOTALCO!M939="", "",TOTALCO!M939)</f>
        <v/>
      </c>
      <c r="N414" s="12">
        <f ca="1">IF(TOTALCO!N939="", "",TOTALCO!N939)</f>
        <v>41990028.986531444</v>
      </c>
      <c r="O414" s="12">
        <f ca="1">IF(TOTALCO!O939="", "",TOTALCO!O939)</f>
        <v>13707500.58929548</v>
      </c>
      <c r="P414" s="12">
        <f ca="1">IF(TOTALCO!P939="", "",TOTALCO!P939)</f>
        <v>28282528.397235963</v>
      </c>
      <c r="Q414" s="12"/>
      <c r="R414" s="13"/>
    </row>
    <row r="415" spans="1:18" ht="15" x14ac:dyDescent="0.2">
      <c r="A415" s="382">
        <f>IF(TOTALCO!A940="", "",TOTALCO!A940)</f>
        <v>3</v>
      </c>
      <c r="B415" s="4" t="str">
        <f>IF(TOTALCO!B940="", "",TOTALCO!B940)</f>
        <v xml:space="preserve">  501-I/S SALES &amp; PARIS VAR EXP.</v>
      </c>
      <c r="C415" s="4" t="str">
        <f>IF(TOTALCO!C940="", "",TOTALCO!C940)</f>
        <v>REVFERC</v>
      </c>
      <c r="D415" s="12">
        <f ca="1">IF(TOTALCO!D940="", "",TOTALCO!D940)</f>
        <v>0</v>
      </c>
      <c r="E415" s="12" t="str">
        <f>IF(TOTALCO!E940="", "",TOTALCO!E940)</f>
        <v/>
      </c>
      <c r="F415" s="12">
        <f ca="1">IF(TOTALCO!F940="", "",TOTALCO!F940)</f>
        <v>0</v>
      </c>
      <c r="G415" s="12" t="str">
        <f>IF(TOTALCO!G940="", "",TOTALCO!G940)</f>
        <v/>
      </c>
      <c r="H415" s="12">
        <f ca="1">IF(TOTALCO!H940="", "",TOTALCO!H940)</f>
        <v>0</v>
      </c>
      <c r="I415" s="12">
        <f ca="1">IF(TOTALCO!I940="", "",TOTALCO!I940)</f>
        <v>0</v>
      </c>
      <c r="J415" s="12" t="str">
        <f>IF(TOTALCO!J940="", "",TOTALCO!J940)</f>
        <v/>
      </c>
      <c r="K415" s="12" t="str">
        <f>IF(TOTALCO!K940="", "",TOTALCO!K940)</f>
        <v/>
      </c>
      <c r="L415" s="12">
        <f ca="1">IF(TOTALCO!L940="", "",TOTALCO!L940)</f>
        <v>0</v>
      </c>
      <c r="M415" s="12" t="str">
        <f>IF(TOTALCO!M940="", "",TOTALCO!M940)</f>
        <v/>
      </c>
      <c r="N415" s="12">
        <f ca="1">IF(TOTALCO!N940="", "",TOTALCO!N940)</f>
        <v>0</v>
      </c>
      <c r="O415" s="12">
        <f ca="1">IF(TOTALCO!O940="", "",TOTALCO!O940)</f>
        <v>0</v>
      </c>
      <c r="P415" s="12">
        <f ca="1">IF(TOTALCO!P940="", "",TOTALCO!P940)</f>
        <v>0</v>
      </c>
      <c r="Q415" s="12"/>
      <c r="R415" s="13"/>
    </row>
    <row r="416" spans="1:18" ht="15" x14ac:dyDescent="0.2">
      <c r="A416" s="382">
        <f>IF(TOTALCO!A941="", "",TOTALCO!A941)</f>
        <v>4</v>
      </c>
      <c r="B416" s="4" t="str">
        <f>IF(TOTALCO!B941="", "",TOTALCO!B941)</f>
        <v xml:space="preserve">  502 &amp; 504-STEAM EXPENSES</v>
      </c>
      <c r="C416" s="4" t="str">
        <f>IF(TOTALCO!C941="", "",TOTALCO!C941)</f>
        <v>STMPLT</v>
      </c>
      <c r="D416" s="12">
        <f ca="1">IF(TOTALCO!D941="", "",TOTALCO!D941)</f>
        <v>17641803.080000002</v>
      </c>
      <c r="E416" s="12" t="str">
        <f>IF(TOTALCO!E941="", "",TOTALCO!E941)</f>
        <v/>
      </c>
      <c r="F416" s="12">
        <f ca="1">IF(TOTALCO!F941="", "",TOTALCO!F941)</f>
        <v>15103336.244892649</v>
      </c>
      <c r="G416" s="12" t="str">
        <f>IF(TOTALCO!G941="", "",TOTALCO!G941)</f>
        <v/>
      </c>
      <c r="H416" s="12">
        <f ca="1">IF(TOTALCO!H941="", "",TOTALCO!H941)</f>
        <v>918416.52830763638</v>
      </c>
      <c r="I416" s="12">
        <f ca="1">IF(TOTALCO!I941="", "",TOTALCO!I941)</f>
        <v>1620050.3067997138</v>
      </c>
      <c r="J416" s="12" t="str">
        <f>IF(TOTALCO!J941="", "",TOTALCO!J941)</f>
        <v/>
      </c>
      <c r="K416" s="12" t="str">
        <f>IF(TOTALCO!K941="", "",TOTALCO!K941)</f>
        <v/>
      </c>
      <c r="L416" s="12">
        <f ca="1">IF(TOTALCO!L941="", "",TOTALCO!L941)</f>
        <v>133.54021437406249</v>
      </c>
      <c r="M416" s="12" t="str">
        <f>IF(TOTALCO!M941="", "",TOTALCO!M941)</f>
        <v/>
      </c>
      <c r="N416" s="12">
        <f ca="1">IF(TOTALCO!N941="", "",TOTALCO!N941)</f>
        <v>1619916.7665853398</v>
      </c>
      <c r="O416" s="12">
        <f ca="1">IF(TOTALCO!O941="", "",TOTALCO!O941)</f>
        <v>505455.13214255736</v>
      </c>
      <c r="P416" s="12">
        <f ca="1">IF(TOTALCO!P941="", "",TOTALCO!P941)</f>
        <v>1114461.6344427825</v>
      </c>
      <c r="Q416" s="12"/>
      <c r="R416" s="13"/>
    </row>
    <row r="417" spans="1:18" ht="15" x14ac:dyDescent="0.2">
      <c r="A417" s="382">
        <f>IF(TOTALCO!A942="", "",TOTALCO!A942)</f>
        <v>5</v>
      </c>
      <c r="B417" s="4" t="str">
        <f>IF(TOTALCO!B942="", "",TOTALCO!B942)</f>
        <v xml:space="preserve">  505-ELECTRIC EXPENSES</v>
      </c>
      <c r="C417" s="4" t="str">
        <f>IF(TOTALCO!C942="", "",TOTALCO!C942)</f>
        <v>STMPLT</v>
      </c>
      <c r="D417" s="12">
        <f ca="1">IF(TOTALCO!D942="", "",TOTALCO!D942)</f>
        <v>7242233.3499999996</v>
      </c>
      <c r="E417" s="12" t="str">
        <f>IF(TOTALCO!E942="", "",TOTALCO!E942)</f>
        <v/>
      </c>
      <c r="F417" s="12">
        <f ca="1">IF(TOTALCO!F942="", "",TOTALCO!F942)</f>
        <v>6200218.1498793196</v>
      </c>
      <c r="G417" s="12" t="str">
        <f>IF(TOTALCO!G942="", "",TOTALCO!G942)</f>
        <v/>
      </c>
      <c r="H417" s="12">
        <f ca="1">IF(TOTALCO!H942="", "",TOTALCO!H942)</f>
        <v>377028.14369161491</v>
      </c>
      <c r="I417" s="12">
        <f ca="1">IF(TOTALCO!I942="", "",TOTALCO!I942)</f>
        <v>664987.05642906518</v>
      </c>
      <c r="J417" s="12" t="str">
        <f>IF(TOTALCO!J942="", "",TOTALCO!J942)</f>
        <v/>
      </c>
      <c r="K417" s="12" t="str">
        <f>IF(TOTALCO!K942="", "",TOTALCO!K942)</f>
        <v/>
      </c>
      <c r="L417" s="12">
        <f ca="1">IF(TOTALCO!L942="", "",TOTALCO!L942)</f>
        <v>54.820898341638056</v>
      </c>
      <c r="M417" s="12" t="str">
        <f>IF(TOTALCO!M942="", "",TOTALCO!M942)</f>
        <v/>
      </c>
      <c r="N417" s="12">
        <f ca="1">IF(TOTALCO!N942="", "",TOTALCO!N942)</f>
        <v>664932.23553072358</v>
      </c>
      <c r="O417" s="12">
        <f ca="1">IF(TOTALCO!O942="", "",TOTALCO!O942)</f>
        <v>207475.72832676279</v>
      </c>
      <c r="P417" s="12">
        <f ca="1">IF(TOTALCO!P942="", "",TOTALCO!P942)</f>
        <v>457456.50720396085</v>
      </c>
      <c r="Q417" s="12"/>
      <c r="R417" s="13"/>
    </row>
    <row r="418" spans="1:18" ht="15" x14ac:dyDescent="0.2">
      <c r="A418" s="382">
        <f>IF(TOTALCO!A943="", "",TOTALCO!A943)</f>
        <v>6</v>
      </c>
      <c r="B418" s="4" t="str">
        <f>IF(TOTALCO!B943="", "",TOTALCO!B943)</f>
        <v xml:space="preserve">  506-MISC STEAM POWER EXP</v>
      </c>
      <c r="C418" s="4" t="str">
        <f>IF(TOTALCO!C943="", "",TOTALCO!C943)</f>
        <v>STMPLT</v>
      </c>
      <c r="D418" s="12">
        <f ca="1">IF(TOTALCO!D943="", "",TOTALCO!D943)</f>
        <v>24650925.360000003</v>
      </c>
      <c r="E418" s="12" t="str">
        <f>IF(TOTALCO!E943="", "",TOTALCO!E943)</f>
        <v/>
      </c>
      <c r="F418" s="12">
        <f ca="1">IF(TOTALCO!F943="", "",TOTALCO!F943)</f>
        <v>21102859.757187854</v>
      </c>
      <c r="G418" s="12" t="str">
        <f>IF(TOTALCO!G943="", "",TOTALCO!G943)</f>
        <v/>
      </c>
      <c r="H418" s="12">
        <f ca="1">IF(TOTALCO!H943="", "",TOTALCO!H943)</f>
        <v>1283240.6616196046</v>
      </c>
      <c r="I418" s="12">
        <f ca="1">IF(TOTALCO!I943="", "",TOTALCO!I943)</f>
        <v>2264824.941192545</v>
      </c>
      <c r="J418" s="12" t="str">
        <f>IF(TOTALCO!J943="", "",TOTALCO!J943)</f>
        <v/>
      </c>
      <c r="K418" s="12" t="str">
        <f>IF(TOTALCO!K943="", "",TOTALCO!K943)</f>
        <v/>
      </c>
      <c r="L418" s="12">
        <f ca="1">IF(TOTALCO!L943="", "",TOTALCO!L943)</f>
        <v>186.5866170352663</v>
      </c>
      <c r="M418" s="12" t="str">
        <f>IF(TOTALCO!M943="", "",TOTALCO!M943)</f>
        <v/>
      </c>
      <c r="N418" s="12">
        <f ca="1">IF(TOTALCO!N943="", "",TOTALCO!N943)</f>
        <v>2264638.3545755097</v>
      </c>
      <c r="O418" s="12">
        <f ca="1">IF(TOTALCO!O943="", "",TOTALCO!O943)</f>
        <v>706624.62564663182</v>
      </c>
      <c r="P418" s="12">
        <f ca="1">IF(TOTALCO!P943="", "",TOTALCO!P943)</f>
        <v>1558013.7289288777</v>
      </c>
      <c r="Q418" s="12"/>
      <c r="R418" s="13"/>
    </row>
    <row r="419" spans="1:18" ht="15" x14ac:dyDescent="0.2">
      <c r="A419" s="382">
        <f>IF(TOTALCO!A944="", "",TOTALCO!A944)</f>
        <v>7</v>
      </c>
      <c r="B419" s="4" t="str">
        <f>IF(TOTALCO!B944="", "",TOTALCO!B944)</f>
        <v xml:space="preserve">  507 &amp; 509 - RENTS &amp; ALLOWANCE</v>
      </c>
      <c r="C419" s="4" t="str">
        <f>IF(TOTALCO!C944="", "",TOTALCO!C944)</f>
        <v>STMPLT</v>
      </c>
      <c r="D419" s="12">
        <f ca="1">IF(TOTALCO!D944="", "",TOTALCO!D944)</f>
        <v>138987.44</v>
      </c>
      <c r="E419" s="12" t="str">
        <f>IF(TOTALCO!E944="", "",TOTALCO!E944)</f>
        <v/>
      </c>
      <c r="F419" s="12">
        <f ca="1">IF(TOTALCO!F944="", "",TOTALCO!F944)</f>
        <v>118989.87597427568</v>
      </c>
      <c r="G419" s="12" t="str">
        <f>IF(TOTALCO!G944="", "",TOTALCO!G944)</f>
        <v/>
      </c>
      <c r="H419" s="12">
        <f ca="1">IF(TOTALCO!H944="", "",TOTALCO!H944)</f>
        <v>7235.6376779339353</v>
      </c>
      <c r="I419" s="12">
        <f ca="1">IF(TOTALCO!I944="", "",TOTALCO!I944)</f>
        <v>12761.926347790399</v>
      </c>
      <c r="J419" s="12" t="str">
        <f>IF(TOTALCO!J944="", "",TOTALCO!J944)</f>
        <v/>
      </c>
      <c r="K419" s="12" t="str">
        <f>IF(TOTALCO!K944="", "",TOTALCO!K944)</f>
        <v/>
      </c>
      <c r="L419" s="12">
        <f ca="1">IF(TOTALCO!L944="", "",TOTALCO!L944)</f>
        <v>1.0520810295355258</v>
      </c>
      <c r="M419" s="12" t="str">
        <f>IF(TOTALCO!M944="", "",TOTALCO!M944)</f>
        <v/>
      </c>
      <c r="N419" s="12">
        <f ca="1">IF(TOTALCO!N944="", "",TOTALCO!N944)</f>
        <v>12760.874266760864</v>
      </c>
      <c r="O419" s="12">
        <f ca="1">IF(TOTALCO!O944="", "",TOTALCO!O944)</f>
        <v>3981.7165435952497</v>
      </c>
      <c r="P419" s="12">
        <f ca="1">IF(TOTALCO!P944="", "",TOTALCO!P944)</f>
        <v>8779.1577231656138</v>
      </c>
      <c r="Q419" s="12"/>
      <c r="R419" s="13"/>
    </row>
    <row r="420" spans="1:18" ht="15" x14ac:dyDescent="0.2">
      <c r="A420" s="382">
        <f>IF(TOTALCO!A945="", "",TOTALCO!A945)</f>
        <v>8</v>
      </c>
      <c r="B420" s="4" t="str">
        <f>IF(TOTALCO!B945="", "",TOTALCO!B945)</f>
        <v xml:space="preserve">    TOTAL STEAM OPERATIONS</v>
      </c>
      <c r="C420" s="4" t="str">
        <f>IF(TOTALCO!C945="", "",TOTALCO!C945)</f>
        <v/>
      </c>
      <c r="D420" s="12">
        <f ca="1">IF(TOTALCO!D945="", "",TOTALCO!D945)</f>
        <v>540655840.93000007</v>
      </c>
      <c r="E420" s="12" t="str">
        <f>IF(TOTALCO!E945="", "",TOTALCO!E945)</f>
        <v/>
      </c>
      <c r="F420" s="12">
        <f ca="1">IF(TOTALCO!F945="", "",TOTALCO!F945)</f>
        <v>468417907.6118204</v>
      </c>
      <c r="G420" s="12" t="str">
        <f>IF(TOTALCO!G945="", "",TOTALCO!G945)</f>
        <v/>
      </c>
      <c r="H420" s="12">
        <f ca="1">IF(TOTALCO!H945="", "",TOTALCO!H945)</f>
        <v>25144554.179024845</v>
      </c>
      <c r="I420" s="12">
        <f ca="1">IF(TOTALCO!I945="", "",TOTALCO!I945)</f>
        <v>47093379.139154747</v>
      </c>
      <c r="J420" s="12" t="str">
        <f>IF(TOTALCO!J945="", "",TOTALCO!J945)</f>
        <v/>
      </c>
      <c r="K420" s="12" t="str">
        <f>IF(TOTALCO!K945="", "",TOTALCO!K945)</f>
        <v/>
      </c>
      <c r="L420" s="12">
        <f ca="1">IF(TOTALCO!L945="", "",TOTALCO!L945)</f>
        <v>2733.9716223354426</v>
      </c>
      <c r="M420" s="12" t="str">
        <f>IF(TOTALCO!M945="", "",TOTALCO!M945)</f>
        <v/>
      </c>
      <c r="N420" s="12">
        <f ca="1">IF(TOTALCO!N945="", "",TOTALCO!N945)</f>
        <v>47090645.167532414</v>
      </c>
      <c r="O420" s="12">
        <f ca="1">IF(TOTALCO!O945="", "",TOTALCO!O945)</f>
        <v>15299022.251986098</v>
      </c>
      <c r="P420" s="12">
        <f ca="1">IF(TOTALCO!P945="", "",TOTALCO!P945)</f>
        <v>31791622.91554632</v>
      </c>
      <c r="Q420" s="12"/>
      <c r="R420" s="13"/>
    </row>
    <row r="421" spans="1:18" ht="15" x14ac:dyDescent="0.2">
      <c r="A421" s="382">
        <f>IF(TOTALCO!A946="", "",TOTALCO!A946)</f>
        <v>9</v>
      </c>
      <c r="B421" s="4" t="str">
        <f>IF(TOTALCO!B946="", "",TOTALCO!B946)</f>
        <v xml:space="preserve">  510-SUPERV &amp; ENGINEERING</v>
      </c>
      <c r="C421" s="4" t="str">
        <f>IF(TOTALCO!C946="", "",TOTALCO!C946)</f>
        <v>STMPLT</v>
      </c>
      <c r="D421" s="12">
        <f ca="1">IF(TOTALCO!D946="", "",TOTALCO!D946)</f>
        <v>7698348.790000001</v>
      </c>
      <c r="E421" s="12" t="str">
        <f>IF(TOTALCO!E946="", "",TOTALCO!E946)</f>
        <v/>
      </c>
      <c r="F421" s="12">
        <f ca="1">IF(TOTALCO!F946="", "",TOTALCO!F946)</f>
        <v>6590707.5324850595</v>
      </c>
      <c r="G421" s="12" t="str">
        <f>IF(TOTALCO!G946="", "",TOTALCO!G946)</f>
        <v/>
      </c>
      <c r="H421" s="12">
        <f ca="1">IF(TOTALCO!H946="", "",TOTALCO!H946)</f>
        <v>400773.35450455896</v>
      </c>
      <c r="I421" s="12">
        <f ca="1">IF(TOTALCO!I946="", "",TOTALCO!I946)</f>
        <v>706867.90301038232</v>
      </c>
      <c r="J421" s="12" t="str">
        <f>IF(TOTALCO!J946="", "",TOTALCO!J946)</f>
        <v/>
      </c>
      <c r="K421" s="12" t="str">
        <f>IF(TOTALCO!K946="", "",TOTALCO!K946)</f>
        <v/>
      </c>
      <c r="L421" s="12">
        <f ca="1">IF(TOTALCO!L946="", "",TOTALCO!L946)</f>
        <v>58.273515367336564</v>
      </c>
      <c r="M421" s="12" t="str">
        <f>IF(TOTALCO!M946="", "",TOTALCO!M946)</f>
        <v/>
      </c>
      <c r="N421" s="12">
        <f ca="1">IF(TOTALCO!N946="", "",TOTALCO!N946)</f>
        <v>706809.62949501502</v>
      </c>
      <c r="O421" s="12">
        <f ca="1">IF(TOTALCO!O946="", "",TOTALCO!O946)</f>
        <v>220542.53776822909</v>
      </c>
      <c r="P421" s="12">
        <f ca="1">IF(TOTALCO!P946="", "",TOTALCO!P946)</f>
        <v>486267.09172678593</v>
      </c>
      <c r="Q421" s="12"/>
      <c r="R421" s="13"/>
    </row>
    <row r="422" spans="1:18" ht="15" x14ac:dyDescent="0.2">
      <c r="A422" s="382">
        <f>IF(TOTALCO!A947="", "",TOTALCO!A947)</f>
        <v>10</v>
      </c>
      <c r="B422" s="4" t="str">
        <f>IF(TOTALCO!B947="", "",TOTALCO!B947)</f>
        <v xml:space="preserve">  511-STRUCTURES</v>
      </c>
      <c r="C422" s="4" t="str">
        <f>IF(TOTALCO!C947="", "",TOTALCO!C947)</f>
        <v>STMPLT</v>
      </c>
      <c r="D422" s="12">
        <f ca="1">IF(TOTALCO!D947="", "",TOTALCO!D947)</f>
        <v>5922842.7300000023</v>
      </c>
      <c r="E422" s="12" t="str">
        <f>IF(TOTALCO!E947="", "",TOTALCO!E947)</f>
        <v/>
      </c>
      <c r="F422" s="12">
        <f ca="1">IF(TOTALCO!F947="", "",TOTALCO!F947)</f>
        <v>5063204.9561473373</v>
      </c>
      <c r="G422" s="12" t="str">
        <f>IF(TOTALCO!G947="", "",TOTALCO!G947)</f>
        <v/>
      </c>
      <c r="H422" s="12">
        <f ca="1">IF(TOTALCO!H947="", "",TOTALCO!H947)</f>
        <v>307887.67743334494</v>
      </c>
      <c r="I422" s="12">
        <f ca="1">IF(TOTALCO!I947="", "",TOTALCO!I947)</f>
        <v>551750.09641931998</v>
      </c>
      <c r="J422" s="12" t="str">
        <f>IF(TOTALCO!J947="", "",TOTALCO!J947)</f>
        <v/>
      </c>
      <c r="K422" s="12" t="str">
        <f>IF(TOTALCO!K947="", "",TOTALCO!K947)</f>
        <v/>
      </c>
      <c r="L422" s="12">
        <f ca="1">IF(TOTALCO!L947="", "",TOTALCO!L947)</f>
        <v>44.767690018976786</v>
      </c>
      <c r="M422" s="12" t="str">
        <f>IF(TOTALCO!M947="", "",TOTALCO!M947)</f>
        <v/>
      </c>
      <c r="N422" s="12">
        <f ca="1">IF(TOTALCO!N947="", "",TOTALCO!N947)</f>
        <v>551705.32872930099</v>
      </c>
      <c r="O422" s="12">
        <f ca="1">IF(TOTALCO!O947="", "",TOTALCO!O947)</f>
        <v>172146.0605809039</v>
      </c>
      <c r="P422" s="12">
        <f ca="1">IF(TOTALCO!P947="", "",TOTALCO!P947)</f>
        <v>379559.2681483971</v>
      </c>
      <c r="Q422" s="12"/>
      <c r="R422" s="13"/>
    </row>
    <row r="423" spans="1:18" ht="15" x14ac:dyDescent="0.2">
      <c r="A423" s="382">
        <f>IF(TOTALCO!A948="", "",TOTALCO!A948)</f>
        <v>11</v>
      </c>
      <c r="B423" s="4" t="str">
        <f>IF(TOTALCO!B948="", "",TOTALCO!B948)</f>
        <v xml:space="preserve">  512-BOILER PLANT</v>
      </c>
      <c r="C423" s="4" t="str">
        <f>IF(TOTALCO!C948="", "",TOTALCO!C948)</f>
        <v>ENERGY</v>
      </c>
      <c r="D423" s="12">
        <f ca="1">IF(TOTALCO!D948="", "",TOTALCO!D948)</f>
        <v>40474320.019999996</v>
      </c>
      <c r="E423" s="12" t="str">
        <f>IF(TOTALCO!E948="", "",TOTALCO!E948)</f>
        <v/>
      </c>
      <c r="F423" s="12">
        <f ca="1">IF(TOTALCO!F948="", "",TOTALCO!F948)</f>
        <v>34867058.443101168</v>
      </c>
      <c r="G423" s="12" t="str">
        <f>IF(TOTALCO!G948="", "",TOTALCO!G948)</f>
        <v/>
      </c>
      <c r="H423" s="12">
        <f ca="1">IF(TOTALCO!H948="", "",TOTALCO!H948)</f>
        <v>1843574.066425557</v>
      </c>
      <c r="I423" s="12">
        <f ca="1">IF(TOTALCO!I948="", "",TOTALCO!I948)</f>
        <v>3763687.5104732723</v>
      </c>
      <c r="J423" s="12" t="str">
        <f>IF(TOTALCO!J948="", "",TOTALCO!J948)</f>
        <v/>
      </c>
      <c r="K423" s="12" t="str">
        <f>IF(TOTALCO!K948="", "",TOTALCO!K948)</f>
        <v/>
      </c>
      <c r="L423" s="12">
        <f ca="1">IF(TOTALCO!L948="", "",TOTALCO!L948)</f>
        <v>191.6683444248504</v>
      </c>
      <c r="M423" s="12" t="str">
        <f>IF(TOTALCO!M948="", "",TOTALCO!M948)</f>
        <v/>
      </c>
      <c r="N423" s="12">
        <f ca="1">IF(TOTALCO!N948="", "",TOTALCO!N948)</f>
        <v>3763495.8421288473</v>
      </c>
      <c r="O423" s="12">
        <f ca="1">IF(TOTALCO!O948="", "",TOTALCO!O948)</f>
        <v>1228580.2777211578</v>
      </c>
      <c r="P423" s="12">
        <f ca="1">IF(TOTALCO!P948="", "",TOTALCO!P948)</f>
        <v>2534915.5644076895</v>
      </c>
      <c r="Q423" s="12"/>
      <c r="R423" s="13"/>
    </row>
    <row r="424" spans="1:18" ht="15" x14ac:dyDescent="0.2">
      <c r="A424" s="382">
        <f>IF(TOTALCO!A949="", "",TOTALCO!A949)</f>
        <v>12</v>
      </c>
      <c r="B424" s="4" t="str">
        <f>IF(TOTALCO!B949="", "",TOTALCO!B949)</f>
        <v xml:space="preserve">  513-ELECTRIC PLANT</v>
      </c>
      <c r="C424" s="4" t="str">
        <f>IF(TOTALCO!C949="", "",TOTALCO!C949)</f>
        <v>ENERGY</v>
      </c>
      <c r="D424" s="12">
        <f ca="1">IF(TOTALCO!D949="", "",TOTALCO!D949)</f>
        <v>12821462.059999999</v>
      </c>
      <c r="E424" s="12" t="str">
        <f>IF(TOTALCO!E949="", "",TOTALCO!E949)</f>
        <v/>
      </c>
      <c r="F424" s="12">
        <f ca="1">IF(TOTALCO!F949="", "",TOTALCO!F949)</f>
        <v>11091400.681673247</v>
      </c>
      <c r="G424" s="12" t="str">
        <f>IF(TOTALCO!G949="", "",TOTALCO!G949)</f>
        <v/>
      </c>
      <c r="H424" s="12">
        <f ca="1">IF(TOTALCO!H949="", "",TOTALCO!H949)</f>
        <v>586450.92445741931</v>
      </c>
      <c r="I424" s="12">
        <f ca="1">IF(TOTALCO!I949="", "",TOTALCO!I949)</f>
        <v>1143610.4538693323</v>
      </c>
      <c r="J424" s="12" t="str">
        <f>IF(TOTALCO!J949="", "",TOTALCO!J949)</f>
        <v/>
      </c>
      <c r="K424" s="12" t="str">
        <f>IF(TOTALCO!K949="", "",TOTALCO!K949)</f>
        <v/>
      </c>
      <c r="L424" s="12">
        <f ca="1">IF(TOTALCO!L949="", "",TOTALCO!L949)</f>
        <v>60.970741465848988</v>
      </c>
      <c r="M424" s="12" t="str">
        <f>IF(TOTALCO!M949="", "",TOTALCO!M949)</f>
        <v/>
      </c>
      <c r="N424" s="12">
        <f ca="1">IF(TOTALCO!N949="", "",TOTALCO!N949)</f>
        <v>1143549.4831278664</v>
      </c>
      <c r="O424" s="12">
        <f ca="1">IF(TOTALCO!O949="", "",TOTALCO!O949)</f>
        <v>373307.79692702019</v>
      </c>
      <c r="P424" s="12">
        <f ca="1">IF(TOTALCO!P949="", "",TOTALCO!P949)</f>
        <v>770241.68620084634</v>
      </c>
      <c r="Q424" s="12"/>
      <c r="R424" s="13"/>
    </row>
    <row r="425" spans="1:18" ht="15" x14ac:dyDescent="0.2">
      <c r="A425" s="382">
        <f>IF(TOTALCO!A950="", "",TOTALCO!A950)</f>
        <v>13</v>
      </c>
      <c r="B425" s="4" t="str">
        <f>IF(TOTALCO!B950="", "",TOTALCO!B950)</f>
        <v xml:space="preserve">  514-MISC STEAM PLANT</v>
      </c>
      <c r="C425" s="4" t="str">
        <f>IF(TOTALCO!C950="", "",TOTALCO!C950)</f>
        <v>STMPLT</v>
      </c>
      <c r="D425" s="12">
        <f ca="1">IF(TOTALCO!D950="", "",TOTALCO!D950)</f>
        <v>2252600.2700000005</v>
      </c>
      <c r="E425" s="12" t="str">
        <f>IF(TOTALCO!E950="", "",TOTALCO!E950)</f>
        <v/>
      </c>
      <c r="F425" s="12">
        <f ca="1">IF(TOTALCO!F950="", "",TOTALCO!F950)</f>
        <v>1928065.1053386126</v>
      </c>
      <c r="G425" s="12" t="str">
        <f>IF(TOTALCO!G950="", "",TOTALCO!G950)</f>
        <v/>
      </c>
      <c r="H425" s="12">
        <f ca="1">IF(TOTALCO!H950="", "",TOTALCO!H950)</f>
        <v>117243.42434572951</v>
      </c>
      <c r="I425" s="12">
        <f ca="1">IF(TOTALCO!I950="", "",TOTALCO!I950)</f>
        <v>207291.7403156583</v>
      </c>
      <c r="J425" s="12" t="str">
        <f>IF(TOTALCO!J950="", "",TOTALCO!J950)</f>
        <v/>
      </c>
      <c r="K425" s="12" t="str">
        <f>IF(TOTALCO!K950="", "",TOTALCO!K950)</f>
        <v/>
      </c>
      <c r="L425" s="12">
        <f ca="1">IF(TOTALCO!L950="", "",TOTALCO!L950)</f>
        <v>17.047506810366833</v>
      </c>
      <c r="M425" s="12" t="str">
        <f>IF(TOTALCO!M950="", "",TOTALCO!M950)</f>
        <v/>
      </c>
      <c r="N425" s="12">
        <f ca="1">IF(TOTALCO!N950="", "",TOTALCO!N950)</f>
        <v>207274.69280884793</v>
      </c>
      <c r="O425" s="12">
        <f ca="1">IF(TOTALCO!O950="", "",TOTALCO!O950)</f>
        <v>64674.963186131623</v>
      </c>
      <c r="P425" s="12">
        <f ca="1">IF(TOTALCO!P950="", "",TOTALCO!P950)</f>
        <v>142599.72962271632</v>
      </c>
      <c r="Q425" s="12"/>
      <c r="R425" s="13"/>
    </row>
    <row r="426" spans="1:18" ht="15" x14ac:dyDescent="0.2">
      <c r="A426" s="382">
        <f>IF(TOTALCO!A951="", "",TOTALCO!A951)</f>
        <v>14</v>
      </c>
      <c r="B426" s="4" t="str">
        <f>IF(TOTALCO!B951="", "",TOTALCO!B951)</f>
        <v xml:space="preserve">    TOTAL STEAM MAINTENANCE</v>
      </c>
      <c r="C426" s="4" t="str">
        <f>IF(TOTALCO!C951="", "",TOTALCO!C951)</f>
        <v/>
      </c>
      <c r="D426" s="12">
        <f ca="1">IF(TOTALCO!D951="", "",TOTALCO!D951)</f>
        <v>69169573.86999999</v>
      </c>
      <c r="E426" s="12" t="str">
        <f>IF(TOTALCO!E951="", "",TOTALCO!E951)</f>
        <v/>
      </c>
      <c r="F426" s="12">
        <f ca="1">IF(TOTALCO!F951="", "",TOTALCO!F951)</f>
        <v>59540436.718745418</v>
      </c>
      <c r="G426" s="12" t="str">
        <f>IF(TOTALCO!G951="", "",TOTALCO!G951)</f>
        <v/>
      </c>
      <c r="H426" s="12">
        <f ca="1">IF(TOTALCO!H951="", "",TOTALCO!H951)</f>
        <v>3255929.4471666096</v>
      </c>
      <c r="I426" s="12">
        <f ca="1">IF(TOTALCO!I951="", "",TOTALCO!I951)</f>
        <v>6373207.7040879652</v>
      </c>
      <c r="J426" s="12" t="str">
        <f>IF(TOTALCO!J951="", "",TOTALCO!J951)</f>
        <v/>
      </c>
      <c r="K426" s="12" t="str">
        <f>IF(TOTALCO!K951="", "",TOTALCO!K951)</f>
        <v/>
      </c>
      <c r="L426" s="12">
        <f ca="1">IF(TOTALCO!L951="", "",TOTALCO!L951)</f>
        <v>372.7277980873796</v>
      </c>
      <c r="M426" s="12" t="str">
        <f>IF(TOTALCO!M951="", "",TOTALCO!M951)</f>
        <v/>
      </c>
      <c r="N426" s="12">
        <f ca="1">IF(TOTALCO!N951="", "",TOTALCO!N951)</f>
        <v>6372834.9762898777</v>
      </c>
      <c r="O426" s="12">
        <f ca="1">IF(TOTALCO!O951="", "",TOTALCO!O951)</f>
        <v>2059251.6361834425</v>
      </c>
      <c r="P426" s="12">
        <f ca="1">IF(TOTALCO!P951="", "",TOTALCO!P951)</f>
        <v>4313583.3401064351</v>
      </c>
      <c r="Q426" s="12"/>
      <c r="R426" s="13"/>
    </row>
    <row r="427" spans="1:18" ht="15" x14ac:dyDescent="0.2">
      <c r="A427" s="382" t="str">
        <f>IF(TOTALCO!A952="", "",TOTALCO!A952)</f>
        <v/>
      </c>
      <c r="B427" s="4" t="str">
        <f>IF(TOTALCO!B952="", "",TOTALCO!B952)</f>
        <v/>
      </c>
      <c r="C427" s="4" t="str">
        <f>IF(TOTALCO!C952="", "",TOTALCO!C952)</f>
        <v/>
      </c>
      <c r="D427" s="12" t="str">
        <f>IF(TOTALCO!D952="", "",TOTALCO!D952)</f>
        <v/>
      </c>
      <c r="E427" s="12" t="str">
        <f>IF(TOTALCO!E952="", "",TOTALCO!E952)</f>
        <v/>
      </c>
      <c r="F427" s="12" t="str">
        <f>IF(TOTALCO!F952="", "",TOTALCO!F952)</f>
        <v/>
      </c>
      <c r="G427" s="12" t="str">
        <f>IF(TOTALCO!G952="", "",TOTALCO!G952)</f>
        <v/>
      </c>
      <c r="H427" s="12" t="str">
        <f>IF(TOTALCO!H952="", "",TOTALCO!H952)</f>
        <v/>
      </c>
      <c r="I427" s="12" t="str">
        <f>IF(TOTALCO!I952="", "",TOTALCO!I952)</f>
        <v/>
      </c>
      <c r="J427" s="12" t="str">
        <f>IF(TOTALCO!J952="", "",TOTALCO!J952)</f>
        <v/>
      </c>
      <c r="K427" s="12" t="str">
        <f>IF(TOTALCO!K952="", "",TOTALCO!K952)</f>
        <v/>
      </c>
      <c r="L427" s="12" t="str">
        <f>IF(TOTALCO!L952="", "",TOTALCO!L952)</f>
        <v/>
      </c>
      <c r="M427" s="12" t="str">
        <f>IF(TOTALCO!M952="", "",TOTALCO!M952)</f>
        <v/>
      </c>
      <c r="N427" s="12" t="str">
        <f>IF(TOTALCO!N952="", "",TOTALCO!N952)</f>
        <v/>
      </c>
      <c r="O427" s="12" t="str">
        <f>IF(TOTALCO!O952="", "",TOTALCO!O952)</f>
        <v/>
      </c>
      <c r="P427" s="12" t="str">
        <f>IF(TOTALCO!P952="", "",TOTALCO!P952)</f>
        <v/>
      </c>
      <c r="Q427" s="12"/>
      <c r="R427" s="13"/>
    </row>
    <row r="428" spans="1:18" ht="15" x14ac:dyDescent="0.2">
      <c r="A428" s="382">
        <f>IF(TOTALCO!A953="", "",TOTALCO!A953)</f>
        <v>15</v>
      </c>
      <c r="B428" s="4" t="str">
        <f>IF(TOTALCO!B953="", "",TOTALCO!B953)</f>
        <v>TOTAL STEAM GENERATION</v>
      </c>
      <c r="C428" s="4" t="str">
        <f>IF(TOTALCO!C953="", "",TOTALCO!C953)</f>
        <v/>
      </c>
      <c r="D428" s="12">
        <f ca="1">IF(TOTALCO!D953="", "",TOTALCO!D953)</f>
        <v>609825414.80000007</v>
      </c>
      <c r="E428" s="12" t="str">
        <f>IF(TOTALCO!E953="", "",TOTALCO!E953)</f>
        <v/>
      </c>
      <c r="F428" s="12">
        <f ca="1">IF(TOTALCO!F953="", "",TOTALCO!F953)</f>
        <v>527958344.33056581</v>
      </c>
      <c r="G428" s="12" t="str">
        <f>IF(TOTALCO!G953="", "",TOTALCO!G953)</f>
        <v/>
      </c>
      <c r="H428" s="12">
        <f ca="1">IF(TOTALCO!H953="", "",TOTALCO!H953)</f>
        <v>28400483.626191456</v>
      </c>
      <c r="I428" s="12">
        <f ca="1">IF(TOTALCO!I953="", "",TOTALCO!I953)</f>
        <v>53466586.84324272</v>
      </c>
      <c r="J428" s="12" t="str">
        <f>IF(TOTALCO!J953="", "",TOTALCO!J953)</f>
        <v/>
      </c>
      <c r="K428" s="12" t="str">
        <f>IF(TOTALCO!K953="", "",TOTALCO!K953)</f>
        <v/>
      </c>
      <c r="L428" s="12">
        <f ca="1">IF(TOTALCO!L953="", "",TOTALCO!L953)</f>
        <v>3106.6994204228222</v>
      </c>
      <c r="M428" s="12" t="str">
        <f>IF(TOTALCO!M953="", "",TOTALCO!M953)</f>
        <v/>
      </c>
      <c r="N428" s="12">
        <f ca="1">IF(TOTALCO!N953="", "",TOTALCO!N953)</f>
        <v>53463480.143822297</v>
      </c>
      <c r="O428" s="12">
        <f ca="1">IF(TOTALCO!O953="", "",TOTALCO!O953)</f>
        <v>17358273.888169542</v>
      </c>
      <c r="P428" s="12">
        <f ca="1">IF(TOTALCO!P953="", "",TOTALCO!P953)</f>
        <v>36105206.255652755</v>
      </c>
      <c r="Q428" s="12"/>
      <c r="R428" s="13"/>
    </row>
    <row r="429" spans="1:18" ht="15" x14ac:dyDescent="0.2">
      <c r="A429" s="382" t="str">
        <f>IF(TOTALCO!A954="", "",TOTALCO!A954)</f>
        <v/>
      </c>
      <c r="B429" s="4" t="str">
        <f>IF(TOTALCO!B954="", "",TOTALCO!B954)</f>
        <v/>
      </c>
      <c r="C429" s="4" t="str">
        <f>IF(TOTALCO!C954="", "",TOTALCO!C954)</f>
        <v/>
      </c>
      <c r="D429" s="12" t="str">
        <f>IF(TOTALCO!D954="", "",TOTALCO!D954)</f>
        <v/>
      </c>
      <c r="E429" s="12" t="str">
        <f>IF(TOTALCO!E954="", "",TOTALCO!E954)</f>
        <v/>
      </c>
      <c r="F429" s="12" t="str">
        <f>IF(TOTALCO!F954="", "",TOTALCO!F954)</f>
        <v/>
      </c>
      <c r="G429" s="12" t="str">
        <f>IF(TOTALCO!G954="", "",TOTALCO!G954)</f>
        <v/>
      </c>
      <c r="H429" s="12" t="str">
        <f>IF(TOTALCO!H954="", "",TOTALCO!H954)</f>
        <v/>
      </c>
      <c r="I429" s="12" t="str">
        <f>IF(TOTALCO!I954="", "",TOTALCO!I954)</f>
        <v/>
      </c>
      <c r="J429" s="12" t="str">
        <f>IF(TOTALCO!J954="", "",TOTALCO!J954)</f>
        <v/>
      </c>
      <c r="K429" s="12" t="str">
        <f>IF(TOTALCO!K954="", "",TOTALCO!K954)</f>
        <v/>
      </c>
      <c r="L429" s="12" t="str">
        <f>IF(TOTALCO!L954="", "",TOTALCO!L954)</f>
        <v/>
      </c>
      <c r="M429" s="12" t="str">
        <f>IF(TOTALCO!M954="", "",TOTALCO!M954)</f>
        <v/>
      </c>
      <c r="N429" s="12" t="str">
        <f>IF(TOTALCO!N954="", "",TOTALCO!N954)</f>
        <v/>
      </c>
      <c r="O429" s="12" t="str">
        <f>IF(TOTALCO!O954="", "",TOTALCO!O954)</f>
        <v/>
      </c>
      <c r="P429" s="12" t="str">
        <f>IF(TOTALCO!P954="", "",TOTALCO!P954)</f>
        <v/>
      </c>
      <c r="Q429" s="12"/>
      <c r="R429" s="13"/>
    </row>
    <row r="430" spans="1:18" ht="15" x14ac:dyDescent="0.2">
      <c r="A430" s="382" t="str">
        <f>IF(TOTALCO!A955="", "",TOTALCO!A955)</f>
        <v/>
      </c>
      <c r="B430" s="4" t="str">
        <f>IF(TOTALCO!B955="", "",TOTALCO!B955)</f>
        <v>PRODUCTION EXPENSE-HYDRO</v>
      </c>
      <c r="C430" s="4" t="str">
        <f>IF(TOTALCO!C955="", "",TOTALCO!C955)</f>
        <v/>
      </c>
      <c r="D430" s="12" t="str">
        <f>IF(TOTALCO!D955="", "",TOTALCO!D955)</f>
        <v/>
      </c>
      <c r="E430" s="12" t="str">
        <f>IF(TOTALCO!E955="", "",TOTALCO!E955)</f>
        <v/>
      </c>
      <c r="F430" s="12" t="str">
        <f>IF(TOTALCO!F955="", "",TOTALCO!F955)</f>
        <v/>
      </c>
      <c r="G430" s="12" t="str">
        <f>IF(TOTALCO!G955="", "",TOTALCO!G955)</f>
        <v/>
      </c>
      <c r="H430" s="12" t="str">
        <f>IF(TOTALCO!H955="", "",TOTALCO!H955)</f>
        <v/>
      </c>
      <c r="I430" s="12" t="str">
        <f>IF(TOTALCO!I955="", "",TOTALCO!I955)</f>
        <v/>
      </c>
      <c r="J430" s="12" t="str">
        <f>IF(TOTALCO!J955="", "",TOTALCO!J955)</f>
        <v/>
      </c>
      <c r="K430" s="12" t="str">
        <f>IF(TOTALCO!K955="", "",TOTALCO!K955)</f>
        <v/>
      </c>
      <c r="L430" s="12" t="str">
        <f>IF(TOTALCO!L955="", "",TOTALCO!L955)</f>
        <v/>
      </c>
      <c r="M430" s="12" t="str">
        <f>IF(TOTALCO!M955="", "",TOTALCO!M955)</f>
        <v/>
      </c>
      <c r="N430" s="12" t="str">
        <f>IF(TOTALCO!N955="", "",TOTALCO!N955)</f>
        <v/>
      </c>
      <c r="O430" s="12" t="str">
        <f>IF(TOTALCO!O955="", "",TOTALCO!O955)</f>
        <v/>
      </c>
      <c r="P430" s="12" t="str">
        <f>IF(TOTALCO!P955="", "",TOTALCO!P955)</f>
        <v/>
      </c>
      <c r="Q430" s="12"/>
      <c r="R430" s="13"/>
    </row>
    <row r="431" spans="1:18" ht="15" x14ac:dyDescent="0.2">
      <c r="A431" s="382">
        <f>IF(TOTALCO!A956="", "",TOTALCO!A956)</f>
        <v>16</v>
      </c>
      <c r="B431" s="4" t="str">
        <f>IF(TOTALCO!B956="", "",TOTALCO!B956)</f>
        <v xml:space="preserve">  535-SUPERV &amp; ENGINEERING</v>
      </c>
      <c r="C431" s="4" t="str">
        <f>IF(TOTALCO!C956="", "",TOTALCO!C956)</f>
        <v>HYDPLT</v>
      </c>
      <c r="D431" s="12">
        <f ca="1">IF(TOTALCO!D956="", "",TOTALCO!D956)</f>
        <v>7943.9700000000012</v>
      </c>
      <c r="E431" s="12" t="str">
        <f>IF(TOTALCO!E956="", "",TOTALCO!E956)</f>
        <v/>
      </c>
      <c r="F431" s="12">
        <f ca="1">IF(TOTALCO!F956="", "",TOTALCO!F956)</f>
        <v>6861.0856980262906</v>
      </c>
      <c r="G431" s="12" t="str">
        <f>IF(TOTALCO!G956="", "",TOTALCO!G956)</f>
        <v/>
      </c>
      <c r="H431" s="12">
        <f ca="1">IF(TOTALCO!H956="", "",TOTALCO!H956)</f>
        <v>403.0167986841733</v>
      </c>
      <c r="I431" s="12">
        <f ca="1">IF(TOTALCO!I956="", "",TOTALCO!I956)</f>
        <v>679.86750328953735</v>
      </c>
      <c r="J431" s="12" t="str">
        <f>IF(TOTALCO!J956="", "",TOTALCO!J956)</f>
        <v/>
      </c>
      <c r="K431" s="12" t="str">
        <f>IF(TOTALCO!K956="", "",TOTALCO!K956)</f>
        <v/>
      </c>
      <c r="L431" s="12">
        <f ca="1">IF(TOTALCO!L956="", "",TOTALCO!L956)</f>
        <v>6.0664136724300113E-2</v>
      </c>
      <c r="M431" s="12" t="str">
        <f>IF(TOTALCO!M956="", "",TOTALCO!M956)</f>
        <v/>
      </c>
      <c r="N431" s="12">
        <f ca="1">IF(TOTALCO!N956="", "",TOTALCO!N956)</f>
        <v>679.80683915281304</v>
      </c>
      <c r="O431" s="12">
        <f ca="1">IF(TOTALCO!O956="", "",TOTALCO!O956)</f>
        <v>212.11698205933553</v>
      </c>
      <c r="P431" s="12">
        <f ca="1">IF(TOTALCO!P956="", "",TOTALCO!P956)</f>
        <v>467.68985709347749</v>
      </c>
      <c r="Q431" s="12"/>
      <c r="R431" s="13"/>
    </row>
    <row r="432" spans="1:18" ht="15" x14ac:dyDescent="0.2">
      <c r="A432" s="382">
        <f>IF(TOTALCO!A957="", "",TOTALCO!A957)</f>
        <v>17</v>
      </c>
      <c r="B432" s="4" t="str">
        <f>IF(TOTALCO!B957="", "",TOTALCO!B957)</f>
        <v xml:space="preserve">  536-WATER FOR POWER</v>
      </c>
      <c r="C432" s="4" t="str">
        <f>IF(TOTALCO!C957="", "",TOTALCO!C957)</f>
        <v>HYDPLT</v>
      </c>
      <c r="D432" s="12">
        <f ca="1">IF(TOTALCO!D957="", "",TOTALCO!D957)</f>
        <v>0</v>
      </c>
      <c r="E432" s="12" t="str">
        <f>IF(TOTALCO!E957="", "",TOTALCO!E957)</f>
        <v/>
      </c>
      <c r="F432" s="12">
        <f ca="1">IF(TOTALCO!F957="", "",TOTALCO!F957)</f>
        <v>0</v>
      </c>
      <c r="G432" s="12" t="str">
        <f>IF(TOTALCO!G957="", "",TOTALCO!G957)</f>
        <v/>
      </c>
      <c r="H432" s="12">
        <f ca="1">IF(TOTALCO!H957="", "",TOTALCO!H957)</f>
        <v>0</v>
      </c>
      <c r="I432" s="12">
        <f ca="1">IF(TOTALCO!I957="", "",TOTALCO!I957)</f>
        <v>0</v>
      </c>
      <c r="J432" s="12" t="str">
        <f>IF(TOTALCO!J957="", "",TOTALCO!J957)</f>
        <v/>
      </c>
      <c r="K432" s="12" t="str">
        <f>IF(TOTALCO!K957="", "",TOTALCO!K957)</f>
        <v/>
      </c>
      <c r="L432" s="12">
        <f ca="1">IF(TOTALCO!L957="", "",TOTALCO!L957)</f>
        <v>0</v>
      </c>
      <c r="M432" s="12" t="str">
        <f>IF(TOTALCO!M957="", "",TOTALCO!M957)</f>
        <v/>
      </c>
      <c r="N432" s="12">
        <f ca="1">IF(TOTALCO!N957="", "",TOTALCO!N957)</f>
        <v>0</v>
      </c>
      <c r="O432" s="12">
        <f ca="1">IF(TOTALCO!O957="", "",TOTALCO!O957)</f>
        <v>0</v>
      </c>
      <c r="P432" s="12">
        <f ca="1">IF(TOTALCO!P957="", "",TOTALCO!P957)</f>
        <v>0</v>
      </c>
      <c r="Q432" s="12"/>
      <c r="R432" s="13"/>
    </row>
    <row r="433" spans="1:18" ht="15" x14ac:dyDescent="0.2">
      <c r="A433" s="382">
        <f>IF(TOTALCO!A958="", "",TOTALCO!A958)</f>
        <v>18</v>
      </c>
      <c r="B433" s="4" t="str">
        <f>IF(TOTALCO!B958="", "",TOTALCO!B958)</f>
        <v xml:space="preserve">  537-HYDRAULIC EXPENSES</v>
      </c>
      <c r="C433" s="4" t="str">
        <f>IF(TOTALCO!C958="", "",TOTALCO!C958)</f>
        <v>HYDPLT</v>
      </c>
      <c r="D433" s="12">
        <f ca="1">IF(TOTALCO!D958="", "",TOTALCO!D958)</f>
        <v>0</v>
      </c>
      <c r="E433" s="12" t="str">
        <f>IF(TOTALCO!E958="", "",TOTALCO!E958)</f>
        <v/>
      </c>
      <c r="F433" s="12">
        <f ca="1">IF(TOTALCO!F958="", "",TOTALCO!F958)</f>
        <v>0</v>
      </c>
      <c r="G433" s="12" t="str">
        <f>IF(TOTALCO!G958="", "",TOTALCO!G958)</f>
        <v/>
      </c>
      <c r="H433" s="12">
        <f ca="1">IF(TOTALCO!H958="", "",TOTALCO!H958)</f>
        <v>0</v>
      </c>
      <c r="I433" s="12">
        <f ca="1">IF(TOTALCO!I958="", "",TOTALCO!I958)</f>
        <v>0</v>
      </c>
      <c r="J433" s="12" t="str">
        <f>IF(TOTALCO!J958="", "",TOTALCO!J958)</f>
        <v/>
      </c>
      <c r="K433" s="12" t="str">
        <f>IF(TOTALCO!K958="", "",TOTALCO!K958)</f>
        <v/>
      </c>
      <c r="L433" s="12">
        <f ca="1">IF(TOTALCO!L958="", "",TOTALCO!L958)</f>
        <v>0</v>
      </c>
      <c r="M433" s="12" t="str">
        <f>IF(TOTALCO!M958="", "",TOTALCO!M958)</f>
        <v/>
      </c>
      <c r="N433" s="12">
        <f ca="1">IF(TOTALCO!N958="", "",TOTALCO!N958)</f>
        <v>0</v>
      </c>
      <c r="O433" s="12">
        <f ca="1">IF(TOTALCO!O958="", "",TOTALCO!O958)</f>
        <v>0</v>
      </c>
      <c r="P433" s="12">
        <f ca="1">IF(TOTALCO!P958="", "",TOTALCO!P958)</f>
        <v>0</v>
      </c>
      <c r="Q433" s="12"/>
      <c r="R433" s="13"/>
    </row>
    <row r="434" spans="1:18" ht="15" x14ac:dyDescent="0.2">
      <c r="A434" s="382">
        <f>IF(TOTALCO!A959="", "",TOTALCO!A959)</f>
        <v>19</v>
      </c>
      <c r="B434" s="4" t="str">
        <f>IF(TOTALCO!B959="", "",TOTALCO!B959)</f>
        <v xml:space="preserve">  538-ELECTRIC EXPENSES</v>
      </c>
      <c r="C434" s="4" t="str">
        <f>IF(TOTALCO!C959="", "",TOTALCO!C959)</f>
        <v>HYDPLT</v>
      </c>
      <c r="D434" s="12">
        <f ca="1">IF(TOTALCO!D959="", "",TOTALCO!D959)</f>
        <v>0</v>
      </c>
      <c r="E434" s="12" t="str">
        <f>IF(TOTALCO!E959="", "",TOTALCO!E959)</f>
        <v/>
      </c>
      <c r="F434" s="12">
        <f ca="1">IF(TOTALCO!F959="", "",TOTALCO!F959)</f>
        <v>0</v>
      </c>
      <c r="G434" s="12" t="str">
        <f>IF(TOTALCO!G959="", "",TOTALCO!G959)</f>
        <v/>
      </c>
      <c r="H434" s="12">
        <f ca="1">IF(TOTALCO!H959="", "",TOTALCO!H959)</f>
        <v>0</v>
      </c>
      <c r="I434" s="12">
        <f ca="1">IF(TOTALCO!I959="", "",TOTALCO!I959)</f>
        <v>0</v>
      </c>
      <c r="J434" s="12" t="str">
        <f>IF(TOTALCO!J959="", "",TOTALCO!J959)</f>
        <v/>
      </c>
      <c r="K434" s="12" t="str">
        <f>IF(TOTALCO!K959="", "",TOTALCO!K959)</f>
        <v/>
      </c>
      <c r="L434" s="12">
        <f ca="1">IF(TOTALCO!L959="", "",TOTALCO!L959)</f>
        <v>0</v>
      </c>
      <c r="M434" s="12" t="str">
        <f>IF(TOTALCO!M959="", "",TOTALCO!M959)</f>
        <v/>
      </c>
      <c r="N434" s="12">
        <f ca="1">IF(TOTALCO!N959="", "",TOTALCO!N959)</f>
        <v>0</v>
      </c>
      <c r="O434" s="12">
        <f ca="1">IF(TOTALCO!O959="", "",TOTALCO!O959)</f>
        <v>0</v>
      </c>
      <c r="P434" s="12">
        <f ca="1">IF(TOTALCO!P959="", "",TOTALCO!P959)</f>
        <v>0</v>
      </c>
      <c r="Q434" s="12"/>
      <c r="R434" s="13"/>
    </row>
    <row r="435" spans="1:18" ht="15" x14ac:dyDescent="0.2">
      <c r="A435" s="382">
        <f>IF(TOTALCO!A960="", "",TOTALCO!A960)</f>
        <v>20</v>
      </c>
      <c r="B435" s="4" t="str">
        <f>IF(TOTALCO!B960="", "",TOTALCO!B960)</f>
        <v xml:space="preserve">  539-MISC HYDR POWER GENER</v>
      </c>
      <c r="C435" s="4" t="str">
        <f>IF(TOTALCO!C960="", "",TOTALCO!C960)</f>
        <v>HYDPLT</v>
      </c>
      <c r="D435" s="12">
        <f ca="1">IF(TOTALCO!D960="", "",TOTALCO!D960)</f>
        <v>44637.38</v>
      </c>
      <c r="E435" s="12" t="str">
        <f>IF(TOTALCO!E960="", "",TOTALCO!E960)</f>
        <v/>
      </c>
      <c r="F435" s="12">
        <f ca="1">IF(TOTALCO!F960="", "",TOTALCO!F960)</f>
        <v>38552.624130675809</v>
      </c>
      <c r="G435" s="12" t="str">
        <f>IF(TOTALCO!G960="", "",TOTALCO!G960)</f>
        <v/>
      </c>
      <c r="H435" s="12">
        <f ca="1">IF(TOTALCO!H960="", "",TOTALCO!H960)</f>
        <v>2264.562175996251</v>
      </c>
      <c r="I435" s="12">
        <f ca="1">IF(TOTALCO!I960="", "",TOTALCO!I960)</f>
        <v>3820.1936933279358</v>
      </c>
      <c r="J435" s="12" t="str">
        <f>IF(TOTALCO!J960="", "",TOTALCO!J960)</f>
        <v/>
      </c>
      <c r="K435" s="12" t="str">
        <f>IF(TOTALCO!K960="", "",TOTALCO!K960)</f>
        <v/>
      </c>
      <c r="L435" s="12">
        <f ca="1">IF(TOTALCO!L960="", "",TOTALCO!L960)</f>
        <v>0.34087340754491002</v>
      </c>
      <c r="M435" s="12" t="str">
        <f>IF(TOTALCO!M960="", "",TOTALCO!M960)</f>
        <v/>
      </c>
      <c r="N435" s="12">
        <f ca="1">IF(TOTALCO!N960="", "",TOTALCO!N960)</f>
        <v>3819.8528199203906</v>
      </c>
      <c r="O435" s="12">
        <f ca="1">IF(TOTALCO!O960="", "",TOTALCO!O960)</f>
        <v>1191.8909981578154</v>
      </c>
      <c r="P435" s="12">
        <f ca="1">IF(TOTALCO!P960="", "",TOTALCO!P960)</f>
        <v>2627.9618217625753</v>
      </c>
      <c r="Q435" s="12"/>
      <c r="R435" s="13"/>
    </row>
    <row r="436" spans="1:18" ht="15" x14ac:dyDescent="0.2">
      <c r="A436" s="382">
        <f>IF(TOTALCO!A961="", "",TOTALCO!A961)</f>
        <v>21</v>
      </c>
      <c r="B436" s="4" t="str">
        <f>IF(TOTALCO!B961="", "",TOTALCO!B961)</f>
        <v xml:space="preserve">  540-RENTS</v>
      </c>
      <c r="C436" s="4" t="str">
        <f>IF(TOTALCO!C961="", "",TOTALCO!C961)</f>
        <v>HYDPLT</v>
      </c>
      <c r="D436" s="12">
        <f ca="1">IF(TOTALCO!D961="", "",TOTALCO!D961)</f>
        <v>0</v>
      </c>
      <c r="E436" s="12" t="str">
        <f>IF(TOTALCO!E961="", "",TOTALCO!E961)</f>
        <v/>
      </c>
      <c r="F436" s="12">
        <f ca="1">IF(TOTALCO!F961="", "",TOTALCO!F961)</f>
        <v>0</v>
      </c>
      <c r="G436" s="12" t="str">
        <f>IF(TOTALCO!G961="", "",TOTALCO!G961)</f>
        <v/>
      </c>
      <c r="H436" s="12">
        <f ca="1">IF(TOTALCO!H961="", "",TOTALCO!H961)</f>
        <v>0</v>
      </c>
      <c r="I436" s="12">
        <f ca="1">IF(TOTALCO!I961="", "",TOTALCO!I961)</f>
        <v>0</v>
      </c>
      <c r="J436" s="12" t="str">
        <f>IF(TOTALCO!J961="", "",TOTALCO!J961)</f>
        <v/>
      </c>
      <c r="K436" s="12" t="str">
        <f>IF(TOTALCO!K961="", "",TOTALCO!K961)</f>
        <v/>
      </c>
      <c r="L436" s="12">
        <f ca="1">IF(TOTALCO!L961="", "",TOTALCO!L961)</f>
        <v>0</v>
      </c>
      <c r="M436" s="12" t="str">
        <f>IF(TOTALCO!M961="", "",TOTALCO!M961)</f>
        <v/>
      </c>
      <c r="N436" s="12">
        <f ca="1">IF(TOTALCO!N961="", "",TOTALCO!N961)</f>
        <v>0</v>
      </c>
      <c r="O436" s="12">
        <f ca="1">IF(TOTALCO!O961="", "",TOTALCO!O961)</f>
        <v>0</v>
      </c>
      <c r="P436" s="12">
        <f ca="1">IF(TOTALCO!P961="", "",TOTALCO!P961)</f>
        <v>0</v>
      </c>
      <c r="Q436" s="12"/>
      <c r="R436" s="13"/>
    </row>
    <row r="437" spans="1:18" ht="15" x14ac:dyDescent="0.2">
      <c r="A437" s="382">
        <f>IF(TOTALCO!A962="", "",TOTALCO!A962)</f>
        <v>22</v>
      </c>
      <c r="B437" s="4" t="str">
        <f>IF(TOTALCO!B962="", "",TOTALCO!B962)</f>
        <v xml:space="preserve">    TOTAL HYDRO OPERATIONS</v>
      </c>
      <c r="C437" s="4" t="str">
        <f>IF(TOTALCO!C962="", "",TOTALCO!C962)</f>
        <v/>
      </c>
      <c r="D437" s="12">
        <f ca="1">IF(TOTALCO!D962="", "",TOTALCO!D962)</f>
        <v>52581.35</v>
      </c>
      <c r="E437" s="12" t="str">
        <f>IF(TOTALCO!E962="", "",TOTALCO!E962)</f>
        <v/>
      </c>
      <c r="F437" s="12">
        <f ca="1">IF(TOTALCO!F962="", "",TOTALCO!F962)</f>
        <v>45413.7098287021</v>
      </c>
      <c r="G437" s="12" t="str">
        <f>IF(TOTALCO!G962="", "",TOTALCO!G962)</f>
        <v/>
      </c>
      <c r="H437" s="12">
        <f ca="1">IF(TOTALCO!H962="", "",TOTALCO!H962)</f>
        <v>2667.5789746804244</v>
      </c>
      <c r="I437" s="12">
        <f ca="1">IF(TOTALCO!I962="", "",TOTALCO!I962)</f>
        <v>4500.0611966174738</v>
      </c>
      <c r="J437" s="12" t="str">
        <f>IF(TOTALCO!J962="", "",TOTALCO!J962)</f>
        <v/>
      </c>
      <c r="K437" s="12" t="str">
        <f>IF(TOTALCO!K962="", "",TOTALCO!K962)</f>
        <v/>
      </c>
      <c r="L437" s="12">
        <f ca="1">IF(TOTALCO!L962="", "",TOTALCO!L962)</f>
        <v>0.40153754426921012</v>
      </c>
      <c r="M437" s="12" t="str">
        <f>IF(TOTALCO!M962="", "",TOTALCO!M962)</f>
        <v/>
      </c>
      <c r="N437" s="12">
        <f ca="1">IF(TOTALCO!N962="", "",TOTALCO!N962)</f>
        <v>4499.6596590732042</v>
      </c>
      <c r="O437" s="12">
        <f ca="1">IF(TOTALCO!O962="", "",TOTALCO!O962)</f>
        <v>1404.0079802171508</v>
      </c>
      <c r="P437" s="12">
        <f ca="1">IF(TOTALCO!P962="", "",TOTALCO!P962)</f>
        <v>3095.651678856053</v>
      </c>
      <c r="Q437" s="12"/>
      <c r="R437" s="13"/>
    </row>
    <row r="438" spans="1:18" ht="15" x14ac:dyDescent="0.2">
      <c r="A438" s="382">
        <f>IF(TOTALCO!A963="", "",TOTALCO!A963)</f>
        <v>23</v>
      </c>
      <c r="B438" s="4" t="str">
        <f>IF(TOTALCO!B963="", "",TOTALCO!B963)</f>
        <v xml:space="preserve">  541-SUPERV &amp; ENGINEERING</v>
      </c>
      <c r="C438" s="4" t="str">
        <f>IF(TOTALCO!C963="", "",TOTALCO!C963)</f>
        <v>HYDPLT</v>
      </c>
      <c r="D438" s="12">
        <f ca="1">IF(TOTALCO!D963="", "",TOTALCO!D963)</f>
        <v>118803.79000000002</v>
      </c>
      <c r="E438" s="12" t="str">
        <f>IF(TOTALCO!E963="", "",TOTALCO!E963)</f>
        <v/>
      </c>
      <c r="F438" s="12">
        <f ca="1">IF(TOTALCO!F963="", "",TOTALCO!F963)</f>
        <v>102609.02098576893</v>
      </c>
      <c r="G438" s="12" t="str">
        <f>IF(TOTALCO!G963="", "",TOTALCO!G963)</f>
        <v/>
      </c>
      <c r="H438" s="12">
        <f ca="1">IF(TOTALCO!H963="", "",TOTALCO!H963)</f>
        <v>6027.2034155902902</v>
      </c>
      <c r="I438" s="12">
        <f ca="1">IF(TOTALCO!I963="", "",TOTALCO!I963)</f>
        <v>10167.565598640793</v>
      </c>
      <c r="J438" s="12" t="str">
        <f>IF(TOTALCO!J963="", "",TOTALCO!J963)</f>
        <v/>
      </c>
      <c r="K438" s="12" t="str">
        <f>IF(TOTALCO!K963="", "",TOTALCO!K963)</f>
        <v/>
      </c>
      <c r="L438" s="12">
        <f ca="1">IF(TOTALCO!L963="", "",TOTALCO!L963)</f>
        <v>0.90724528918475744</v>
      </c>
      <c r="M438" s="12" t="str">
        <f>IF(TOTALCO!M963="", "",TOTALCO!M963)</f>
        <v/>
      </c>
      <c r="N438" s="12">
        <f ca="1">IF(TOTALCO!N963="", "",TOTALCO!N963)</f>
        <v>10166.658353351608</v>
      </c>
      <c r="O438" s="12">
        <f ca="1">IF(TOTALCO!O963="", "",TOTALCO!O963)</f>
        <v>3172.255357461202</v>
      </c>
      <c r="P438" s="12">
        <f ca="1">IF(TOTALCO!P963="", "",TOTALCO!P963)</f>
        <v>6994.4029958904057</v>
      </c>
      <c r="Q438" s="12"/>
      <c r="R438" s="13"/>
    </row>
    <row r="439" spans="1:18" ht="15" x14ac:dyDescent="0.2">
      <c r="A439" s="382">
        <f>IF(TOTALCO!A964="", "",TOTALCO!A964)</f>
        <v>23</v>
      </c>
      <c r="B439" s="4" t="str">
        <f>IF(TOTALCO!B964="", "",TOTALCO!B964)</f>
        <v xml:space="preserve">  542-STRUCTURES</v>
      </c>
      <c r="C439" s="4" t="str">
        <f>IF(TOTALCO!C964="", "",TOTALCO!C964)</f>
        <v>HYDPLT</v>
      </c>
      <c r="D439" s="12">
        <f ca="1">IF(TOTALCO!D964="", "",TOTALCO!D964)</f>
        <v>169133.15999999997</v>
      </c>
      <c r="E439" s="12" t="str">
        <f>IF(TOTALCO!E964="", "",TOTALCO!E964)</f>
        <v/>
      </c>
      <c r="F439" s="12">
        <f ca="1">IF(TOTALCO!F964="", "",TOTALCO!F964)</f>
        <v>146077.73004404496</v>
      </c>
      <c r="G439" s="12" t="str">
        <f>IF(TOTALCO!G964="", "",TOTALCO!G964)</f>
        <v/>
      </c>
      <c r="H439" s="12">
        <f ca="1">IF(TOTALCO!H964="", "",TOTALCO!H964)</f>
        <v>8580.5340018325915</v>
      </c>
      <c r="I439" s="12">
        <f ca="1">IF(TOTALCO!I964="", "",TOTALCO!I964)</f>
        <v>14474.89595412241</v>
      </c>
      <c r="J439" s="12" t="str">
        <f>IF(TOTALCO!J964="", "",TOTALCO!J964)</f>
        <v/>
      </c>
      <c r="K439" s="12" t="str">
        <f>IF(TOTALCO!K964="", "",TOTALCO!K964)</f>
        <v/>
      </c>
      <c r="L439" s="12">
        <f ca="1">IF(TOTALCO!L964="", "",TOTALCO!L964)</f>
        <v>1.2915855854003633</v>
      </c>
      <c r="M439" s="12" t="str">
        <f>IF(TOTALCO!M964="", "",TOTALCO!M964)</f>
        <v/>
      </c>
      <c r="N439" s="12">
        <f ca="1">IF(TOTALCO!N964="", "",TOTALCO!N964)</f>
        <v>14473.60436853701</v>
      </c>
      <c r="O439" s="12">
        <f ca="1">IF(TOTALCO!O964="", "",TOTALCO!O964)</f>
        <v>4516.1317912024733</v>
      </c>
      <c r="P439" s="12">
        <f ca="1">IF(TOTALCO!P964="", "",TOTALCO!P964)</f>
        <v>9957.4725773345363</v>
      </c>
      <c r="Q439" s="12"/>
      <c r="R439" s="13"/>
    </row>
    <row r="440" spans="1:18" ht="15" x14ac:dyDescent="0.2">
      <c r="A440" s="382">
        <f>IF(TOTALCO!A965="", "",TOTALCO!A965)</f>
        <v>25</v>
      </c>
      <c r="B440" s="4" t="str">
        <f>IF(TOTALCO!B965="", "",TOTALCO!B965)</f>
        <v xml:space="preserve">  543-RESERV, DAMS &amp; WATERWAY</v>
      </c>
      <c r="C440" s="4" t="str">
        <f>IF(TOTALCO!C965="", "",TOTALCO!C965)</f>
        <v>HYDPLT</v>
      </c>
      <c r="D440" s="12">
        <f ca="1">IF(TOTALCO!D965="", "",TOTALCO!D965)</f>
        <v>42400</v>
      </c>
      <c r="E440" s="12" t="str">
        <f>IF(TOTALCO!E965="", "",TOTALCO!E965)</f>
        <v/>
      </c>
      <c r="F440" s="12">
        <f ca="1">IF(TOTALCO!F965="", "",TOTALCO!F965)</f>
        <v>36620.23315751629</v>
      </c>
      <c r="G440" s="12" t="str">
        <f>IF(TOTALCO!G965="", "",TOTALCO!G965)</f>
        <v/>
      </c>
      <c r="H440" s="12">
        <f ca="1">IF(TOTALCO!H965="", "",TOTALCO!H965)</f>
        <v>2151.0544808463455</v>
      </c>
      <c r="I440" s="12">
        <f ca="1">IF(TOTALCO!I965="", "",TOTALCO!I965)</f>
        <v>3628.7123616373651</v>
      </c>
      <c r="J440" s="12" t="str">
        <f>IF(TOTALCO!J965="", "",TOTALCO!J965)</f>
        <v/>
      </c>
      <c r="K440" s="12" t="str">
        <f>IF(TOTALCO!K965="", "",TOTALCO!K965)</f>
        <v/>
      </c>
      <c r="L440" s="12">
        <f ca="1">IF(TOTALCO!L965="", "",TOTALCO!L965)</f>
        <v>0.32378765240935253</v>
      </c>
      <c r="M440" s="12" t="str">
        <f>IF(TOTALCO!M965="", "",TOTALCO!M965)</f>
        <v/>
      </c>
      <c r="N440" s="12">
        <f ca="1">IF(TOTALCO!N965="", "",TOTALCO!N965)</f>
        <v>3628.3885739849557</v>
      </c>
      <c r="O440" s="12">
        <f ca="1">IF(TOTALCO!O965="", "",TOTALCO!O965)</f>
        <v>1132.1492955431384</v>
      </c>
      <c r="P440" s="12">
        <f ca="1">IF(TOTALCO!P965="", "",TOTALCO!P965)</f>
        <v>2496.2392784418171</v>
      </c>
      <c r="Q440" s="12"/>
      <c r="R440" s="13"/>
    </row>
    <row r="441" spans="1:18" ht="15" x14ac:dyDescent="0.2">
      <c r="A441" s="382">
        <f>IF(TOTALCO!A966="", "",TOTALCO!A966)</f>
        <v>26</v>
      </c>
      <c r="B441" s="4" t="str">
        <f>IF(TOTALCO!B966="", "",TOTALCO!B966)</f>
        <v xml:space="preserve">  544-ELECTRIC PLANT</v>
      </c>
      <c r="C441" s="4" t="str">
        <f>IF(TOTALCO!C966="", "",TOTALCO!C966)</f>
        <v>ENERGY</v>
      </c>
      <c r="D441" s="12">
        <f ca="1">IF(TOTALCO!D966="", "",TOTALCO!D966)</f>
        <v>92183.13</v>
      </c>
      <c r="E441" s="12" t="str">
        <f>IF(TOTALCO!E966="", "",TOTALCO!E966)</f>
        <v/>
      </c>
      <c r="F441" s="12">
        <f ca="1">IF(TOTALCO!F966="", "",TOTALCO!F966)</f>
        <v>79975.030348336368</v>
      </c>
      <c r="G441" s="12" t="str">
        <f>IF(TOTALCO!G966="", "",TOTALCO!G966)</f>
        <v/>
      </c>
      <c r="H441" s="12">
        <f ca="1">IF(TOTALCO!H966="", "",TOTALCO!H966)</f>
        <v>4228.6300736379562</v>
      </c>
      <c r="I441" s="12">
        <f ca="1">IF(TOTALCO!I966="", "",TOTALCO!I966)</f>
        <v>7979.4695780256834</v>
      </c>
      <c r="J441" s="12" t="str">
        <f>IF(TOTALCO!J966="", "",TOTALCO!J966)</f>
        <v/>
      </c>
      <c r="K441" s="12" t="str">
        <f>IF(TOTALCO!K966="", "",TOTALCO!K966)</f>
        <v/>
      </c>
      <c r="L441" s="12">
        <f ca="1">IF(TOTALCO!L966="", "",TOTALCO!L966)</f>
        <v>0.43963220147198123</v>
      </c>
      <c r="M441" s="12" t="str">
        <f>IF(TOTALCO!M966="", "",TOTALCO!M966)</f>
        <v/>
      </c>
      <c r="N441" s="12">
        <f ca="1">IF(TOTALCO!N966="", "",TOTALCO!N966)</f>
        <v>7979.0299458242116</v>
      </c>
      <c r="O441" s="12">
        <f ca="1">IF(TOTALCO!O966="", "",TOTALCO!O966)</f>
        <v>2604.7268916978737</v>
      </c>
      <c r="P441" s="12">
        <f ca="1">IF(TOTALCO!P966="", "",TOTALCO!P966)</f>
        <v>5374.3030541263379</v>
      </c>
      <c r="Q441" s="12"/>
      <c r="R441" s="13"/>
    </row>
    <row r="442" spans="1:18" ht="15" x14ac:dyDescent="0.2">
      <c r="A442" s="382">
        <f>IF(TOTALCO!A967="", "",TOTALCO!A967)</f>
        <v>27</v>
      </c>
      <c r="B442" s="4" t="str">
        <f>IF(TOTALCO!B967="", "",TOTALCO!B967)</f>
        <v xml:space="preserve">  545-MISC HYDRAULIC PLANT</v>
      </c>
      <c r="C442" s="4" t="str">
        <f>IF(TOTALCO!C967="", "",TOTALCO!C967)</f>
        <v>HYDPLT</v>
      </c>
      <c r="D442" s="12">
        <f ca="1">IF(TOTALCO!D967="", "",TOTALCO!D967)</f>
        <v>7916.0400000000009</v>
      </c>
      <c r="E442" s="12" t="str">
        <f>IF(TOTALCO!E967="", "",TOTALCO!E967)</f>
        <v/>
      </c>
      <c r="F442" s="12">
        <f ca="1">IF(TOTALCO!F967="", "",TOTALCO!F967)</f>
        <v>6836.9629831185212</v>
      </c>
      <c r="G442" s="12" t="str">
        <f>IF(TOTALCO!G967="", "",TOTALCO!G967)</f>
        <v/>
      </c>
      <c r="H442" s="12">
        <f ca="1">IF(TOTALCO!H967="", "",TOTALCO!H967)</f>
        <v>401.59984227733275</v>
      </c>
      <c r="I442" s="12">
        <f ca="1">IF(TOTALCO!I967="", "",TOTALCO!I967)</f>
        <v>677.47717460414742</v>
      </c>
      <c r="J442" s="12" t="str">
        <f>IF(TOTALCO!J967="", "",TOTALCO!J967)</f>
        <v/>
      </c>
      <c r="K442" s="12" t="str">
        <f>IF(TOTALCO!K967="", "",TOTALCO!K967)</f>
        <v/>
      </c>
      <c r="L442" s="12">
        <f ca="1">IF(TOTALCO!L967="", "",TOTALCO!L967)</f>
        <v>6.0450849244776686E-2</v>
      </c>
      <c r="M442" s="12" t="str">
        <f>IF(TOTALCO!M967="", "",TOTALCO!M967)</f>
        <v/>
      </c>
      <c r="N442" s="12">
        <f ca="1">IF(TOTALCO!N967="", "",TOTALCO!N967)</f>
        <v>677.41672375490259</v>
      </c>
      <c r="O442" s="12">
        <f ca="1">IF(TOTALCO!O967="", "",TOTALCO!O967)</f>
        <v>211.3712054125308</v>
      </c>
      <c r="P442" s="12">
        <f ca="1">IF(TOTALCO!P967="", "",TOTALCO!P967)</f>
        <v>466.04551834237179</v>
      </c>
      <c r="Q442" s="12"/>
      <c r="R442" s="13"/>
    </row>
    <row r="443" spans="1:18" ht="15" x14ac:dyDescent="0.2">
      <c r="A443" s="382">
        <f>IF(TOTALCO!A968="", "",TOTALCO!A968)</f>
        <v>28</v>
      </c>
      <c r="B443" s="4" t="str">
        <f>IF(TOTALCO!B968="", "",TOTALCO!B968)</f>
        <v xml:space="preserve">    TOTAL HYDRO MAINTENANCE</v>
      </c>
      <c r="C443" s="4" t="str">
        <f>IF(TOTALCO!C968="", "",TOTALCO!C968)</f>
        <v/>
      </c>
      <c r="D443" s="12">
        <f ca="1">IF(TOTALCO!D968="", "",TOTALCO!D968)</f>
        <v>430436.12</v>
      </c>
      <c r="E443" s="12" t="str">
        <f>IF(TOTALCO!E968="", "",TOTALCO!E968)</f>
        <v/>
      </c>
      <c r="F443" s="12">
        <f ca="1">IF(TOTALCO!F968="", "",TOTALCO!F968)</f>
        <v>372118.9775187851</v>
      </c>
      <c r="G443" s="12" t="str">
        <f>IF(TOTALCO!G968="", "",TOTALCO!G968)</f>
        <v/>
      </c>
      <c r="H443" s="12">
        <f ca="1">IF(TOTALCO!H968="", "",TOTALCO!H968)</f>
        <v>21389.021814184518</v>
      </c>
      <c r="I443" s="12">
        <f ca="1">IF(TOTALCO!I968="", "",TOTALCO!I968)</f>
        <v>36928.120667030402</v>
      </c>
      <c r="J443" s="12" t="str">
        <f>IF(TOTALCO!J968="", "",TOTALCO!J968)</f>
        <v/>
      </c>
      <c r="K443" s="12" t="str">
        <f>IF(TOTALCO!K968="", "",TOTALCO!K968)</f>
        <v/>
      </c>
      <c r="L443" s="12">
        <f ca="1">IF(TOTALCO!L968="", "",TOTALCO!L968)</f>
        <v>3.0227015777112314</v>
      </c>
      <c r="M443" s="12" t="str">
        <f>IF(TOTALCO!M968="", "",TOTALCO!M968)</f>
        <v/>
      </c>
      <c r="N443" s="12">
        <f ca="1">IF(TOTALCO!N968="", "",TOTALCO!N968)</f>
        <v>36925.097965452689</v>
      </c>
      <c r="O443" s="12">
        <f ca="1">IF(TOTALCO!O968="", "",TOTALCO!O968)</f>
        <v>11636.634541317217</v>
      </c>
      <c r="P443" s="12">
        <f ca="1">IF(TOTALCO!P968="", "",TOTALCO!P968)</f>
        <v>25288.463424135469</v>
      </c>
      <c r="Q443" s="12"/>
      <c r="R443" s="13"/>
    </row>
    <row r="444" spans="1:18" ht="15" x14ac:dyDescent="0.2">
      <c r="A444" s="382" t="str">
        <f>IF(TOTALCO!A969="", "",TOTALCO!A969)</f>
        <v/>
      </c>
      <c r="B444" s="4" t="str">
        <f>IF(TOTALCO!B969="", "",TOTALCO!B969)</f>
        <v/>
      </c>
      <c r="C444" s="4" t="str">
        <f>IF(TOTALCO!C969="", "",TOTALCO!C969)</f>
        <v/>
      </c>
      <c r="D444" s="12" t="str">
        <f>IF(TOTALCO!D969="", "",TOTALCO!D969)</f>
        <v/>
      </c>
      <c r="E444" s="12" t="str">
        <f>IF(TOTALCO!E969="", "",TOTALCO!E969)</f>
        <v/>
      </c>
      <c r="F444" s="12" t="str">
        <f>IF(TOTALCO!F969="", "",TOTALCO!F969)</f>
        <v/>
      </c>
      <c r="G444" s="12" t="str">
        <f>IF(TOTALCO!G969="", "",TOTALCO!G969)</f>
        <v/>
      </c>
      <c r="H444" s="12" t="str">
        <f>IF(TOTALCO!H969="", "",TOTALCO!H969)</f>
        <v/>
      </c>
      <c r="I444" s="12" t="str">
        <f>IF(TOTALCO!I969="", "",TOTALCO!I969)</f>
        <v/>
      </c>
      <c r="J444" s="12" t="str">
        <f>IF(TOTALCO!J969="", "",TOTALCO!J969)</f>
        <v/>
      </c>
      <c r="K444" s="12" t="str">
        <f>IF(TOTALCO!K969="", "",TOTALCO!K969)</f>
        <v/>
      </c>
      <c r="L444" s="12" t="str">
        <f>IF(TOTALCO!L969="", "",TOTALCO!L969)</f>
        <v/>
      </c>
      <c r="M444" s="12" t="str">
        <f>IF(TOTALCO!M969="", "",TOTALCO!M969)</f>
        <v/>
      </c>
      <c r="N444" s="12" t="str">
        <f>IF(TOTALCO!N969="", "",TOTALCO!N969)</f>
        <v/>
      </c>
      <c r="O444" s="12" t="str">
        <f>IF(TOTALCO!O969="", "",TOTALCO!O969)</f>
        <v/>
      </c>
      <c r="P444" s="12" t="str">
        <f>IF(TOTALCO!P969="", "",TOTALCO!P969)</f>
        <v/>
      </c>
      <c r="Q444" s="12"/>
      <c r="R444" s="13"/>
    </row>
    <row r="445" spans="1:18" ht="15" x14ac:dyDescent="0.2">
      <c r="A445" s="382">
        <f>IF(TOTALCO!A970="", "",TOTALCO!A970)</f>
        <v>29</v>
      </c>
      <c r="B445" s="4" t="str">
        <f>IF(TOTALCO!B970="", "",TOTALCO!B970)</f>
        <v>TOTAL HYDRO GENERATION</v>
      </c>
      <c r="C445" s="4" t="str">
        <f>IF(TOTALCO!C970="", "",TOTALCO!C970)</f>
        <v/>
      </c>
      <c r="D445" s="12">
        <f ca="1">IF(TOTALCO!D970="", "",TOTALCO!D970)</f>
        <v>483017.47000000003</v>
      </c>
      <c r="E445" s="12" t="str">
        <f>IF(TOTALCO!E970="", "",TOTALCO!E970)</f>
        <v/>
      </c>
      <c r="F445" s="12">
        <f ca="1">IF(TOTALCO!F970="", "",TOTALCO!F970)</f>
        <v>417532.6873474872</v>
      </c>
      <c r="G445" s="12" t="str">
        <f>IF(TOTALCO!G970="", "",TOTALCO!G970)</f>
        <v/>
      </c>
      <c r="H445" s="12">
        <f ca="1">IF(TOTALCO!H970="", "",TOTALCO!H970)</f>
        <v>24056.600788864944</v>
      </c>
      <c r="I445" s="12">
        <f ca="1">IF(TOTALCO!I970="", "",TOTALCO!I970)</f>
        <v>41428.181863647871</v>
      </c>
      <c r="J445" s="12" t="str">
        <f>IF(TOTALCO!J970="", "",TOTALCO!J970)</f>
        <v/>
      </c>
      <c r="K445" s="12" t="str">
        <f>IF(TOTALCO!K970="", "",TOTALCO!K970)</f>
        <v/>
      </c>
      <c r="L445" s="12">
        <f ca="1">IF(TOTALCO!L970="", "",TOTALCO!L970)</f>
        <v>3.4242391219804413</v>
      </c>
      <c r="M445" s="12" t="str">
        <f>IF(TOTALCO!M970="", "",TOTALCO!M970)</f>
        <v/>
      </c>
      <c r="N445" s="12">
        <f ca="1">IF(TOTALCO!N970="", "",TOTALCO!N970)</f>
        <v>41424.75762452589</v>
      </c>
      <c r="O445" s="12">
        <f ca="1">IF(TOTALCO!O970="", "",TOTALCO!O970)</f>
        <v>13040.642521534368</v>
      </c>
      <c r="P445" s="12">
        <f ca="1">IF(TOTALCO!P970="", "",TOTALCO!P970)</f>
        <v>28384.11510299152</v>
      </c>
      <c r="Q445" s="12"/>
      <c r="R445" s="13"/>
    </row>
    <row r="446" spans="1:18" ht="15" x14ac:dyDescent="0.2">
      <c r="A446" s="382" t="str">
        <f>IF(TOTALCO!A971="", "",TOTALCO!A971)</f>
        <v/>
      </c>
      <c r="B446" s="4" t="str">
        <f>IF(TOTALCO!B971="", "",TOTALCO!B971)</f>
        <v/>
      </c>
      <c r="C446" s="4" t="str">
        <f>IF(TOTALCO!C971="", "",TOTALCO!C971)</f>
        <v/>
      </c>
      <c r="D446" s="12" t="str">
        <f>IF(TOTALCO!D971="", "",TOTALCO!D971)</f>
        <v/>
      </c>
      <c r="E446" s="12" t="str">
        <f>IF(TOTALCO!E971="", "",TOTALCO!E971)</f>
        <v/>
      </c>
      <c r="F446" s="12" t="str">
        <f>IF(TOTALCO!F971="", "",TOTALCO!F971)</f>
        <v/>
      </c>
      <c r="G446" s="12" t="str">
        <f>IF(TOTALCO!G971="", "",TOTALCO!G971)</f>
        <v/>
      </c>
      <c r="H446" s="12" t="str">
        <f>IF(TOTALCO!H971="", "",TOTALCO!H971)</f>
        <v/>
      </c>
      <c r="I446" s="12" t="str">
        <f>IF(TOTALCO!I971="", "",TOTALCO!I971)</f>
        <v/>
      </c>
      <c r="J446" s="12" t="str">
        <f>IF(TOTALCO!J971="", "",TOTALCO!J971)</f>
        <v/>
      </c>
      <c r="K446" s="12" t="str">
        <f>IF(TOTALCO!K971="", "",TOTALCO!K971)</f>
        <v/>
      </c>
      <c r="L446" s="12" t="str">
        <f>IF(TOTALCO!L971="", "",TOTALCO!L971)</f>
        <v/>
      </c>
      <c r="M446" s="12" t="str">
        <f>IF(TOTALCO!M971="", "",TOTALCO!M971)</f>
        <v/>
      </c>
      <c r="N446" s="12" t="str">
        <f>IF(TOTALCO!N971="", "",TOTALCO!N971)</f>
        <v/>
      </c>
      <c r="O446" s="12" t="str">
        <f>IF(TOTALCO!O971="", "",TOTALCO!O971)</f>
        <v/>
      </c>
      <c r="P446" s="12" t="str">
        <f>IF(TOTALCO!P971="", "",TOTALCO!P971)</f>
        <v/>
      </c>
      <c r="Q446" s="12"/>
      <c r="R446" s="13"/>
    </row>
    <row r="447" spans="1:18" ht="15" x14ac:dyDescent="0.2">
      <c r="A447" s="382" t="str">
        <f>IF(TOTALCO!A972="", "",TOTALCO!A972)</f>
        <v/>
      </c>
      <c r="B447" s="4" t="str">
        <f>IF(TOTALCO!B972="", "",TOTALCO!B972)</f>
        <v>PRODUCTION EXPENSE-OTHER</v>
      </c>
      <c r="C447" s="4" t="str">
        <f>IF(TOTALCO!C972="", "",TOTALCO!C972)</f>
        <v/>
      </c>
      <c r="D447" s="12" t="str">
        <f>IF(TOTALCO!D972="", "",TOTALCO!D972)</f>
        <v/>
      </c>
      <c r="E447" s="12" t="str">
        <f>IF(TOTALCO!E972="", "",TOTALCO!E972)</f>
        <v/>
      </c>
      <c r="F447" s="12" t="str">
        <f>IF(TOTALCO!F972="", "",TOTALCO!F972)</f>
        <v/>
      </c>
      <c r="G447" s="12" t="str">
        <f>IF(TOTALCO!G972="", "",TOTALCO!G972)</f>
        <v/>
      </c>
      <c r="H447" s="12" t="str">
        <f>IF(TOTALCO!H972="", "",TOTALCO!H972)</f>
        <v/>
      </c>
      <c r="I447" s="12" t="str">
        <f>IF(TOTALCO!I972="", "",TOTALCO!I972)</f>
        <v/>
      </c>
      <c r="J447" s="12" t="str">
        <f>IF(TOTALCO!J972="", "",TOTALCO!J972)</f>
        <v/>
      </c>
      <c r="K447" s="12" t="str">
        <f>IF(TOTALCO!K972="", "",TOTALCO!K972)</f>
        <v/>
      </c>
      <c r="L447" s="12" t="str">
        <f>IF(TOTALCO!L972="", "",TOTALCO!L972)</f>
        <v/>
      </c>
      <c r="M447" s="12" t="str">
        <f>IF(TOTALCO!M972="", "",TOTALCO!M972)</f>
        <v/>
      </c>
      <c r="N447" s="12" t="str">
        <f>IF(TOTALCO!N972="", "",TOTALCO!N972)</f>
        <v/>
      </c>
      <c r="O447" s="12" t="str">
        <f>IF(TOTALCO!O972="", "",TOTALCO!O972)</f>
        <v/>
      </c>
      <c r="P447" s="12" t="str">
        <f>IF(TOTALCO!P972="", "",TOTALCO!P972)</f>
        <v/>
      </c>
      <c r="Q447" s="12"/>
      <c r="R447" s="13"/>
    </row>
    <row r="448" spans="1:18" ht="15" x14ac:dyDescent="0.2">
      <c r="A448" s="382">
        <f>IF(TOTALCO!A973="", "",TOTALCO!A973)</f>
        <v>30</v>
      </c>
      <c r="B448" s="4" t="str">
        <f>IF(TOTALCO!B973="", "",TOTALCO!B973)</f>
        <v xml:space="preserve">  546-SUPERV &amp; ENGINEERING</v>
      </c>
      <c r="C448" s="4" t="str">
        <f>IF(TOTALCO!C973="", "",TOTALCO!C973)</f>
        <v>OTHPLT</v>
      </c>
      <c r="D448" s="12">
        <f ca="1">IF(TOTALCO!D973="", "",TOTALCO!D973)</f>
        <v>211587.65999999997</v>
      </c>
      <c r="E448" s="12" t="str">
        <f>IF(TOTALCO!E973="", "",TOTALCO!E973)</f>
        <v/>
      </c>
      <c r="F448" s="12">
        <f ca="1">IF(TOTALCO!F973="", "",TOTALCO!F973)</f>
        <v>182408.88949356359</v>
      </c>
      <c r="G448" s="12" t="str">
        <f>IF(TOTALCO!G973="", "",TOTALCO!G973)</f>
        <v/>
      </c>
      <c r="H448" s="12">
        <f ca="1">IF(TOTALCO!H973="", "",TOTALCO!H973)</f>
        <v>10712.633145830614</v>
      </c>
      <c r="I448" s="12">
        <f ca="1">IF(TOTALCO!I973="", "",TOTALCO!I973)</f>
        <v>18466.137360605775</v>
      </c>
      <c r="J448" s="12" t="str">
        <f>IF(TOTALCO!J973="", "",TOTALCO!J973)</f>
        <v/>
      </c>
      <c r="K448" s="12" t="str">
        <f>IF(TOTALCO!K973="", "",TOTALCO!K973)</f>
        <v/>
      </c>
      <c r="L448" s="12">
        <f ca="1">IF(TOTALCO!L973="", "",TOTALCO!L973)</f>
        <v>1.6128173147798641</v>
      </c>
      <c r="M448" s="12" t="str">
        <f>IF(TOTALCO!M973="", "",TOTALCO!M973)</f>
        <v/>
      </c>
      <c r="N448" s="12">
        <f ca="1">IF(TOTALCO!N973="", "",TOTALCO!N973)</f>
        <v>18464.524543290994</v>
      </c>
      <c r="O448" s="12">
        <f ca="1">IF(TOTALCO!O973="", "",TOTALCO!O973)</f>
        <v>5761.4001444357345</v>
      </c>
      <c r="P448" s="12">
        <f ca="1">IF(TOTALCO!P973="", "",TOTALCO!P973)</f>
        <v>12703.124398855261</v>
      </c>
      <c r="Q448" s="12"/>
      <c r="R448" s="13"/>
    </row>
    <row r="449" spans="1:18" ht="15" x14ac:dyDescent="0.2">
      <c r="A449" s="382">
        <f>IF(TOTALCO!A974="", "",TOTALCO!A974)</f>
        <v>31</v>
      </c>
      <c r="B449" s="4" t="str">
        <f>IF(TOTALCO!B974="", "",TOTALCO!B974)</f>
        <v xml:space="preserve">  547-FUEL</v>
      </c>
      <c r="C449" s="4" t="str">
        <f>IF(TOTALCO!C974="", "",TOTALCO!C974)</f>
        <v>ENERGY</v>
      </c>
      <c r="D449" s="12">
        <f ca="1">IF(TOTALCO!D974="", "",TOTALCO!D974)</f>
        <v>31699199.32</v>
      </c>
      <c r="E449" s="12" t="str">
        <f>IF(TOTALCO!E974="", "",TOTALCO!E974)</f>
        <v/>
      </c>
      <c r="F449" s="12">
        <f ca="1">IF(TOTALCO!F974="", "",TOTALCO!F974)</f>
        <v>27501175.406334795</v>
      </c>
      <c r="G449" s="12" t="str">
        <f>IF(TOTALCO!G974="", "",TOTALCO!G974)</f>
        <v/>
      </c>
      <c r="H449" s="12">
        <f ca="1">IF(TOTALCO!H974="", "",TOTALCO!H974)</f>
        <v>1454107.5742903918</v>
      </c>
      <c r="I449" s="12">
        <f ca="1">IF(TOTALCO!I974="", "",TOTALCO!I974)</f>
        <v>2743916.3393748123</v>
      </c>
      <c r="J449" s="12" t="str">
        <f>IF(TOTALCO!J974="", "",TOTALCO!J974)</f>
        <v/>
      </c>
      <c r="K449" s="12" t="str">
        <f>IF(TOTALCO!K974="", "",TOTALCO!K974)</f>
        <v/>
      </c>
      <c r="L449" s="12">
        <f ca="1">IF(TOTALCO!L974="", "",TOTALCO!L974)</f>
        <v>151.17721411662558</v>
      </c>
      <c r="M449" s="12" t="str">
        <f>IF(TOTALCO!M974="", "",TOTALCO!M974)</f>
        <v/>
      </c>
      <c r="N449" s="12">
        <f ca="1">IF(TOTALCO!N974="", "",TOTALCO!N974)</f>
        <v>2743765.1621606955</v>
      </c>
      <c r="O449" s="12">
        <f ca="1">IF(TOTALCO!O974="", "",TOTALCO!O974)</f>
        <v>895692.70336226327</v>
      </c>
      <c r="P449" s="12">
        <f ca="1">IF(TOTALCO!P974="", "",TOTALCO!P974)</f>
        <v>1848072.4587984323</v>
      </c>
      <c r="Q449" s="12"/>
      <c r="R449" s="13"/>
    </row>
    <row r="450" spans="1:18" ht="15" x14ac:dyDescent="0.2">
      <c r="A450" s="382">
        <f>IF(TOTALCO!A975="", "",TOTALCO!A975)</f>
        <v>32</v>
      </c>
      <c r="B450" s="4" t="str">
        <f>IF(TOTALCO!B975="", "",TOTALCO!B975)</f>
        <v xml:space="preserve">  548-GENERATION EXPENSES</v>
      </c>
      <c r="C450" s="4" t="str">
        <f>IF(TOTALCO!C975="", "",TOTALCO!C975)</f>
        <v>OTHPLT</v>
      </c>
      <c r="D450" s="12">
        <f ca="1">IF(TOTALCO!D975="", "",TOTALCO!D975)</f>
        <v>309789.77</v>
      </c>
      <c r="E450" s="12" t="str">
        <f>IF(TOTALCO!E975="", "",TOTALCO!E975)</f>
        <v/>
      </c>
      <c r="F450" s="12">
        <f ca="1">IF(TOTALCO!F975="", "",TOTALCO!F975)</f>
        <v>267068.54228723212</v>
      </c>
      <c r="G450" s="12" t="str">
        <f>IF(TOTALCO!G975="", "",TOTALCO!G975)</f>
        <v/>
      </c>
      <c r="H450" s="12">
        <f ca="1">IF(TOTALCO!H975="", "",TOTALCO!H975)</f>
        <v>15684.582732004515</v>
      </c>
      <c r="I450" s="12">
        <f ca="1">IF(TOTALCO!I975="", "",TOTALCO!I975)</f>
        <v>27036.644980763387</v>
      </c>
      <c r="J450" s="12" t="str">
        <f>IF(TOTALCO!J975="", "",TOTALCO!J975)</f>
        <v/>
      </c>
      <c r="K450" s="12" t="str">
        <f>IF(TOTALCO!K975="", "",TOTALCO!K975)</f>
        <v/>
      </c>
      <c r="L450" s="12">
        <f ca="1">IF(TOTALCO!L975="", "",TOTALCO!L975)</f>
        <v>2.3613584317614351</v>
      </c>
      <c r="M450" s="12" t="str">
        <f>IF(TOTALCO!M975="", "",TOTALCO!M975)</f>
        <v/>
      </c>
      <c r="N450" s="12">
        <f ca="1">IF(TOTALCO!N975="", "",TOTALCO!N975)</f>
        <v>27034.283622331626</v>
      </c>
      <c r="O450" s="12">
        <f ca="1">IF(TOTALCO!O975="", "",TOTALCO!O975)</f>
        <v>8435.3824113500432</v>
      </c>
      <c r="P450" s="12">
        <f ca="1">IF(TOTALCO!P975="", "",TOTALCO!P975)</f>
        <v>18598.901210981585</v>
      </c>
      <c r="Q450" s="12"/>
      <c r="R450" s="13"/>
    </row>
    <row r="451" spans="1:18" ht="15" x14ac:dyDescent="0.2">
      <c r="A451" s="382">
        <f>IF(TOTALCO!A976="", "",TOTALCO!A976)</f>
        <v>33</v>
      </c>
      <c r="B451" s="4" t="str">
        <f>IF(TOTALCO!B976="", "",TOTALCO!B976)</f>
        <v xml:space="preserve">  549-550 MISC &amp; RENTS</v>
      </c>
      <c r="C451" s="4" t="str">
        <f>IF(TOTALCO!C976="", "",TOTALCO!C976)</f>
        <v>OTHPLT</v>
      </c>
      <c r="D451" s="12">
        <f ca="1">IF(TOTALCO!D976="", "",TOTALCO!D976)</f>
        <v>162568.04999999999</v>
      </c>
      <c r="E451" s="12" t="str">
        <f>IF(TOTALCO!E976="", "",TOTALCO!E976)</f>
        <v/>
      </c>
      <c r="F451" s="12">
        <f ca="1">IF(TOTALCO!F976="", "",TOTALCO!F976)</f>
        <v>140149.27651089919</v>
      </c>
      <c r="G451" s="12" t="str">
        <f>IF(TOTALCO!G976="", "",TOTALCO!G976)</f>
        <v/>
      </c>
      <c r="H451" s="12">
        <f ca="1">IF(TOTALCO!H976="", "",TOTALCO!H976)</f>
        <v>8230.781893816722</v>
      </c>
      <c r="I451" s="12">
        <f ca="1">IF(TOTALCO!I976="", "",TOTALCO!I976)</f>
        <v>14187.991595284091</v>
      </c>
      <c r="J451" s="12" t="str">
        <f>IF(TOTALCO!J976="", "",TOTALCO!J976)</f>
        <v/>
      </c>
      <c r="K451" s="12" t="str">
        <f>IF(TOTALCO!K976="", "",TOTALCO!K976)</f>
        <v/>
      </c>
      <c r="L451" s="12">
        <f ca="1">IF(TOTALCO!L976="", "",TOTALCO!L976)</f>
        <v>1.2391675670972433</v>
      </c>
      <c r="M451" s="12" t="str">
        <f>IF(TOTALCO!M976="", "",TOTALCO!M976)</f>
        <v/>
      </c>
      <c r="N451" s="12">
        <f ca="1">IF(TOTALCO!N976="", "",TOTALCO!N976)</f>
        <v>14186.752427716994</v>
      </c>
      <c r="O451" s="12">
        <f ca="1">IF(TOTALCO!O976="", "",TOTALCO!O976)</f>
        <v>4426.6267075813203</v>
      </c>
      <c r="P451" s="12">
        <f ca="1">IF(TOTALCO!P976="", "",TOTALCO!P976)</f>
        <v>9760.1257201356748</v>
      </c>
      <c r="Q451" s="12"/>
      <c r="R451" s="13"/>
    </row>
    <row r="452" spans="1:18" ht="15" x14ac:dyDescent="0.2">
      <c r="A452" s="382">
        <f>IF(TOTALCO!A977="", "",TOTALCO!A977)</f>
        <v>34</v>
      </c>
      <c r="B452" s="4" t="str">
        <f>IF(TOTALCO!B977="", "",TOTALCO!B977)</f>
        <v xml:space="preserve">    TOTAL OTHER OPERATIONS</v>
      </c>
      <c r="C452" s="4" t="str">
        <f>IF(TOTALCO!C977="", "",TOTALCO!C977)</f>
        <v/>
      </c>
      <c r="D452" s="12">
        <f ca="1">IF(TOTALCO!D977="", "",TOTALCO!D977)</f>
        <v>32383144.799999997</v>
      </c>
      <c r="E452" s="12" t="str">
        <f>IF(TOTALCO!E977="", "",TOTALCO!E977)</f>
        <v/>
      </c>
      <c r="F452" s="12">
        <f ca="1">IF(TOTALCO!F977="", "",TOTALCO!F977)</f>
        <v>28090802.114626486</v>
      </c>
      <c r="G452" s="12" t="str">
        <f>IF(TOTALCO!G977="", "",TOTALCO!G977)</f>
        <v/>
      </c>
      <c r="H452" s="12">
        <f ca="1">IF(TOTALCO!H977="", "",TOTALCO!H977)</f>
        <v>1488735.5720620437</v>
      </c>
      <c r="I452" s="12">
        <f ca="1">IF(TOTALCO!I977="", "",TOTALCO!I977)</f>
        <v>2803607.1133114654</v>
      </c>
      <c r="J452" s="12" t="str">
        <f>IF(TOTALCO!J977="", "",TOTALCO!J977)</f>
        <v/>
      </c>
      <c r="K452" s="12" t="str">
        <f>IF(TOTALCO!K977="", "",TOTALCO!K977)</f>
        <v/>
      </c>
      <c r="L452" s="12">
        <f ca="1">IF(TOTALCO!L977="", "",TOTALCO!L977)</f>
        <v>156.39055743026412</v>
      </c>
      <c r="M452" s="12" t="str">
        <f>IF(TOTALCO!M977="", "",TOTALCO!M977)</f>
        <v/>
      </c>
      <c r="N452" s="12">
        <f ca="1">IF(TOTALCO!N977="", "",TOTALCO!N977)</f>
        <v>2803450.7227540351</v>
      </c>
      <c r="O452" s="12">
        <f ca="1">IF(TOTALCO!O977="", "",TOTALCO!O977)</f>
        <v>914316.11262563034</v>
      </c>
      <c r="P452" s="12">
        <f ca="1">IF(TOTALCO!P977="", "",TOTALCO!P977)</f>
        <v>1889134.6101284048</v>
      </c>
      <c r="Q452" s="12"/>
      <c r="R452" s="13"/>
    </row>
    <row r="453" spans="1:18" ht="15" x14ac:dyDescent="0.2">
      <c r="A453" s="382">
        <f>IF(TOTALCO!A978="", "",TOTALCO!A978)</f>
        <v>35</v>
      </c>
      <c r="B453" s="4" t="str">
        <f>IF(TOTALCO!B978="", "",TOTALCO!B978)</f>
        <v xml:space="preserve">  551-SUPERV &amp; ENGINEERING</v>
      </c>
      <c r="C453" s="4" t="str">
        <f>IF(TOTALCO!C978="", "",TOTALCO!C978)</f>
        <v>OTHPLT</v>
      </c>
      <c r="D453" s="12">
        <f ca="1">IF(TOTALCO!D978="", "",TOTALCO!D978)</f>
        <v>49628.45</v>
      </c>
      <c r="E453" s="12" t="str">
        <f>IF(TOTALCO!E978="", "",TOTALCO!E978)</f>
        <v/>
      </c>
      <c r="F453" s="12">
        <f ca="1">IF(TOTALCO!F978="", "",TOTALCO!F978)</f>
        <v>42784.491552044419</v>
      </c>
      <c r="G453" s="12" t="str">
        <f>IF(TOTALCO!G978="", "",TOTALCO!G978)</f>
        <v/>
      </c>
      <c r="H453" s="12">
        <f ca="1">IF(TOTALCO!H978="", "",TOTALCO!H978)</f>
        <v>2512.6766771096072</v>
      </c>
      <c r="I453" s="12">
        <f ca="1">IF(TOTALCO!I978="", "",TOTALCO!I978)</f>
        <v>4331.2817708459734</v>
      </c>
      <c r="J453" s="12" t="str">
        <f>IF(TOTALCO!J978="", "",TOTALCO!J978)</f>
        <v/>
      </c>
      <c r="K453" s="12" t="str">
        <f>IF(TOTALCO!K978="", "",TOTALCO!K978)</f>
        <v/>
      </c>
      <c r="L453" s="12">
        <f ca="1">IF(TOTALCO!L978="", "",TOTALCO!L978)</f>
        <v>0.37829060289095662</v>
      </c>
      <c r="M453" s="12" t="str">
        <f>IF(TOTALCO!M978="", "",TOTALCO!M978)</f>
        <v/>
      </c>
      <c r="N453" s="12">
        <f ca="1">IF(TOTALCO!N978="", "",TOTALCO!N978)</f>
        <v>4330.9034802430824</v>
      </c>
      <c r="O453" s="12">
        <f ca="1">IF(TOTALCO!O978="", "",TOTALCO!O978)</f>
        <v>1351.3517706945747</v>
      </c>
      <c r="P453" s="12">
        <f ca="1">IF(TOTALCO!P978="", "",TOTALCO!P978)</f>
        <v>2979.5517095485079</v>
      </c>
      <c r="Q453" s="12"/>
      <c r="R453" s="13"/>
    </row>
    <row r="454" spans="1:18" ht="15" x14ac:dyDescent="0.2">
      <c r="A454" s="382">
        <f>IF(TOTALCO!A979="", "",TOTALCO!A979)</f>
        <v>36</v>
      </c>
      <c r="B454" s="4" t="str">
        <f>IF(TOTALCO!B979="", "",TOTALCO!B979)</f>
        <v xml:space="preserve">  552-STRUCTURES</v>
      </c>
      <c r="C454" s="4" t="str">
        <f>IF(TOTALCO!C979="", "",TOTALCO!C979)</f>
        <v>OTHPLT</v>
      </c>
      <c r="D454" s="12">
        <f ca="1">IF(TOTALCO!D979="", "",TOTALCO!D979)</f>
        <v>265096.57</v>
      </c>
      <c r="E454" s="12" t="str">
        <f>IF(TOTALCO!E979="", "",TOTALCO!E979)</f>
        <v/>
      </c>
      <c r="F454" s="12">
        <f ca="1">IF(TOTALCO!F979="", "",TOTALCO!F979)</f>
        <v>228538.71034942562</v>
      </c>
      <c r="G454" s="12" t="str">
        <f>IF(TOTALCO!G979="", "",TOTALCO!G979)</f>
        <v/>
      </c>
      <c r="H454" s="12">
        <f ca="1">IF(TOTALCO!H979="", "",TOTALCO!H979)</f>
        <v>13421.776594287236</v>
      </c>
      <c r="I454" s="12">
        <f ca="1">IF(TOTALCO!I979="", "",TOTALCO!I979)</f>
        <v>23136.083056287142</v>
      </c>
      <c r="J454" s="12" t="str">
        <f>IF(TOTALCO!J979="", "",TOTALCO!J979)</f>
        <v/>
      </c>
      <c r="K454" s="12" t="str">
        <f>IF(TOTALCO!K979="", "",TOTALCO!K979)</f>
        <v/>
      </c>
      <c r="L454" s="12">
        <f ca="1">IF(TOTALCO!L979="", "",TOTALCO!L979)</f>
        <v>2.020686547527168</v>
      </c>
      <c r="M454" s="12" t="str">
        <f>IF(TOTALCO!M979="", "",TOTALCO!M979)</f>
        <v/>
      </c>
      <c r="N454" s="12">
        <f ca="1">IF(TOTALCO!N979="", "",TOTALCO!N979)</f>
        <v>23134.062369739615</v>
      </c>
      <c r="O454" s="12">
        <f ca="1">IF(TOTALCO!O979="", "",TOTALCO!O979)</f>
        <v>7218.4144230689908</v>
      </c>
      <c r="P454" s="12">
        <f ca="1">IF(TOTALCO!P979="", "",TOTALCO!P979)</f>
        <v>15915.647946670622</v>
      </c>
      <c r="Q454" s="12"/>
      <c r="R454" s="13"/>
    </row>
    <row r="455" spans="1:18" ht="15" x14ac:dyDescent="0.2">
      <c r="A455" s="382">
        <f>IF(TOTALCO!A980="", "",TOTALCO!A980)</f>
        <v>37</v>
      </c>
      <c r="B455" s="4" t="str">
        <f>IF(TOTALCO!B980="", "",TOTALCO!B980)</f>
        <v xml:space="preserve">  553-GENERATING &amp; ELECT PLT</v>
      </c>
      <c r="C455" s="4" t="str">
        <f>IF(TOTALCO!C980="", "",TOTALCO!C980)</f>
        <v>OTHPLT</v>
      </c>
      <c r="D455" s="12">
        <f ca="1">IF(TOTALCO!D980="", "",TOTALCO!D980)</f>
        <v>1581844.66</v>
      </c>
      <c r="E455" s="12" t="str">
        <f>IF(TOTALCO!E980="", "",TOTALCO!E980)</f>
        <v/>
      </c>
      <c r="F455" s="12">
        <f ca="1">IF(TOTALCO!F980="", "",TOTALCO!F980)</f>
        <v>1363702.0598551149</v>
      </c>
      <c r="G455" s="12" t="str">
        <f>IF(TOTALCO!G980="", "",TOTALCO!G980)</f>
        <v/>
      </c>
      <c r="H455" s="12">
        <f ca="1">IF(TOTALCO!H980="", "",TOTALCO!H980)</f>
        <v>80088.420734324289</v>
      </c>
      <c r="I455" s="12">
        <f ca="1">IF(TOTALCO!I980="", "",TOTALCO!I980)</f>
        <v>138054.17941056081</v>
      </c>
      <c r="J455" s="12" t="str">
        <f>IF(TOTALCO!J980="", "",TOTALCO!J980)</f>
        <v/>
      </c>
      <c r="K455" s="12" t="str">
        <f>IF(TOTALCO!K980="", "",TOTALCO!K980)</f>
        <v/>
      </c>
      <c r="L455" s="12">
        <f ca="1">IF(TOTALCO!L980="", "",TOTALCO!L980)</f>
        <v>12.057538974343151</v>
      </c>
      <c r="M455" s="12" t="str">
        <f>IF(TOTALCO!M980="", "",TOTALCO!M980)</f>
        <v/>
      </c>
      <c r="N455" s="12">
        <f ca="1">IF(TOTALCO!N980="", "",TOTALCO!N980)</f>
        <v>138042.12187158648</v>
      </c>
      <c r="O455" s="12">
        <f ca="1">IF(TOTALCO!O980="", "",TOTALCO!O980)</f>
        <v>43072.644466122911</v>
      </c>
      <c r="P455" s="12">
        <f ca="1">IF(TOTALCO!P980="", "",TOTALCO!P980)</f>
        <v>94969.477405463564</v>
      </c>
      <c r="Q455" s="12"/>
      <c r="R455" s="13"/>
    </row>
    <row r="456" spans="1:18" ht="15" x14ac:dyDescent="0.2">
      <c r="A456" s="382">
        <f>IF(TOTALCO!A981="", "",TOTALCO!A981)</f>
        <v>38</v>
      </c>
      <c r="B456" s="4" t="str">
        <f>IF(TOTALCO!B981="", "",TOTALCO!B981)</f>
        <v xml:space="preserve">  554-MISC OTH POWER GEN PLT</v>
      </c>
      <c r="C456" s="4" t="str">
        <f>IF(TOTALCO!C981="", "",TOTALCO!C981)</f>
        <v>OTHPLT</v>
      </c>
      <c r="D456" s="12">
        <f ca="1">IF(TOTALCO!D981="", "",TOTALCO!D981)</f>
        <v>228247.14999999997</v>
      </c>
      <c r="E456" s="12" t="str">
        <f>IF(TOTALCO!E981="", "",TOTALCO!E981)</f>
        <v/>
      </c>
      <c r="F456" s="12">
        <f ca="1">IF(TOTALCO!F981="", "",TOTALCO!F981)</f>
        <v>196770.97029935883</v>
      </c>
      <c r="G456" s="12" t="str">
        <f>IF(TOTALCO!G981="", "",TOTALCO!G981)</f>
        <v/>
      </c>
      <c r="H456" s="12">
        <f ca="1">IF(TOTALCO!H981="", "",TOTALCO!H981)</f>
        <v>11556.099181452131</v>
      </c>
      <c r="I456" s="12">
        <f ca="1">IF(TOTALCO!I981="", "",TOTALCO!I981)</f>
        <v>19920.080519189021</v>
      </c>
      <c r="J456" s="12" t="str">
        <f>IF(TOTALCO!J981="", "",TOTALCO!J981)</f>
        <v/>
      </c>
      <c r="K456" s="12" t="str">
        <f>IF(TOTALCO!K981="", "",TOTALCO!K981)</f>
        <v/>
      </c>
      <c r="L456" s="12">
        <f ca="1">IF(TOTALCO!L981="", "",TOTALCO!L981)</f>
        <v>1.7398035195869024</v>
      </c>
      <c r="M456" s="12" t="str">
        <f>IF(TOTALCO!M981="", "",TOTALCO!M981)</f>
        <v/>
      </c>
      <c r="N456" s="12">
        <f ca="1">IF(TOTALCO!N981="", "",TOTALCO!N981)</f>
        <v>19918.340715669434</v>
      </c>
      <c r="O456" s="12">
        <f ca="1">IF(TOTALCO!O981="", "",TOTALCO!O981)</f>
        <v>6215.0276768363738</v>
      </c>
      <c r="P456" s="12">
        <f ca="1">IF(TOTALCO!P981="", "",TOTALCO!P981)</f>
        <v>13703.313038833061</v>
      </c>
      <c r="Q456" s="12"/>
      <c r="R456" s="13"/>
    </row>
    <row r="457" spans="1:18" ht="15" x14ac:dyDescent="0.2">
      <c r="A457" s="382">
        <f>IF(TOTALCO!A982="", "",TOTALCO!A982)</f>
        <v>39</v>
      </c>
      <c r="B457" s="4" t="str">
        <f>IF(TOTALCO!B982="", "",TOTALCO!B982)</f>
        <v xml:space="preserve">    TOTAL OTHER MAINTENANCE</v>
      </c>
      <c r="C457" s="4" t="str">
        <f>IF(TOTALCO!C982="", "",TOTALCO!C982)</f>
        <v/>
      </c>
      <c r="D457" s="12">
        <f ca="1">IF(TOTALCO!D982="", "",TOTALCO!D982)</f>
        <v>2124816.83</v>
      </c>
      <c r="E457" s="12" t="str">
        <f>IF(TOTALCO!E982="", "",TOTALCO!E982)</f>
        <v/>
      </c>
      <c r="F457" s="12">
        <f ca="1">IF(TOTALCO!F982="", "",TOTALCO!F982)</f>
        <v>1831796.2320559439</v>
      </c>
      <c r="G457" s="12" t="str">
        <f>IF(TOTALCO!G982="", "",TOTALCO!G982)</f>
        <v/>
      </c>
      <c r="H457" s="12">
        <f ca="1">IF(TOTALCO!H982="", "",TOTALCO!H982)</f>
        <v>107578.97318717325</v>
      </c>
      <c r="I457" s="12">
        <f ca="1">IF(TOTALCO!I982="", "",TOTALCO!I982)</f>
        <v>185441.62475688296</v>
      </c>
      <c r="J457" s="12" t="str">
        <f>IF(TOTALCO!J982="", "",TOTALCO!J982)</f>
        <v/>
      </c>
      <c r="K457" s="12" t="str">
        <f>IF(TOTALCO!K982="", "",TOTALCO!K982)</f>
        <v/>
      </c>
      <c r="L457" s="12">
        <f ca="1">IF(TOTALCO!L982="", "",TOTALCO!L982)</f>
        <v>16.196319644348179</v>
      </c>
      <c r="M457" s="12" t="str">
        <f>IF(TOTALCO!M982="", "",TOTALCO!M982)</f>
        <v/>
      </c>
      <c r="N457" s="12">
        <f ca="1">IF(TOTALCO!N982="", "",TOTALCO!N982)</f>
        <v>185425.42843723862</v>
      </c>
      <c r="O457" s="12">
        <f ca="1">IF(TOTALCO!O982="", "",TOTALCO!O982)</f>
        <v>57857.438336722851</v>
      </c>
      <c r="P457" s="12">
        <f ca="1">IF(TOTALCO!P982="", "",TOTALCO!P982)</f>
        <v>127567.99010051576</v>
      </c>
      <c r="Q457" s="12"/>
      <c r="R457" s="13"/>
    </row>
    <row r="458" spans="1:18" ht="15" x14ac:dyDescent="0.2">
      <c r="A458" s="382" t="str">
        <f>IF(TOTALCO!A983="", "",TOTALCO!A983)</f>
        <v/>
      </c>
      <c r="B458" s="4" t="str">
        <f>IF(TOTALCO!B983="", "",TOTALCO!B983)</f>
        <v/>
      </c>
      <c r="C458" s="4" t="str">
        <f>IF(TOTALCO!C983="", "",TOTALCO!C983)</f>
        <v/>
      </c>
      <c r="D458" s="12" t="str">
        <f>IF(TOTALCO!D983="", "",TOTALCO!D983)</f>
        <v/>
      </c>
      <c r="E458" s="12" t="str">
        <f>IF(TOTALCO!E983="", "",TOTALCO!E983)</f>
        <v/>
      </c>
      <c r="F458" s="12" t="str">
        <f>IF(TOTALCO!F983="", "",TOTALCO!F983)</f>
        <v/>
      </c>
      <c r="G458" s="12" t="str">
        <f>IF(TOTALCO!G983="", "",TOTALCO!G983)</f>
        <v/>
      </c>
      <c r="H458" s="12" t="str">
        <f>IF(TOTALCO!H983="", "",TOTALCO!H983)</f>
        <v/>
      </c>
      <c r="I458" s="12" t="str">
        <f>IF(TOTALCO!I983="", "",TOTALCO!I983)</f>
        <v/>
      </c>
      <c r="J458" s="12" t="str">
        <f>IF(TOTALCO!J983="", "",TOTALCO!J983)</f>
        <v/>
      </c>
      <c r="K458" s="12" t="str">
        <f>IF(TOTALCO!K983="", "",TOTALCO!K983)</f>
        <v/>
      </c>
      <c r="L458" s="12" t="str">
        <f>IF(TOTALCO!L983="", "",TOTALCO!L983)</f>
        <v/>
      </c>
      <c r="M458" s="12" t="str">
        <f>IF(TOTALCO!M983="", "",TOTALCO!M983)</f>
        <v/>
      </c>
      <c r="N458" s="12" t="str">
        <f>IF(TOTALCO!N983="", "",TOTALCO!N983)</f>
        <v/>
      </c>
      <c r="O458" s="12" t="str">
        <f>IF(TOTALCO!O983="", "",TOTALCO!O983)</f>
        <v/>
      </c>
      <c r="P458" s="12" t="str">
        <f>IF(TOTALCO!P983="", "",TOTALCO!P983)</f>
        <v/>
      </c>
      <c r="Q458" s="12"/>
      <c r="R458" s="13"/>
    </row>
    <row r="459" spans="1:18" ht="15" x14ac:dyDescent="0.2">
      <c r="A459" s="382">
        <f>IF(TOTALCO!A984="", "",TOTALCO!A984)</f>
        <v>40</v>
      </c>
      <c r="B459" s="4" t="str">
        <f>IF(TOTALCO!B984="", "",TOTALCO!B984)</f>
        <v>TOTAL OTHER GENERATION</v>
      </c>
      <c r="C459" s="4" t="str">
        <f>IF(TOTALCO!C984="", "",TOTALCO!C984)</f>
        <v/>
      </c>
      <c r="D459" s="12">
        <f ca="1">IF(TOTALCO!D984="", "",TOTALCO!D984)</f>
        <v>34507961.629999995</v>
      </c>
      <c r="E459" s="12" t="str">
        <f>IF(TOTALCO!E984="", "",TOTALCO!E984)</f>
        <v/>
      </c>
      <c r="F459" s="12">
        <f ca="1">IF(TOTALCO!F984="", "",TOTALCO!F984)</f>
        <v>29922598.346682429</v>
      </c>
      <c r="G459" s="12" t="str">
        <f>IF(TOTALCO!G984="", "",TOTALCO!G984)</f>
        <v/>
      </c>
      <c r="H459" s="12">
        <f ca="1">IF(TOTALCO!H984="", "",TOTALCO!H984)</f>
        <v>1596314.545249217</v>
      </c>
      <c r="I459" s="12">
        <f ca="1">IF(TOTALCO!I984="", "",TOTALCO!I984)</f>
        <v>2989048.7380683483</v>
      </c>
      <c r="J459" s="12" t="str">
        <f>IF(TOTALCO!J984="", "",TOTALCO!J984)</f>
        <v/>
      </c>
      <c r="K459" s="12" t="str">
        <f>IF(TOTALCO!K984="", "",TOTALCO!K984)</f>
        <v/>
      </c>
      <c r="L459" s="12">
        <f ca="1">IF(TOTALCO!L984="", "",TOTALCO!L984)</f>
        <v>172.58687707461229</v>
      </c>
      <c r="M459" s="12" t="str">
        <f>IF(TOTALCO!M984="", "",TOTALCO!M984)</f>
        <v/>
      </c>
      <c r="N459" s="12">
        <f ca="1">IF(TOTALCO!N984="", "",TOTALCO!N984)</f>
        <v>2988876.1511912737</v>
      </c>
      <c r="O459" s="12">
        <f ca="1">IF(TOTALCO!O984="", "",TOTALCO!O984)</f>
        <v>972173.55096235324</v>
      </c>
      <c r="P459" s="12">
        <f ca="1">IF(TOTALCO!P984="", "",TOTALCO!P984)</f>
        <v>2016702.6002289206</v>
      </c>
      <c r="Q459" s="12"/>
      <c r="R459" s="13"/>
    </row>
    <row r="460" spans="1:18" ht="15" x14ac:dyDescent="0.2">
      <c r="A460" s="382" t="str">
        <f>IF(TOTALCO!A985="", "",TOTALCO!A985)</f>
        <v/>
      </c>
      <c r="B460" s="4" t="str">
        <f>IF(TOTALCO!B985="", "",TOTALCO!B985)</f>
        <v/>
      </c>
      <c r="C460" s="4" t="str">
        <f>IF(TOTALCO!C985="", "",TOTALCO!C985)</f>
        <v/>
      </c>
      <c r="D460" s="12" t="str">
        <f>IF(TOTALCO!D985="", "",TOTALCO!D985)</f>
        <v/>
      </c>
      <c r="E460" s="12" t="str">
        <f>IF(TOTALCO!E985="", "",TOTALCO!E985)</f>
        <v/>
      </c>
      <c r="F460" s="12" t="str">
        <f>IF(TOTALCO!F985="", "",TOTALCO!F985)</f>
        <v/>
      </c>
      <c r="G460" s="12" t="str">
        <f>IF(TOTALCO!G985="", "",TOTALCO!G985)</f>
        <v/>
      </c>
      <c r="H460" s="12" t="str">
        <f>IF(TOTALCO!H985="", "",TOTALCO!H985)</f>
        <v/>
      </c>
      <c r="I460" s="12" t="str">
        <f>IF(TOTALCO!I985="", "",TOTALCO!I985)</f>
        <v/>
      </c>
      <c r="J460" s="12" t="str">
        <f>IF(TOTALCO!J985="", "",TOTALCO!J985)</f>
        <v/>
      </c>
      <c r="K460" s="12" t="str">
        <f>IF(TOTALCO!K985="", "",TOTALCO!K985)</f>
        <v/>
      </c>
      <c r="L460" s="12" t="str">
        <f>IF(TOTALCO!L985="", "",TOTALCO!L985)</f>
        <v/>
      </c>
      <c r="M460" s="12" t="str">
        <f>IF(TOTALCO!M985="", "",TOTALCO!M985)</f>
        <v/>
      </c>
      <c r="N460" s="12" t="str">
        <f>IF(TOTALCO!N985="", "",TOTALCO!N985)</f>
        <v/>
      </c>
      <c r="O460" s="12" t="str">
        <f>IF(TOTALCO!O985="", "",TOTALCO!O985)</f>
        <v/>
      </c>
      <c r="P460" s="12" t="str">
        <f>IF(TOTALCO!P985="", "",TOTALCO!P985)</f>
        <v/>
      </c>
      <c r="Q460" s="12"/>
      <c r="R460" s="13"/>
    </row>
    <row r="461" spans="1:18" ht="15" x14ac:dyDescent="0.2">
      <c r="A461" s="382" t="str">
        <f>IF(TOTALCO!A986="", "",TOTALCO!A986)</f>
        <v/>
      </c>
      <c r="B461" s="4" t="str">
        <f>IF(TOTALCO!B986="", "",TOTALCO!B986)</f>
        <v>555-PURCHASED POWER</v>
      </c>
      <c r="C461" s="4" t="str">
        <f>IF(TOTALCO!C986="", "",TOTALCO!C986)</f>
        <v/>
      </c>
      <c r="D461" s="12" t="str">
        <f>IF(TOTALCO!D986="", "",TOTALCO!D986)</f>
        <v/>
      </c>
      <c r="E461" s="12" t="str">
        <f>IF(TOTALCO!E986="", "",TOTALCO!E986)</f>
        <v/>
      </c>
      <c r="F461" s="12" t="str">
        <f>IF(TOTALCO!F986="", "",TOTALCO!F986)</f>
        <v/>
      </c>
      <c r="G461" s="12" t="str">
        <f>IF(TOTALCO!G986="", "",TOTALCO!G986)</f>
        <v/>
      </c>
      <c r="H461" s="12" t="str">
        <f>IF(TOTALCO!H986="", "",TOTALCO!H986)</f>
        <v/>
      </c>
      <c r="I461" s="12" t="str">
        <f>IF(TOTALCO!I986="", "",TOTALCO!I986)</f>
        <v/>
      </c>
      <c r="J461" s="12" t="str">
        <f>IF(TOTALCO!J986="", "",TOTALCO!J986)</f>
        <v/>
      </c>
      <c r="K461" s="12" t="str">
        <f>IF(TOTALCO!K986="", "",TOTALCO!K986)</f>
        <v/>
      </c>
      <c r="L461" s="12" t="str">
        <f>IF(TOTALCO!L986="", "",TOTALCO!L986)</f>
        <v/>
      </c>
      <c r="M461" s="12" t="str">
        <f>IF(TOTALCO!M986="", "",TOTALCO!M986)</f>
        <v/>
      </c>
      <c r="N461" s="12" t="str">
        <f>IF(TOTALCO!N986="", "",TOTALCO!N986)</f>
        <v/>
      </c>
      <c r="O461" s="12" t="str">
        <f>IF(TOTALCO!O986="", "",TOTALCO!O986)</f>
        <v/>
      </c>
      <c r="P461" s="12" t="str">
        <f>IF(TOTALCO!P986="", "",TOTALCO!P986)</f>
        <v/>
      </c>
      <c r="Q461" s="12"/>
      <c r="R461" s="13"/>
    </row>
    <row r="462" spans="1:18" ht="15" x14ac:dyDescent="0.2">
      <c r="A462" s="382">
        <f>IF(TOTALCO!A987="", "",TOTALCO!A987)</f>
        <v>41</v>
      </c>
      <c r="B462" s="4" t="str">
        <f>IF(TOTALCO!B987="", "",TOTALCO!B987)</f>
        <v xml:space="preserve">  CAPACITY COMPONENT</v>
      </c>
      <c r="C462" s="4" t="str">
        <f>IF(TOTALCO!C987="", "",TOTALCO!C987)</f>
        <v>DEMPROD</v>
      </c>
      <c r="D462" s="12">
        <f ca="1">IF(TOTALCO!D987="", "",TOTALCO!D987)</f>
        <v>8732448.0500000007</v>
      </c>
      <c r="E462" s="12" t="str">
        <f>IF(TOTALCO!E987="", "",TOTALCO!E987)</f>
        <v/>
      </c>
      <c r="F462" s="12">
        <f ca="1">IF(TOTALCO!F987="", "",TOTALCO!F987)</f>
        <v>7557847.9747521561</v>
      </c>
      <c r="G462" s="12" t="str">
        <f>IF(TOTALCO!G987="", "",TOTALCO!G987)</f>
        <v/>
      </c>
      <c r="H462" s="12">
        <f ca="1">IF(TOTALCO!H987="", "",TOTALCO!H987)</f>
        <v>443849.97631748108</v>
      </c>
      <c r="I462" s="12">
        <f ca="1">IF(TOTALCO!I987="", "",TOTALCO!I987)</f>
        <v>730750.09893036308</v>
      </c>
      <c r="J462" s="12" t="str">
        <f>IF(TOTALCO!J987="", "",TOTALCO!J987)</f>
        <v/>
      </c>
      <c r="K462" s="12" t="str">
        <f>IF(TOTALCO!K987="", "",TOTALCO!K987)</f>
        <v/>
      </c>
      <c r="L462" s="12">
        <f ca="1">IF(TOTALCO!L987="", "",TOTALCO!L987)</f>
        <v>66.824748015278701</v>
      </c>
      <c r="M462" s="12" t="str">
        <f>IF(TOTALCO!M987="", "",TOTALCO!M987)</f>
        <v/>
      </c>
      <c r="N462" s="12">
        <f ca="1">IF(TOTALCO!N987="", "",TOTALCO!N987)</f>
        <v>730683.27418234781</v>
      </c>
      <c r="O462" s="12">
        <f ca="1">IF(TOTALCO!O987="", "",TOTALCO!O987)</f>
        <v>227991.7206392705</v>
      </c>
      <c r="P462" s="12">
        <f ca="1">IF(TOTALCO!P987="", "",TOTALCO!P987)</f>
        <v>502691.55354307737</v>
      </c>
      <c r="Q462" s="12"/>
      <c r="R462" s="13"/>
    </row>
    <row r="463" spans="1:18" ht="15" x14ac:dyDescent="0.2">
      <c r="A463" s="382">
        <f>IF(TOTALCO!A988="", "",TOTALCO!A988)</f>
        <v>42</v>
      </c>
      <c r="B463" s="4" t="str">
        <f>IF(TOTALCO!B988="", "",TOTALCO!B988)</f>
        <v xml:space="preserve">  ENERGY COMPONENT</v>
      </c>
      <c r="C463" s="4" t="str">
        <f>IF(TOTALCO!C988="", "",TOTALCO!C988)</f>
        <v>ENERGY</v>
      </c>
      <c r="D463" s="12">
        <f ca="1">IF(TOTALCO!D988="", "",TOTALCO!D988)</f>
        <v>95096821.75999999</v>
      </c>
      <c r="E463" s="12" t="str">
        <f>IF(TOTALCO!E988="", "",TOTALCO!E988)</f>
        <v/>
      </c>
      <c r="F463" s="12">
        <f ca="1">IF(TOTALCO!F988="", "",TOTALCO!F988)</f>
        <v>82502852.813593268</v>
      </c>
      <c r="G463" s="12" t="str">
        <f>IF(TOTALCO!G988="", "",TOTALCO!G988)</f>
        <v/>
      </c>
      <c r="H463" s="12">
        <f ca="1">IF(TOTALCO!H988="", "",TOTALCO!H988)</f>
        <v>4362287.1169781759</v>
      </c>
      <c r="I463" s="12">
        <f ca="1">IF(TOTALCO!I988="", "",TOTALCO!I988)</f>
        <v>8231681.829428561</v>
      </c>
      <c r="J463" s="12" t="str">
        <f>IF(TOTALCO!J988="", "",TOTALCO!J988)</f>
        <v/>
      </c>
      <c r="K463" s="12" t="str">
        <f>IF(TOTALCO!K988="", "",TOTALCO!K988)</f>
        <v/>
      </c>
      <c r="L463" s="12">
        <f ca="1">IF(TOTALCO!L988="", "",TOTALCO!L988)</f>
        <v>453.52794056067972</v>
      </c>
      <c r="M463" s="12" t="str">
        <f>IF(TOTALCO!M988="", "",TOTALCO!M988)</f>
        <v/>
      </c>
      <c r="N463" s="12">
        <f ca="1">IF(TOTALCO!N988="", "",TOTALCO!N988)</f>
        <v>8231228.301488</v>
      </c>
      <c r="O463" s="12">
        <f ca="1">IF(TOTALCO!O988="", "",TOTALCO!O988)</f>
        <v>2687056.1777764708</v>
      </c>
      <c r="P463" s="12">
        <f ca="1">IF(TOTALCO!P988="", "",TOTALCO!P988)</f>
        <v>5544172.1237115292</v>
      </c>
      <c r="Q463" s="12"/>
      <c r="R463" s="13"/>
    </row>
    <row r="464" spans="1:18" ht="15" x14ac:dyDescent="0.2">
      <c r="A464" s="382">
        <f>IF(TOTALCO!A989="", "",TOTALCO!A989)</f>
        <v>43</v>
      </c>
      <c r="B464" s="4" t="str">
        <f>IF(TOTALCO!B989="", "",TOTALCO!B989)</f>
        <v xml:space="preserve">    TOTAL ACCT 555</v>
      </c>
      <c r="C464" s="4" t="str">
        <f>IF(TOTALCO!C989="", "",TOTALCO!C989)</f>
        <v/>
      </c>
      <c r="D464" s="12">
        <f ca="1">IF(TOTALCO!D989="", "",TOTALCO!D989)</f>
        <v>103829269.81000002</v>
      </c>
      <c r="E464" s="12" t="str">
        <f>IF(TOTALCO!E989="", "",TOTALCO!E989)</f>
        <v/>
      </c>
      <c r="F464" s="12">
        <f ca="1">IF(TOTALCO!F989="", "",TOTALCO!F989)</f>
        <v>90060700.788345426</v>
      </c>
      <c r="G464" s="12" t="str">
        <f>IF(TOTALCO!G989="", "",TOTALCO!G989)</f>
        <v/>
      </c>
      <c r="H464" s="12">
        <f ca="1">IF(TOTALCO!H989="", "",TOTALCO!H989)</f>
        <v>4806137.0932956571</v>
      </c>
      <c r="I464" s="12">
        <f ca="1">IF(TOTALCO!I989="", "",TOTALCO!I989)</f>
        <v>8962431.9283589236</v>
      </c>
      <c r="J464" s="12" t="str">
        <f>IF(TOTALCO!J989="", "",TOTALCO!J989)</f>
        <v/>
      </c>
      <c r="K464" s="12" t="str">
        <f>IF(TOTALCO!K989="", "",TOTALCO!K989)</f>
        <v/>
      </c>
      <c r="L464" s="12">
        <f ca="1">IF(TOTALCO!L989="", "",TOTALCO!L989)</f>
        <v>520.35268857595838</v>
      </c>
      <c r="M464" s="12" t="str">
        <f>IF(TOTALCO!M989="", "",TOTALCO!M989)</f>
        <v/>
      </c>
      <c r="N464" s="12">
        <f ca="1">IF(TOTALCO!N989="", "",TOTALCO!N989)</f>
        <v>8961911.5756703485</v>
      </c>
      <c r="O464" s="12">
        <f ca="1">IF(TOTALCO!O989="", "",TOTALCO!O989)</f>
        <v>2915047.8984157415</v>
      </c>
      <c r="P464" s="12">
        <f ca="1">IF(TOTALCO!P989="", "",TOTALCO!P989)</f>
        <v>6046863.677254607</v>
      </c>
      <c r="Q464" s="12"/>
      <c r="R464" s="13"/>
    </row>
    <row r="465" spans="1:18" ht="15" x14ac:dyDescent="0.2">
      <c r="A465" s="382" t="str">
        <f>IF(TOTALCO!A990="", "",TOTALCO!A990)</f>
        <v/>
      </c>
      <c r="B465" s="4" t="str">
        <f>IF(TOTALCO!B990="", "",TOTALCO!B990)</f>
        <v/>
      </c>
      <c r="C465" s="4" t="str">
        <f>IF(TOTALCO!C990="", "",TOTALCO!C990)</f>
        <v/>
      </c>
      <c r="D465" s="12" t="str">
        <f>IF(TOTALCO!D990="", "",TOTALCO!D990)</f>
        <v/>
      </c>
      <c r="E465" s="12" t="str">
        <f>IF(TOTALCO!E990="", "",TOTALCO!E990)</f>
        <v/>
      </c>
      <c r="F465" s="12" t="str">
        <f>IF(TOTALCO!F990="", "",TOTALCO!F990)</f>
        <v/>
      </c>
      <c r="G465" s="12" t="str">
        <f>IF(TOTALCO!G990="", "",TOTALCO!G990)</f>
        <v/>
      </c>
      <c r="H465" s="12" t="str">
        <f>IF(TOTALCO!H990="", "",TOTALCO!H990)</f>
        <v/>
      </c>
      <c r="I465" s="12" t="str">
        <f>IF(TOTALCO!I990="", "",TOTALCO!I990)</f>
        <v/>
      </c>
      <c r="J465" s="12" t="str">
        <f>IF(TOTALCO!J990="", "",TOTALCO!J990)</f>
        <v/>
      </c>
      <c r="K465" s="12" t="str">
        <f>IF(TOTALCO!K990="", "",TOTALCO!K990)</f>
        <v/>
      </c>
      <c r="L465" s="12" t="str">
        <f>IF(TOTALCO!L990="", "",TOTALCO!L990)</f>
        <v/>
      </c>
      <c r="M465" s="12" t="str">
        <f>IF(TOTALCO!M990="", "",TOTALCO!M990)</f>
        <v/>
      </c>
      <c r="N465" s="12" t="str">
        <f>IF(TOTALCO!N990="", "",TOTALCO!N990)</f>
        <v/>
      </c>
      <c r="O465" s="12" t="str">
        <f>IF(TOTALCO!O990="", "",TOTALCO!O990)</f>
        <v/>
      </c>
      <c r="P465" s="12" t="str">
        <f>IF(TOTALCO!P990="", "",TOTALCO!P990)</f>
        <v/>
      </c>
      <c r="Q465" s="12"/>
      <c r="R465" s="13"/>
    </row>
    <row r="466" spans="1:18" ht="15" x14ac:dyDescent="0.2">
      <c r="A466" s="382">
        <f>IF(TOTALCO!A991="", "",TOTALCO!A991)</f>
        <v>44</v>
      </c>
      <c r="B466" s="4" t="str">
        <f>IF(TOTALCO!B991="", "",TOTALCO!B991)</f>
        <v>556-SYSTEM CONTROL &amp; DISP</v>
      </c>
      <c r="C466" s="4" t="str">
        <f>IF(TOTALCO!C991="", "",TOTALCO!C991)</f>
        <v>DEMPROD</v>
      </c>
      <c r="D466" s="12">
        <f ca="1">IF(TOTALCO!D991="", "",TOTALCO!D991)</f>
        <v>1841937.28</v>
      </c>
      <c r="E466" s="12" t="str">
        <f>IF(TOTALCO!E991="", "",TOTALCO!E991)</f>
        <v/>
      </c>
      <c r="F466" s="12">
        <f ca="1">IF(TOTALCO!F991="", "",TOTALCO!F991)</f>
        <v>1594178.6153847768</v>
      </c>
      <c r="G466" s="12" t="str">
        <f>IF(TOTALCO!G991="", "",TOTALCO!G991)</f>
        <v/>
      </c>
      <c r="H466" s="12">
        <f ca="1">IF(TOTALCO!H991="", "",TOTALCO!H991)</f>
        <v>93621.377811263985</v>
      </c>
      <c r="I466" s="12">
        <f ca="1">IF(TOTALCO!I991="", "",TOTALCO!I991)</f>
        <v>154137.28680395917</v>
      </c>
      <c r="J466" s="12" t="str">
        <f>IF(TOTALCO!J991="", "",TOTALCO!J991)</f>
        <v/>
      </c>
      <c r="K466" s="12" t="str">
        <f>IF(TOTALCO!K991="", "",TOTALCO!K991)</f>
        <v/>
      </c>
      <c r="L466" s="12">
        <f ca="1">IF(TOTALCO!L991="", "",TOTALCO!L991)</f>
        <v>14.095359501846431</v>
      </c>
      <c r="M466" s="12" t="str">
        <f>IF(TOTALCO!M991="", "",TOTALCO!M991)</f>
        <v/>
      </c>
      <c r="N466" s="12">
        <f ca="1">IF(TOTALCO!N991="", "",TOTALCO!N991)</f>
        <v>154123.19144445733</v>
      </c>
      <c r="O466" s="12">
        <f ca="1">IF(TOTALCO!O991="", "",TOTALCO!O991)</f>
        <v>48090.346186121053</v>
      </c>
      <c r="P466" s="12">
        <f ca="1">IF(TOTALCO!P991="", "",TOTALCO!P991)</f>
        <v>106032.84525833627</v>
      </c>
      <c r="Q466" s="12"/>
      <c r="R466" s="13"/>
    </row>
    <row r="467" spans="1:18" ht="15" x14ac:dyDescent="0.2">
      <c r="A467" s="382">
        <f>IF(TOTALCO!A992="", "",TOTALCO!A992)</f>
        <v>45</v>
      </c>
      <c r="B467" s="4" t="str">
        <f>IF(TOTALCO!B992="", "",TOTALCO!B992)</f>
        <v>557-OTHER EXPENSES</v>
      </c>
      <c r="C467" s="4" t="str">
        <f>IF(TOTALCO!C992="", "",TOTALCO!C992)</f>
        <v>PRODPLT</v>
      </c>
      <c r="D467" s="12">
        <f ca="1">IF(TOTALCO!D992="", "",TOTALCO!D992)</f>
        <v>403737.86</v>
      </c>
      <c r="E467" s="12" t="str">
        <f>IF(TOTALCO!E992="", "",TOTALCO!E992)</f>
        <v/>
      </c>
      <c r="F467" s="12">
        <f ca="1">IF(TOTALCO!F992="", "",TOTALCO!F992)</f>
        <v>345976.04965793673</v>
      </c>
      <c r="G467" s="12" t="str">
        <f>IF(TOTALCO!G992="", "",TOTALCO!G992)</f>
        <v/>
      </c>
      <c r="H467" s="12">
        <f ca="1">IF(TOTALCO!H992="", "",TOTALCO!H992)</f>
        <v>20941.280687373015</v>
      </c>
      <c r="I467" s="12">
        <f ca="1">IF(TOTALCO!I992="", "",TOTALCO!I992)</f>
        <v>36820.529654690268</v>
      </c>
      <c r="J467" s="12" t="str">
        <f>IF(TOTALCO!J992="", "",TOTALCO!J992)</f>
        <v/>
      </c>
      <c r="K467" s="12" t="str">
        <f>IF(TOTALCO!K992="", "",TOTALCO!K992)</f>
        <v/>
      </c>
      <c r="L467" s="12">
        <f ca="1">IF(TOTALCO!L992="", "",TOTALCO!L992)</f>
        <v>3.0590404060715897</v>
      </c>
      <c r="M467" s="12" t="str">
        <f>IF(TOTALCO!M992="", "",TOTALCO!M992)</f>
        <v/>
      </c>
      <c r="N467" s="12">
        <f ca="1">IF(TOTALCO!N992="", "",TOTALCO!N992)</f>
        <v>36817.470614284197</v>
      </c>
      <c r="O467" s="12">
        <f ca="1">IF(TOTALCO!O992="", "",TOTALCO!O992)</f>
        <v>11487.98497451527</v>
      </c>
      <c r="P467" s="12">
        <f ca="1">IF(TOTALCO!P992="", "",TOTALCO!P992)</f>
        <v>25329.485639768929</v>
      </c>
      <c r="Q467" s="12"/>
      <c r="R467" s="13"/>
    </row>
    <row r="468" spans="1:18" ht="15" x14ac:dyDescent="0.2">
      <c r="A468" s="382" t="str">
        <f>IF(TOTALCO!A993="", "",TOTALCO!A993)</f>
        <v/>
      </c>
      <c r="B468" s="4" t="str">
        <f>IF(TOTALCO!B993="", "",TOTALCO!B993)</f>
        <v/>
      </c>
      <c r="C468" s="4" t="str">
        <f>IF(TOTALCO!C993="", "",TOTALCO!C993)</f>
        <v/>
      </c>
      <c r="D468" s="12" t="str">
        <f>IF(TOTALCO!D993="", "",TOTALCO!D993)</f>
        <v/>
      </c>
      <c r="E468" s="12" t="str">
        <f>IF(TOTALCO!E993="", "",TOTALCO!E993)</f>
        <v/>
      </c>
      <c r="F468" s="12" t="str">
        <f>IF(TOTALCO!F993="", "",TOTALCO!F993)</f>
        <v/>
      </c>
      <c r="G468" s="12" t="str">
        <f>IF(TOTALCO!G993="", "",TOTALCO!G993)</f>
        <v/>
      </c>
      <c r="H468" s="12" t="str">
        <f>IF(TOTALCO!H993="", "",TOTALCO!H993)</f>
        <v/>
      </c>
      <c r="I468" s="12" t="str">
        <f>IF(TOTALCO!I993="", "",TOTALCO!I993)</f>
        <v/>
      </c>
      <c r="J468" s="12" t="str">
        <f>IF(TOTALCO!J993="", "",TOTALCO!J993)</f>
        <v/>
      </c>
      <c r="K468" s="12" t="str">
        <f>IF(TOTALCO!K993="", "",TOTALCO!K993)</f>
        <v/>
      </c>
      <c r="L468" s="12" t="str">
        <f>IF(TOTALCO!L993="", "",TOTALCO!L993)</f>
        <v/>
      </c>
      <c r="M468" s="12" t="str">
        <f>IF(TOTALCO!M993="", "",TOTALCO!M993)</f>
        <v/>
      </c>
      <c r="N468" s="12" t="str">
        <f>IF(TOTALCO!N993="", "",TOTALCO!N993)</f>
        <v/>
      </c>
      <c r="O468" s="12" t="str">
        <f>IF(TOTALCO!O993="", "",TOTALCO!O993)</f>
        <v/>
      </c>
      <c r="P468" s="12" t="str">
        <f>IF(TOTALCO!P993="", "",TOTALCO!P993)</f>
        <v/>
      </c>
      <c r="Q468" s="12"/>
      <c r="R468" s="13"/>
    </row>
    <row r="469" spans="1:18" ht="15" x14ac:dyDescent="0.2">
      <c r="A469" s="382">
        <f>IF(TOTALCO!A994="", "",TOTALCO!A994)</f>
        <v>46</v>
      </c>
      <c r="B469" s="4" t="str">
        <f>IF(TOTALCO!B994="", "",TOTALCO!B994)</f>
        <v>TOTAL PRODUCTION EXPENSES</v>
      </c>
      <c r="C469" s="4" t="str">
        <f>IF(TOTALCO!C994="", "",TOTALCO!C994)</f>
        <v/>
      </c>
      <c r="D469" s="12">
        <f ca="1">IF(TOTALCO!D994="", "",TOTALCO!D994)</f>
        <v>750891338.8499999</v>
      </c>
      <c r="E469" s="12" t="str">
        <f>IF(TOTALCO!E994="", "",TOTALCO!E994)</f>
        <v/>
      </c>
      <c r="F469" s="12">
        <f ca="1">IF(TOTALCO!F994="", "",TOTALCO!F994)</f>
        <v>650299330.81798387</v>
      </c>
      <c r="G469" s="12" t="str">
        <f>IF(TOTALCO!G994="", "",TOTALCO!G994)</f>
        <v/>
      </c>
      <c r="H469" s="12">
        <f ca="1">IF(TOTALCO!H994="", "",TOTALCO!H994)</f>
        <v>34941554.524023823</v>
      </c>
      <c r="I469" s="12">
        <f ca="1">IF(TOTALCO!I994="", "",TOTALCO!I994)</f>
        <v>65650453.50799229</v>
      </c>
      <c r="J469" s="12" t="str">
        <f>IF(TOTALCO!J994="", "",TOTALCO!J994)</f>
        <v/>
      </c>
      <c r="K469" s="12" t="str">
        <f>IF(TOTALCO!K994="", "",TOTALCO!K994)</f>
        <v/>
      </c>
      <c r="L469" s="12">
        <f ca="1">IF(TOTALCO!L994="", "",TOTALCO!L994)</f>
        <v>3820.2176251032915</v>
      </c>
      <c r="M469" s="12" t="str">
        <f>IF(TOTALCO!M994="", "",TOTALCO!M994)</f>
        <v/>
      </c>
      <c r="N469" s="12">
        <f ca="1">IF(TOTALCO!N994="", "",TOTALCO!N994)</f>
        <v>65646633.290367186</v>
      </c>
      <c r="O469" s="12">
        <f ca="1">IF(TOTALCO!O994="", "",TOTALCO!O994)</f>
        <v>21318114.311229806</v>
      </c>
      <c r="P469" s="12">
        <f ca="1">IF(TOTALCO!P994="", "",TOTALCO!P994)</f>
        <v>44328518.979137376</v>
      </c>
      <c r="Q469" s="12"/>
      <c r="R469" s="13"/>
    </row>
    <row r="470" spans="1:18" ht="15" x14ac:dyDescent="0.2">
      <c r="A470" s="382" t="str">
        <f>IF(TOTALCO!A995="", "",TOTALCO!A995)</f>
        <v/>
      </c>
      <c r="B470" s="4" t="str">
        <f>IF(TOTALCO!B995="", "",TOTALCO!B995)</f>
        <v/>
      </c>
      <c r="C470" s="4" t="str">
        <f>IF(TOTALCO!C995="", "",TOTALCO!C995)</f>
        <v/>
      </c>
      <c r="D470" s="12" t="str">
        <f>IF(TOTALCO!D995="", "",TOTALCO!D995)</f>
        <v/>
      </c>
      <c r="E470" s="12" t="str">
        <f>IF(TOTALCO!E995="", "",TOTALCO!E995)</f>
        <v/>
      </c>
      <c r="F470" s="12" t="str">
        <f>IF(TOTALCO!F995="", "",TOTALCO!F995)</f>
        <v/>
      </c>
      <c r="G470" s="12" t="str">
        <f>IF(TOTALCO!G995="", "",TOTALCO!G995)</f>
        <v/>
      </c>
      <c r="H470" s="12" t="str">
        <f>IF(TOTALCO!H995="", "",TOTALCO!H995)</f>
        <v/>
      </c>
      <c r="I470" s="12" t="str">
        <f>IF(TOTALCO!I995="", "",TOTALCO!I995)</f>
        <v/>
      </c>
      <c r="J470" s="12" t="str">
        <f>IF(TOTALCO!J995="", "",TOTALCO!J995)</f>
        <v/>
      </c>
      <c r="K470" s="12" t="str">
        <f>IF(TOTALCO!K995="", "",TOTALCO!K995)</f>
        <v/>
      </c>
      <c r="L470" s="12" t="str">
        <f>IF(TOTALCO!L995="", "",TOTALCO!L995)</f>
        <v/>
      </c>
      <c r="M470" s="12" t="str">
        <f>IF(TOTALCO!M995="", "",TOTALCO!M995)</f>
        <v/>
      </c>
      <c r="N470" s="12" t="str">
        <f>IF(TOTALCO!N995="", "",TOTALCO!N995)</f>
        <v/>
      </c>
      <c r="O470" s="12" t="str">
        <f>IF(TOTALCO!O995="", "",TOTALCO!O995)</f>
        <v/>
      </c>
      <c r="P470" s="12" t="str">
        <f>IF(TOTALCO!P995="", "",TOTALCO!P995)</f>
        <v/>
      </c>
      <c r="Q470" s="12"/>
      <c r="R470" s="13"/>
    </row>
    <row r="471" spans="1:18" ht="15" x14ac:dyDescent="0.2">
      <c r="A471" s="382" t="str">
        <f>IF(TOTALCO!A996="", "",TOTALCO!A996)</f>
        <v/>
      </c>
      <c r="B471" s="4" t="str">
        <f>IF(TOTALCO!B996="", "",TOTALCO!B996)</f>
        <v>OPERATION &amp; MAINT EXP CON'T</v>
      </c>
      <c r="C471" s="4" t="str">
        <f>IF(TOTALCO!C996="", "",TOTALCO!C996)</f>
        <v/>
      </c>
      <c r="D471" s="12" t="str">
        <f>IF(TOTALCO!D996="", "",TOTALCO!D996)</f>
        <v/>
      </c>
      <c r="E471" s="12" t="str">
        <f>IF(TOTALCO!E996="", "",TOTALCO!E996)</f>
        <v/>
      </c>
      <c r="F471" s="12" t="str">
        <f>IF(TOTALCO!F996="", "",TOTALCO!F996)</f>
        <v/>
      </c>
      <c r="G471" s="12" t="str">
        <f>IF(TOTALCO!G996="", "",TOTALCO!G996)</f>
        <v/>
      </c>
      <c r="H471" s="12" t="str">
        <f>IF(TOTALCO!H996="", "",TOTALCO!H996)</f>
        <v/>
      </c>
      <c r="I471" s="12" t="str">
        <f>IF(TOTALCO!I996="", "",TOTALCO!I996)</f>
        <v/>
      </c>
      <c r="J471" s="12" t="str">
        <f>IF(TOTALCO!J996="", "",TOTALCO!J996)</f>
        <v/>
      </c>
      <c r="K471" s="12" t="str">
        <f>IF(TOTALCO!K996="", "",TOTALCO!K996)</f>
        <v/>
      </c>
      <c r="L471" s="12" t="str">
        <f>IF(TOTALCO!L996="", "",TOTALCO!L996)</f>
        <v/>
      </c>
      <c r="M471" s="12" t="str">
        <f>IF(TOTALCO!M996="", "",TOTALCO!M996)</f>
        <v/>
      </c>
      <c r="N471" s="12" t="str">
        <f>IF(TOTALCO!N996="", "",TOTALCO!N996)</f>
        <v/>
      </c>
      <c r="O471" s="12" t="str">
        <f>IF(TOTALCO!O996="", "",TOTALCO!O996)</f>
        <v/>
      </c>
      <c r="P471" s="12" t="str">
        <f>IF(TOTALCO!P996="", "",TOTALCO!P996)</f>
        <v/>
      </c>
      <c r="Q471" s="12"/>
      <c r="R471" s="13"/>
    </row>
    <row r="472" spans="1:18" ht="15" x14ac:dyDescent="0.2">
      <c r="A472" s="382" t="str">
        <f>IF(TOTALCO!A997="", "",TOTALCO!A997)</f>
        <v/>
      </c>
      <c r="B472" s="4" t="str">
        <f>IF(TOTALCO!B997="", "",TOTALCO!B997)</f>
        <v/>
      </c>
      <c r="C472" s="4" t="str">
        <f>IF(TOTALCO!C997="", "",TOTALCO!C997)</f>
        <v/>
      </c>
      <c r="D472" s="12" t="str">
        <f>IF(TOTALCO!D997="", "",TOTALCO!D997)</f>
        <v/>
      </c>
      <c r="E472" s="12" t="str">
        <f>IF(TOTALCO!E997="", "",TOTALCO!E997)</f>
        <v/>
      </c>
      <c r="F472" s="12" t="str">
        <f>IF(TOTALCO!F997="", "",TOTALCO!F997)</f>
        <v/>
      </c>
      <c r="G472" s="12" t="str">
        <f>IF(TOTALCO!G997="", "",TOTALCO!G997)</f>
        <v/>
      </c>
      <c r="H472" s="12" t="str">
        <f>IF(TOTALCO!H997="", "",TOTALCO!H997)</f>
        <v/>
      </c>
      <c r="I472" s="12" t="str">
        <f>IF(TOTALCO!I997="", "",TOTALCO!I997)</f>
        <v/>
      </c>
      <c r="J472" s="12" t="str">
        <f>IF(TOTALCO!J997="", "",TOTALCO!J997)</f>
        <v/>
      </c>
      <c r="K472" s="12" t="str">
        <f>IF(TOTALCO!K997="", "",TOTALCO!K997)</f>
        <v/>
      </c>
      <c r="L472" s="12" t="str">
        <f>IF(TOTALCO!L997="", "",TOTALCO!L997)</f>
        <v/>
      </c>
      <c r="M472" s="12" t="str">
        <f>IF(TOTALCO!M997="", "",TOTALCO!M997)</f>
        <v/>
      </c>
      <c r="N472" s="12" t="str">
        <f>IF(TOTALCO!N997="", "",TOTALCO!N997)</f>
        <v/>
      </c>
      <c r="O472" s="12" t="str">
        <f>IF(TOTALCO!O997="", "",TOTALCO!O997)</f>
        <v/>
      </c>
      <c r="P472" s="12" t="str">
        <f>IF(TOTALCO!P997="", "",TOTALCO!P997)</f>
        <v/>
      </c>
      <c r="Q472" s="12"/>
      <c r="R472" s="13"/>
    </row>
    <row r="473" spans="1:18" ht="15" x14ac:dyDescent="0.2">
      <c r="A473" s="382" t="str">
        <f>IF(TOTALCO!A998="", "",TOTALCO!A998)</f>
        <v/>
      </c>
      <c r="B473" s="4" t="str">
        <f>IF(TOTALCO!B998="", "",TOTALCO!B998)</f>
        <v>TRANSMISSION EXPENSES</v>
      </c>
      <c r="C473" s="4" t="str">
        <f>IF(TOTALCO!C998="", "",TOTALCO!C998)</f>
        <v/>
      </c>
      <c r="D473" s="12" t="str">
        <f>IF(TOTALCO!D998="", "",TOTALCO!D998)</f>
        <v/>
      </c>
      <c r="E473" s="12" t="str">
        <f>IF(TOTALCO!E998="", "",TOTALCO!E998)</f>
        <v/>
      </c>
      <c r="F473" s="12" t="str">
        <f>IF(TOTALCO!F998="", "",TOTALCO!F998)</f>
        <v/>
      </c>
      <c r="G473" s="12" t="str">
        <f>IF(TOTALCO!G998="", "",TOTALCO!G998)</f>
        <v/>
      </c>
      <c r="H473" s="12" t="str">
        <f>IF(TOTALCO!H998="", "",TOTALCO!H998)</f>
        <v/>
      </c>
      <c r="I473" s="12" t="str">
        <f>IF(TOTALCO!I998="", "",TOTALCO!I998)</f>
        <v/>
      </c>
      <c r="J473" s="12" t="str">
        <f>IF(TOTALCO!J998="", "",TOTALCO!J998)</f>
        <v/>
      </c>
      <c r="K473" s="12" t="str">
        <f>IF(TOTALCO!K998="", "",TOTALCO!K998)</f>
        <v/>
      </c>
      <c r="L473" s="12" t="str">
        <f>IF(TOTALCO!L998="", "",TOTALCO!L998)</f>
        <v/>
      </c>
      <c r="M473" s="12" t="str">
        <f>IF(TOTALCO!M998="", "",TOTALCO!M998)</f>
        <v/>
      </c>
      <c r="N473" s="12" t="str">
        <f>IF(TOTALCO!N998="", "",TOTALCO!N998)</f>
        <v/>
      </c>
      <c r="O473" s="12" t="str">
        <f>IF(TOTALCO!O998="", "",TOTALCO!O998)</f>
        <v/>
      </c>
      <c r="P473" s="12" t="str">
        <f>IF(TOTALCO!P998="", "",TOTALCO!P998)</f>
        <v/>
      </c>
      <c r="Q473" s="12"/>
      <c r="R473" s="13"/>
    </row>
    <row r="474" spans="1:18" ht="15" x14ac:dyDescent="0.2">
      <c r="A474" s="382">
        <f>IF(TOTALCO!A999="", "",TOTALCO!A999)</f>
        <v>1</v>
      </c>
      <c r="B474" s="4" t="str">
        <f>IF(TOTALCO!B999="", "",TOTALCO!B999)</f>
        <v xml:space="preserve">  560-SUPERV &amp; ENGINEERING</v>
      </c>
      <c r="C474" s="4" t="str">
        <f>IF(TOTALCO!C999="", "",TOTALCO!C999)</f>
        <v>LABTROP</v>
      </c>
      <c r="D474" s="12">
        <f ca="1">IF(TOTALCO!D999="", "",TOTALCO!D999)</f>
        <v>1499599.1800000002</v>
      </c>
      <c r="E474" s="12" t="str">
        <f>IF(TOTALCO!E999="", "",TOTALCO!E999)</f>
        <v/>
      </c>
      <c r="F474" s="12">
        <f ca="1">IF(TOTALCO!F999="", "",TOTALCO!F999)</f>
        <v>1203372.5681595828</v>
      </c>
      <c r="G474" s="12" t="str">
        <f>IF(TOTALCO!G999="", "",TOTALCO!G999)</f>
        <v/>
      </c>
      <c r="H474" s="12">
        <f ca="1">IF(TOTALCO!H999="", "",TOTALCO!H999)</f>
        <v>172257.45693845404</v>
      </c>
      <c r="I474" s="12">
        <f ca="1">IF(TOTALCO!I999="", "",TOTALCO!I999)</f>
        <v>123969.15490196344</v>
      </c>
      <c r="J474" s="12" t="str">
        <f>IF(TOTALCO!J999="", "",TOTALCO!J999)</f>
        <v/>
      </c>
      <c r="K474" s="12" t="str">
        <f>IF(TOTALCO!K999="", "",TOTALCO!K999)</f>
        <v/>
      </c>
      <c r="L474" s="12">
        <f ca="1">IF(TOTALCO!L999="", "",TOTALCO!L999)</f>
        <v>10.639942600644854</v>
      </c>
      <c r="M474" s="12" t="str">
        <f>IF(TOTALCO!M999="", "",TOTALCO!M999)</f>
        <v/>
      </c>
      <c r="N474" s="12">
        <f ca="1">IF(TOTALCO!N999="", "",TOTALCO!N999)</f>
        <v>123958.5149593628</v>
      </c>
      <c r="O474" s="12">
        <f ca="1">IF(TOTALCO!O999="", "",TOTALCO!O999)</f>
        <v>38678.20177641153</v>
      </c>
      <c r="P474" s="12">
        <f ca="1">IF(TOTALCO!P999="", "",TOTALCO!P999)</f>
        <v>85280.313182951271</v>
      </c>
      <c r="Q474" s="12"/>
      <c r="R474" s="13"/>
    </row>
    <row r="475" spans="1:18" ht="15" x14ac:dyDescent="0.2">
      <c r="A475" s="382">
        <f>IF(TOTALCO!A1000="", "",TOTALCO!A1000)</f>
        <v>2</v>
      </c>
      <c r="B475" s="4" t="str">
        <f>IF(TOTALCO!B1000="", "",TOTALCO!B1000)</f>
        <v xml:space="preserve">  561-LOAD DISPATCHING</v>
      </c>
      <c r="C475" s="4" t="str">
        <f>IF(TOTALCO!C1000="", "",TOTALCO!C1000)</f>
        <v>TRANPLT</v>
      </c>
      <c r="D475" s="12">
        <f ca="1">IF(TOTALCO!D1000="", "",TOTALCO!D1000)</f>
        <v>2847533.5999999996</v>
      </c>
      <c r="E475" s="12" t="str">
        <f>IF(TOTALCO!E1000="", "",TOTALCO!E1000)</f>
        <v/>
      </c>
      <c r="F475" s="12">
        <f ca="1">IF(TOTALCO!F1000="", "",TOTALCO!F1000)</f>
        <v>2285039.8072054833</v>
      </c>
      <c r="G475" s="12" t="str">
        <f>IF(TOTALCO!G1000="", "",TOTALCO!G1000)</f>
        <v/>
      </c>
      <c r="H475" s="12">
        <f ca="1">IF(TOTALCO!H1000="", "",TOTALCO!H1000)</f>
        <v>327093.3346888072</v>
      </c>
      <c r="I475" s="12">
        <f ca="1">IF(TOTALCO!I1000="", "",TOTALCO!I1000)</f>
        <v>235400.45810570905</v>
      </c>
      <c r="J475" s="12" t="str">
        <f>IF(TOTALCO!J1000="", "",TOTALCO!J1000)</f>
        <v/>
      </c>
      <c r="K475" s="12" t="str">
        <f>IF(TOTALCO!K1000="", "",TOTALCO!K1000)</f>
        <v/>
      </c>
      <c r="L475" s="12">
        <f ca="1">IF(TOTALCO!L1000="", "",TOTALCO!L1000)</f>
        <v>20.203794761615967</v>
      </c>
      <c r="M475" s="12" t="str">
        <f>IF(TOTALCO!M1000="", "",TOTALCO!M1000)</f>
        <v/>
      </c>
      <c r="N475" s="12">
        <f ca="1">IF(TOTALCO!N1000="", "",TOTALCO!N1000)</f>
        <v>235380.25431094744</v>
      </c>
      <c r="O475" s="12">
        <f ca="1">IF(TOTALCO!O1000="", "",TOTALCO!O1000)</f>
        <v>73444.611476722392</v>
      </c>
      <c r="P475" s="12">
        <f ca="1">IF(TOTALCO!P1000="", "",TOTALCO!P1000)</f>
        <v>161935.64283422503</v>
      </c>
      <c r="Q475" s="12"/>
      <c r="R475" s="13"/>
    </row>
    <row r="476" spans="1:18" ht="15" x14ac:dyDescent="0.2">
      <c r="A476" s="382">
        <f>IF(TOTALCO!A1001="", "",TOTALCO!A1001)</f>
        <v>3</v>
      </c>
      <c r="B476" s="4" t="str">
        <f>IF(TOTALCO!B1001="", "",TOTALCO!B1001)</f>
        <v xml:space="preserve">  562-STATION EXPENSES</v>
      </c>
      <c r="C476" s="4" t="str">
        <f>IF(TOTALCO!C1001="", "",TOTALCO!C1001)</f>
        <v>TRANPLT</v>
      </c>
      <c r="D476" s="12">
        <f ca="1">IF(TOTALCO!D1001="", "",TOTALCO!D1001)</f>
        <v>771550.95000000007</v>
      </c>
      <c r="E476" s="12" t="str">
        <f>IF(TOTALCO!E1001="", "",TOTALCO!E1001)</f>
        <v/>
      </c>
      <c r="F476" s="12">
        <f ca="1">IF(TOTALCO!F1001="", "",TOTALCO!F1001)</f>
        <v>619140.94149309001</v>
      </c>
      <c r="G476" s="12" t="str">
        <f>IF(TOTALCO!G1001="", "",TOTALCO!G1001)</f>
        <v/>
      </c>
      <c r="H476" s="12">
        <f ca="1">IF(TOTALCO!H1001="", "",TOTALCO!H1001)</f>
        <v>88627.285422660934</v>
      </c>
      <c r="I476" s="12">
        <f ca="1">IF(TOTALCO!I1001="", "",TOTALCO!I1001)</f>
        <v>63782.723084249141</v>
      </c>
      <c r="J476" s="12" t="str">
        <f>IF(TOTALCO!J1001="", "",TOTALCO!J1001)</f>
        <v/>
      </c>
      <c r="K476" s="12" t="str">
        <f>IF(TOTALCO!K1001="", "",TOTALCO!K1001)</f>
        <v/>
      </c>
      <c r="L476" s="12">
        <f ca="1">IF(TOTALCO!L1001="", "",TOTALCO!L1001)</f>
        <v>5.4743013539611347</v>
      </c>
      <c r="M476" s="12" t="str">
        <f>IF(TOTALCO!M1001="", "",TOTALCO!M1001)</f>
        <v/>
      </c>
      <c r="N476" s="12">
        <f ca="1">IF(TOTALCO!N1001="", "",TOTALCO!N1001)</f>
        <v>63777.248782895178</v>
      </c>
      <c r="O476" s="12">
        <f ca="1">IF(TOTALCO!O1001="", "",TOTALCO!O1001)</f>
        <v>19900.119793931874</v>
      </c>
      <c r="P476" s="12">
        <f ca="1">IF(TOTALCO!P1001="", "",TOTALCO!P1001)</f>
        <v>43877.128988963304</v>
      </c>
      <c r="Q476" s="12"/>
      <c r="R476" s="13"/>
    </row>
    <row r="477" spans="1:18" ht="15" x14ac:dyDescent="0.2">
      <c r="A477" s="382">
        <f>IF(TOTALCO!A1002="", "",TOTALCO!A1002)</f>
        <v>4</v>
      </c>
      <c r="B477" s="4" t="str">
        <f>IF(TOTALCO!B1002="", "",TOTALCO!B1002)</f>
        <v xml:space="preserve">  563-OVERHEAD LINE EXPENSES</v>
      </c>
      <c r="C477" s="4" t="str">
        <f>IF(TOTALCO!C1002="", "",TOTALCO!C1002)</f>
        <v>TRANPLT</v>
      </c>
      <c r="D477" s="12">
        <f ca="1">IF(TOTALCO!D1002="", "",TOTALCO!D1002)</f>
        <v>487465.94000000006</v>
      </c>
      <c r="E477" s="12" t="str">
        <f>IF(TOTALCO!E1002="", "",TOTALCO!E1002)</f>
        <v/>
      </c>
      <c r="F477" s="12">
        <f ca="1">IF(TOTALCO!F1002="", "",TOTALCO!F1002)</f>
        <v>391173.28678995743</v>
      </c>
      <c r="G477" s="12" t="str">
        <f>IF(TOTALCO!G1002="", "",TOTALCO!G1002)</f>
        <v/>
      </c>
      <c r="H477" s="12">
        <f ca="1">IF(TOTALCO!H1002="", "",TOTALCO!H1002)</f>
        <v>55994.724649364638</v>
      </c>
      <c r="I477" s="12">
        <f ca="1">IF(TOTALCO!I1002="", "",TOTALCO!I1002)</f>
        <v>40297.928560677945</v>
      </c>
      <c r="J477" s="12" t="str">
        <f>IF(TOTALCO!J1002="", "",TOTALCO!J1002)</f>
        <v/>
      </c>
      <c r="K477" s="12" t="str">
        <f>IF(TOTALCO!K1002="", "",TOTALCO!K1002)</f>
        <v/>
      </c>
      <c r="L477" s="12">
        <f ca="1">IF(TOTALCO!L1002="", "",TOTALCO!L1002)</f>
        <v>3.4586639487022044</v>
      </c>
      <c r="M477" s="12" t="str">
        <f>IF(TOTALCO!M1002="", "",TOTALCO!M1002)</f>
        <v/>
      </c>
      <c r="N477" s="12">
        <f ca="1">IF(TOTALCO!N1002="", "",TOTALCO!N1002)</f>
        <v>40294.469896729242</v>
      </c>
      <c r="O477" s="12">
        <f ca="1">IF(TOTALCO!O1002="", "",TOTALCO!O1002)</f>
        <v>12572.896970007756</v>
      </c>
      <c r="P477" s="12">
        <f ca="1">IF(TOTALCO!P1002="", "",TOTALCO!P1002)</f>
        <v>27721.572926721488</v>
      </c>
      <c r="Q477" s="12"/>
      <c r="R477" s="13"/>
    </row>
    <row r="478" spans="1:18" ht="15" x14ac:dyDescent="0.2">
      <c r="A478" s="382">
        <f>IF(TOTALCO!A1003="", "",TOTALCO!A1003)</f>
        <v>5</v>
      </c>
      <c r="B478" s="4" t="str">
        <f>IF(TOTALCO!B1003="", "",TOTALCO!B1003)</f>
        <v xml:space="preserve">  564-UNDERGROUND LINE EXP</v>
      </c>
      <c r="C478" s="4" t="str">
        <f>IF(TOTALCO!C1003="", "",TOTALCO!C1003)</f>
        <v>TRANPLT</v>
      </c>
      <c r="D478" s="12">
        <f ca="1">IF(TOTALCO!D1003="", "",TOTALCO!D1003)</f>
        <v>0</v>
      </c>
      <c r="E478" s="12" t="str">
        <f>IF(TOTALCO!E1003="", "",TOTALCO!E1003)</f>
        <v/>
      </c>
      <c r="F478" s="12">
        <f ca="1">IF(TOTALCO!F1003="", "",TOTALCO!F1003)</f>
        <v>0</v>
      </c>
      <c r="G478" s="12" t="str">
        <f>IF(TOTALCO!G1003="", "",TOTALCO!G1003)</f>
        <v/>
      </c>
      <c r="H478" s="12">
        <f ca="1">IF(TOTALCO!H1003="", "",TOTALCO!H1003)</f>
        <v>0</v>
      </c>
      <c r="I478" s="12">
        <f ca="1">IF(TOTALCO!I1003="", "",TOTALCO!I1003)</f>
        <v>0</v>
      </c>
      <c r="J478" s="12" t="str">
        <f>IF(TOTALCO!J1003="", "",TOTALCO!J1003)</f>
        <v/>
      </c>
      <c r="K478" s="12" t="str">
        <f>IF(TOTALCO!K1003="", "",TOTALCO!K1003)</f>
        <v/>
      </c>
      <c r="L478" s="12">
        <f ca="1">IF(TOTALCO!L1003="", "",TOTALCO!L1003)</f>
        <v>0</v>
      </c>
      <c r="M478" s="12" t="str">
        <f>IF(TOTALCO!M1003="", "",TOTALCO!M1003)</f>
        <v/>
      </c>
      <c r="N478" s="12">
        <f ca="1">IF(TOTALCO!N1003="", "",TOTALCO!N1003)</f>
        <v>0</v>
      </c>
      <c r="O478" s="12">
        <f ca="1">IF(TOTALCO!O1003="", "",TOTALCO!O1003)</f>
        <v>0</v>
      </c>
      <c r="P478" s="12">
        <f ca="1">IF(TOTALCO!P1003="", "",TOTALCO!P1003)</f>
        <v>0</v>
      </c>
      <c r="Q478" s="12"/>
      <c r="R478" s="13"/>
    </row>
    <row r="479" spans="1:18" ht="15" x14ac:dyDescent="0.2">
      <c r="A479" s="382">
        <f>IF(TOTALCO!A1004="", "",TOTALCO!A1004)</f>
        <v>6</v>
      </c>
      <c r="B479" s="4" t="str">
        <f>IF(TOTALCO!B1004="", "",TOTALCO!B1004)</f>
        <v xml:space="preserve">  565-TRANSM OF ELECT BY OTH</v>
      </c>
      <c r="C479" s="4" t="str">
        <f>IF(TOTALCO!C1004="", "",TOTALCO!C1004)</f>
        <v>TRANPLT</v>
      </c>
      <c r="D479" s="12">
        <f ca="1">IF(TOTALCO!D1004="", "",TOTALCO!D1004)</f>
        <v>2390403.8800000004</v>
      </c>
      <c r="E479" s="12" t="str">
        <f>IF(TOTALCO!E1004="", "",TOTALCO!E1004)</f>
        <v/>
      </c>
      <c r="F479" s="12">
        <f ca="1">IF(TOTALCO!F1004="", "",TOTALCO!F1004)</f>
        <v>1918210.2086867176</v>
      </c>
      <c r="G479" s="12" t="str">
        <f>IF(TOTALCO!G1004="", "",TOTALCO!G1004)</f>
        <v/>
      </c>
      <c r="H479" s="12">
        <f ca="1">IF(TOTALCO!H1004="", "",TOTALCO!H1004)</f>
        <v>274583.30126895197</v>
      </c>
      <c r="I479" s="12">
        <f ca="1">IF(TOTALCO!I1004="", "",TOTALCO!I1004)</f>
        <v>197610.37004433043</v>
      </c>
      <c r="J479" s="12" t="str">
        <f>IF(TOTALCO!J1004="", "",TOTALCO!J1004)</f>
        <v/>
      </c>
      <c r="K479" s="12" t="str">
        <f>IF(TOTALCO!K1004="", "",TOTALCO!K1004)</f>
        <v/>
      </c>
      <c r="L479" s="12">
        <f ca="1">IF(TOTALCO!L1004="", "",TOTALCO!L1004)</f>
        <v>16.960372087932686</v>
      </c>
      <c r="M479" s="12" t="str">
        <f>IF(TOTALCO!M1004="", "",TOTALCO!M1004)</f>
        <v/>
      </c>
      <c r="N479" s="12">
        <f ca="1">IF(TOTALCO!N1004="", "",TOTALCO!N1004)</f>
        <v>197593.4096722425</v>
      </c>
      <c r="O479" s="12">
        <f ca="1">IF(TOTALCO!O1004="", "",TOTALCO!O1004)</f>
        <v>61654.157211366975</v>
      </c>
      <c r="P479" s="12">
        <f ca="1">IF(TOTALCO!P1004="", "",TOTALCO!P1004)</f>
        <v>135939.25246087552</v>
      </c>
      <c r="Q479" s="12"/>
      <c r="R479" s="13"/>
    </row>
    <row r="480" spans="1:18" ht="15" x14ac:dyDescent="0.2">
      <c r="A480" s="382">
        <f>IF(TOTALCO!A1005="", "",TOTALCO!A1005)</f>
        <v>7</v>
      </c>
      <c r="B480" s="4" t="str">
        <f>IF(TOTALCO!B1005="", "",TOTALCO!B1005)</f>
        <v xml:space="preserve">  566-MISC TRANSMISSION EXP</v>
      </c>
      <c r="C480" s="4" t="str">
        <f>IF(TOTALCO!C1005="", "",TOTALCO!C1005)</f>
        <v>TRANPLT</v>
      </c>
      <c r="D480" s="12">
        <f ca="1">IF(TOTALCO!D1005="", "",TOTALCO!D1005)</f>
        <v>12105329.560000001</v>
      </c>
      <c r="E480" s="12" t="str">
        <f>IF(TOTALCO!E1005="", "",TOTALCO!E1005)</f>
        <v/>
      </c>
      <c r="F480" s="12">
        <f ca="1">IF(TOTALCO!F1005="", "",TOTALCO!F1005)</f>
        <v>9779438.4120993223</v>
      </c>
      <c r="G480" s="12" t="str">
        <f>IF(TOTALCO!G1005="", "",TOTALCO!G1005)</f>
        <v/>
      </c>
      <c r="H480" s="12">
        <f ca="1">IF(TOTALCO!H1005="", "",TOTALCO!H1005)</f>
        <v>1352518.9103161027</v>
      </c>
      <c r="I480" s="12">
        <f ca="1">IF(TOTALCO!I1005="", "",TOTALCO!I1005)</f>
        <v>973372.23758457624</v>
      </c>
      <c r="J480" s="12" t="str">
        <f>IF(TOTALCO!J1005="", "",TOTALCO!J1005)</f>
        <v/>
      </c>
      <c r="K480" s="12" t="str">
        <f>IF(TOTALCO!K1005="", "",TOTALCO!K1005)</f>
        <v/>
      </c>
      <c r="L480" s="12">
        <f ca="1">IF(TOTALCO!L1005="", "",TOTALCO!L1005)</f>
        <v>83.541948359261625</v>
      </c>
      <c r="M480" s="12" t="str">
        <f>IF(TOTALCO!M1005="", "",TOTALCO!M1005)</f>
        <v/>
      </c>
      <c r="N480" s="12">
        <f ca="1">IF(TOTALCO!N1005="", "",TOTALCO!N1005)</f>
        <v>973288.69563621702</v>
      </c>
      <c r="O480" s="12">
        <f ca="1">IF(TOTALCO!O1005="", "",TOTALCO!O1005)</f>
        <v>303690.76758348651</v>
      </c>
      <c r="P480" s="12">
        <f ca="1">IF(TOTALCO!P1005="", "",TOTALCO!P1005)</f>
        <v>669597.92805273051</v>
      </c>
      <c r="Q480" s="12"/>
      <c r="R480" s="13"/>
    </row>
    <row r="481" spans="1:18" ht="15" x14ac:dyDescent="0.2">
      <c r="A481" s="382">
        <f>IF(TOTALCO!A1006="", "",TOTALCO!A1006)</f>
        <v>8</v>
      </c>
      <c r="B481" s="4" t="str">
        <f>IF(TOTALCO!B1006="", "",TOTALCO!B1006)</f>
        <v xml:space="preserve">  567-RENTS</v>
      </c>
      <c r="C481" s="4" t="str">
        <f>IF(TOTALCO!C1006="", "",TOTALCO!C1006)</f>
        <v>TRANPLT</v>
      </c>
      <c r="D481" s="12">
        <f ca="1">IF(TOTALCO!D1006="", "",TOTALCO!D1006)</f>
        <v>142846.5</v>
      </c>
      <c r="E481" s="12" t="str">
        <f>IF(TOTALCO!E1006="", "",TOTALCO!E1006)</f>
        <v/>
      </c>
      <c r="F481" s="12">
        <f ca="1">IF(TOTALCO!F1006="", "",TOTALCO!F1006)</f>
        <v>114629.00343651016</v>
      </c>
      <c r="G481" s="12" t="str">
        <f>IF(TOTALCO!G1006="", "",TOTALCO!G1006)</f>
        <v/>
      </c>
      <c r="H481" s="12">
        <f ca="1">IF(TOTALCO!H1006="", "",TOTALCO!H1006)</f>
        <v>16408.634487622799</v>
      </c>
      <c r="I481" s="12">
        <f ca="1">IF(TOTALCO!I1006="", "",TOTALCO!I1006)</f>
        <v>11808.862075867048</v>
      </c>
      <c r="J481" s="12" t="str">
        <f>IF(TOTALCO!J1006="", "",TOTALCO!J1006)</f>
        <v/>
      </c>
      <c r="K481" s="12" t="str">
        <f>IF(TOTALCO!K1006="", "",TOTALCO!K1006)</f>
        <v/>
      </c>
      <c r="L481" s="12">
        <f ca="1">IF(TOTALCO!L1006="", "",TOTALCO!L1006)</f>
        <v>1.0135232007148838</v>
      </c>
      <c r="M481" s="12" t="str">
        <f>IF(TOTALCO!M1006="", "",TOTALCO!M1006)</f>
        <v/>
      </c>
      <c r="N481" s="12">
        <f ca="1">IF(TOTALCO!N1006="", "",TOTALCO!N1006)</f>
        <v>11807.848552666333</v>
      </c>
      <c r="O481" s="12">
        <f ca="1">IF(TOTALCO!O1006="", "",TOTALCO!O1006)</f>
        <v>3684.3483403706377</v>
      </c>
      <c r="P481" s="12">
        <f ca="1">IF(TOTALCO!P1006="", "",TOTALCO!P1006)</f>
        <v>8123.5002122956957</v>
      </c>
      <c r="Q481" s="12"/>
      <c r="R481" s="13"/>
    </row>
    <row r="482" spans="1:18" ht="15" x14ac:dyDescent="0.2">
      <c r="A482" s="382">
        <f>IF(TOTALCO!A1007="", "",TOTALCO!A1007)</f>
        <v>9</v>
      </c>
      <c r="B482" s="4" t="str">
        <f>IF(TOTALCO!B1007="", "",TOTALCO!B1007)</f>
        <v xml:space="preserve">  575-MISO DAY 1 &amp;2 EXP</v>
      </c>
      <c r="C482" s="4" t="str">
        <f>IF(TOTALCO!C1007="", "",TOTALCO!C1007)</f>
        <v>TRANPLT</v>
      </c>
      <c r="D482" s="12">
        <f ca="1">IF(TOTALCO!D1007="", "",TOTALCO!D1007)</f>
        <v>1397355.6400000001</v>
      </c>
      <c r="E482" s="12" t="str">
        <f>IF(TOTALCO!E1007="", "",TOTALCO!E1007)</f>
        <v/>
      </c>
      <c r="F482" s="12">
        <f ca="1">IF(TOTALCO!F1007="", "",TOTALCO!F1007)</f>
        <v>1224444.8729017179</v>
      </c>
      <c r="G482" s="12" t="str">
        <f>IF(TOTALCO!G1007="", "",TOTALCO!G1007)</f>
        <v/>
      </c>
      <c r="H482" s="12">
        <f ca="1">IF(TOTALCO!H1007="", "",TOTALCO!H1007)</f>
        <v>172877.31365183214</v>
      </c>
      <c r="I482" s="12">
        <f ca="1">IF(TOTALCO!I1007="", "",TOTALCO!I1007)</f>
        <v>33.453446450120182</v>
      </c>
      <c r="J482" s="12" t="str">
        <f>IF(TOTALCO!J1007="", "",TOTALCO!J1007)</f>
        <v/>
      </c>
      <c r="K482" s="12" t="str">
        <f>IF(TOTALCO!K1007="", "",TOTALCO!K1007)</f>
        <v/>
      </c>
      <c r="L482" s="12">
        <f ca="1">IF(TOTALCO!L1007="", "",TOTALCO!L1007)</f>
        <v>-4.436747706350916</v>
      </c>
      <c r="M482" s="12" t="str">
        <f>IF(TOTALCO!M1007="", "",TOTALCO!M1007)</f>
        <v/>
      </c>
      <c r="N482" s="12">
        <f ca="1">IF(TOTALCO!N1007="", "",TOTALCO!N1007)</f>
        <v>37.890194156471097</v>
      </c>
      <c r="O482" s="12">
        <f ca="1">IF(TOTALCO!O1007="", "",TOTALCO!O1007)</f>
        <v>11.822701937110487</v>
      </c>
      <c r="P482" s="12">
        <f ca="1">IF(TOTALCO!P1007="", "",TOTALCO!P1007)</f>
        <v>26.067492219360613</v>
      </c>
      <c r="Q482" s="12"/>
      <c r="R482" s="13"/>
    </row>
    <row r="483" spans="1:18" ht="15" x14ac:dyDescent="0.2">
      <c r="A483" s="382">
        <f>IF(TOTALCO!A1008="", "",TOTALCO!A1008)</f>
        <v>10</v>
      </c>
      <c r="B483" s="4" t="str">
        <f>IF(TOTALCO!B1008="", "",TOTALCO!B1008)</f>
        <v xml:space="preserve">    TOTAL TRANSM OPERATIONS</v>
      </c>
      <c r="C483" s="4" t="str">
        <f>IF(TOTALCO!C1008="", "",TOTALCO!C1008)</f>
        <v/>
      </c>
      <c r="D483" s="12">
        <f ca="1">IF(TOTALCO!D1008="", "",TOTALCO!D1008)</f>
        <v>21642085.25</v>
      </c>
      <c r="E483" s="12" t="str">
        <f>IF(TOTALCO!E1008="", "",TOTALCO!E1008)</f>
        <v/>
      </c>
      <c r="F483" s="12">
        <f ca="1">IF(TOTALCO!F1008="", "",TOTALCO!F1008)</f>
        <v>17535449.100772381</v>
      </c>
      <c r="G483" s="12" t="str">
        <f>IF(TOTALCO!G1008="", "",TOTALCO!G1008)</f>
        <v/>
      </c>
      <c r="H483" s="12">
        <f ca="1">IF(TOTALCO!H1008="", "",TOTALCO!H1008)</f>
        <v>2460360.9614237966</v>
      </c>
      <c r="I483" s="12">
        <f ca="1">IF(TOTALCO!I1008="", "",TOTALCO!I1008)</f>
        <v>1646275.1878038235</v>
      </c>
      <c r="J483" s="12" t="str">
        <f>IF(TOTALCO!J1008="", "",TOTALCO!J1008)</f>
        <v/>
      </c>
      <c r="K483" s="12" t="str">
        <f>IF(TOTALCO!K1008="", "",TOTALCO!K1008)</f>
        <v/>
      </c>
      <c r="L483" s="12">
        <f ca="1">IF(TOTALCO!L1008="", "",TOTALCO!L1008)</f>
        <v>136.85579860648241</v>
      </c>
      <c r="M483" s="12" t="str">
        <f>IF(TOTALCO!M1008="", "",TOTALCO!M1008)</f>
        <v/>
      </c>
      <c r="N483" s="12">
        <f ca="1">IF(TOTALCO!N1008="", "",TOTALCO!N1008)</f>
        <v>1646138.332005217</v>
      </c>
      <c r="O483" s="12">
        <f ca="1">IF(TOTALCO!O1008="", "",TOTALCO!O1008)</f>
        <v>513636.92585423478</v>
      </c>
      <c r="P483" s="12">
        <f ca="1">IF(TOTALCO!P1008="", "",TOTALCO!P1008)</f>
        <v>1132501.4061509822</v>
      </c>
      <c r="Q483" s="12"/>
      <c r="R483" s="13"/>
    </row>
    <row r="484" spans="1:18" ht="15" x14ac:dyDescent="0.2">
      <c r="A484" s="382">
        <f>IF(TOTALCO!A1009="", "",TOTALCO!A1009)</f>
        <v>11</v>
      </c>
      <c r="B484" s="4" t="str">
        <f>IF(TOTALCO!B1009="", "",TOTALCO!B1009)</f>
        <v xml:space="preserve">  568-SUPERV &amp; ENGINEERING</v>
      </c>
      <c r="C484" s="4" t="str">
        <f>IF(TOTALCO!C1009="", "",TOTALCO!C1009)</f>
        <v>TRANPLT</v>
      </c>
      <c r="D484" s="12">
        <f ca="1">IF(TOTALCO!D1009="", "",TOTALCO!D1009)</f>
        <v>0</v>
      </c>
      <c r="E484" s="12" t="str">
        <f>IF(TOTALCO!E1009="", "",TOTALCO!E1009)</f>
        <v/>
      </c>
      <c r="F484" s="12">
        <f ca="1">IF(TOTALCO!F1009="", "",TOTALCO!F1009)</f>
        <v>0</v>
      </c>
      <c r="G484" s="12" t="str">
        <f>IF(TOTALCO!G1009="", "",TOTALCO!G1009)</f>
        <v/>
      </c>
      <c r="H484" s="12">
        <f ca="1">IF(TOTALCO!H1009="", "",TOTALCO!H1009)</f>
        <v>0</v>
      </c>
      <c r="I484" s="12">
        <f ca="1">IF(TOTALCO!I1009="", "",TOTALCO!I1009)</f>
        <v>0</v>
      </c>
      <c r="J484" s="12" t="str">
        <f>IF(TOTALCO!J1009="", "",TOTALCO!J1009)</f>
        <v/>
      </c>
      <c r="K484" s="12" t="str">
        <f>IF(TOTALCO!K1009="", "",TOTALCO!K1009)</f>
        <v/>
      </c>
      <c r="L484" s="12">
        <f ca="1">IF(TOTALCO!L1009="", "",TOTALCO!L1009)</f>
        <v>0</v>
      </c>
      <c r="M484" s="12" t="str">
        <f>IF(TOTALCO!M1009="", "",TOTALCO!M1009)</f>
        <v/>
      </c>
      <c r="N484" s="12">
        <f ca="1">IF(TOTALCO!N1009="", "",TOTALCO!N1009)</f>
        <v>0</v>
      </c>
      <c r="O484" s="12">
        <f ca="1">IF(TOTALCO!O1009="", "",TOTALCO!O1009)</f>
        <v>0</v>
      </c>
      <c r="P484" s="12">
        <f ca="1">IF(TOTALCO!P1009="", "",TOTALCO!P1009)</f>
        <v>0</v>
      </c>
      <c r="Q484" s="12"/>
      <c r="R484" s="13"/>
    </row>
    <row r="485" spans="1:18" ht="15" x14ac:dyDescent="0.2">
      <c r="A485" s="382">
        <f>IF(TOTALCO!A1010="", "",TOTALCO!A1010)</f>
        <v>12</v>
      </c>
      <c r="B485" s="4" t="str">
        <f>IF(TOTALCO!B1010="", "",TOTALCO!B1010)</f>
        <v xml:space="preserve">  569-MAINT OF STRUCTURES</v>
      </c>
      <c r="C485" s="4" t="str">
        <f>IF(TOTALCO!C1010="", "",TOTALCO!C1010)</f>
        <v>TRANPLT</v>
      </c>
      <c r="D485" s="12">
        <f ca="1">IF(TOTALCO!D1010="", "",TOTALCO!D1010)</f>
        <v>0</v>
      </c>
      <c r="E485" s="12" t="str">
        <f>IF(TOTALCO!E1010="", "",TOTALCO!E1010)</f>
        <v/>
      </c>
      <c r="F485" s="12">
        <f ca="1">IF(TOTALCO!F1010="", "",TOTALCO!F1010)</f>
        <v>0</v>
      </c>
      <c r="G485" s="12" t="str">
        <f>IF(TOTALCO!G1010="", "",TOTALCO!G1010)</f>
        <v/>
      </c>
      <c r="H485" s="12">
        <f ca="1">IF(TOTALCO!H1010="", "",TOTALCO!H1010)</f>
        <v>0</v>
      </c>
      <c r="I485" s="12">
        <f ca="1">IF(TOTALCO!I1010="", "",TOTALCO!I1010)</f>
        <v>0</v>
      </c>
      <c r="J485" s="12" t="str">
        <f>IF(TOTALCO!J1010="", "",TOTALCO!J1010)</f>
        <v/>
      </c>
      <c r="K485" s="12" t="str">
        <f>IF(TOTALCO!K1010="", "",TOTALCO!K1010)</f>
        <v/>
      </c>
      <c r="L485" s="12">
        <f ca="1">IF(TOTALCO!L1010="", "",TOTALCO!L1010)</f>
        <v>0</v>
      </c>
      <c r="M485" s="12" t="str">
        <f>IF(TOTALCO!M1010="", "",TOTALCO!M1010)</f>
        <v/>
      </c>
      <c r="N485" s="12">
        <f ca="1">IF(TOTALCO!N1010="", "",TOTALCO!N1010)</f>
        <v>0</v>
      </c>
      <c r="O485" s="12">
        <f ca="1">IF(TOTALCO!O1010="", "",TOTALCO!O1010)</f>
        <v>0</v>
      </c>
      <c r="P485" s="12">
        <f ca="1">IF(TOTALCO!P1010="", "",TOTALCO!P1010)</f>
        <v>0</v>
      </c>
      <c r="Q485" s="12"/>
      <c r="R485" s="13"/>
    </row>
    <row r="486" spans="1:18" ht="15" x14ac:dyDescent="0.2">
      <c r="A486" s="382">
        <f>IF(TOTALCO!A1011="", "",TOTALCO!A1011)</f>
        <v>13</v>
      </c>
      <c r="B486" s="4" t="str">
        <f>IF(TOTALCO!B1011="", "",TOTALCO!B1011)</f>
        <v xml:space="preserve">  570-MAINT OF STATION EQUIP</v>
      </c>
      <c r="C486" s="4" t="str">
        <f>IF(TOTALCO!C1011="", "",TOTALCO!C1011)</f>
        <v>TRANPLT</v>
      </c>
      <c r="D486" s="12">
        <f ca="1">IF(TOTALCO!D1011="", "",TOTALCO!D1011)</f>
        <v>1954950.8</v>
      </c>
      <c r="E486" s="12" t="str">
        <f>IF(TOTALCO!E1011="", "",TOTALCO!E1011)</f>
        <v/>
      </c>
      <c r="F486" s="12">
        <f ca="1">IF(TOTALCO!F1011="", "",TOTALCO!F1011)</f>
        <v>1568775.3075602711</v>
      </c>
      <c r="G486" s="12" t="str">
        <f>IF(TOTALCO!G1011="", "",TOTALCO!G1011)</f>
        <v/>
      </c>
      <c r="H486" s="12">
        <f ca="1">IF(TOTALCO!H1011="", "",TOTALCO!H1011)</f>
        <v>224563.24179091389</v>
      </c>
      <c r="I486" s="12">
        <f ca="1">IF(TOTALCO!I1011="", "",TOTALCO!I1011)</f>
        <v>161612.25064881498</v>
      </c>
      <c r="J486" s="12" t="str">
        <f>IF(TOTALCO!J1011="", "",TOTALCO!J1011)</f>
        <v/>
      </c>
      <c r="K486" s="12" t="str">
        <f>IF(TOTALCO!K1011="", "",TOTALCO!K1011)</f>
        <v/>
      </c>
      <c r="L486" s="12">
        <f ca="1">IF(TOTALCO!L1011="", "",TOTALCO!L1011)</f>
        <v>13.870749315216841</v>
      </c>
      <c r="M486" s="12" t="str">
        <f>IF(TOTALCO!M1011="", "",TOTALCO!M1011)</f>
        <v/>
      </c>
      <c r="N486" s="12">
        <f ca="1">IF(TOTALCO!N1011="", "",TOTALCO!N1011)</f>
        <v>161598.37989949976</v>
      </c>
      <c r="O486" s="12">
        <f ca="1">IF(TOTALCO!O1011="", "",TOTALCO!O1011)</f>
        <v>50422.794646604925</v>
      </c>
      <c r="P486" s="12">
        <f ca="1">IF(TOTALCO!P1011="", "",TOTALCO!P1011)</f>
        <v>111175.58525289483</v>
      </c>
      <c r="Q486" s="12"/>
      <c r="R486" s="13"/>
    </row>
    <row r="487" spans="1:18" ht="15" x14ac:dyDescent="0.2">
      <c r="A487" s="382">
        <f>IF(TOTALCO!A1012="", "",TOTALCO!A1012)</f>
        <v>14</v>
      </c>
      <c r="B487" s="4" t="str">
        <f>IF(TOTALCO!B1012="", "",TOTALCO!B1012)</f>
        <v xml:space="preserve">  571-MAINT OF OH LINES</v>
      </c>
      <c r="C487" s="4" t="str">
        <f>IF(TOTALCO!C1012="", "",TOTALCO!C1012)</f>
        <v>TRANPLT</v>
      </c>
      <c r="D487" s="12">
        <f ca="1">IF(TOTALCO!D1012="", "",TOTALCO!D1012)</f>
        <v>4660622.09</v>
      </c>
      <c r="E487" s="12" t="str">
        <f>IF(TOTALCO!E1012="", "",TOTALCO!E1012)</f>
        <v/>
      </c>
      <c r="F487" s="12">
        <f ca="1">IF(TOTALCO!F1012="", "",TOTALCO!F1012)</f>
        <v>3755066.053588747</v>
      </c>
      <c r="G487" s="12" t="str">
        <f>IF(TOTALCO!G1012="", "",TOTALCO!G1012)</f>
        <v/>
      </c>
      <c r="H487" s="12">
        <f ca="1">IF(TOTALCO!H1012="", "",TOTALCO!H1012)</f>
        <v>526585.97746613831</v>
      </c>
      <c r="I487" s="12">
        <f ca="1">IF(TOTALCO!I1012="", "",TOTALCO!I1012)</f>
        <v>378970.05894511513</v>
      </c>
      <c r="J487" s="12" t="str">
        <f>IF(TOTALCO!J1012="", "",TOTALCO!J1012)</f>
        <v/>
      </c>
      <c r="K487" s="12" t="str">
        <f>IF(TOTALCO!K1012="", "",TOTALCO!K1012)</f>
        <v/>
      </c>
      <c r="L487" s="12">
        <f ca="1">IF(TOTALCO!L1012="", "",TOTALCO!L1012)</f>
        <v>32.525991467214219</v>
      </c>
      <c r="M487" s="12" t="str">
        <f>IF(TOTALCO!M1012="", "",TOTALCO!M1012)</f>
        <v/>
      </c>
      <c r="N487" s="12">
        <f ca="1">IF(TOTALCO!N1012="", "",TOTALCO!N1012)</f>
        <v>378937.5329536479</v>
      </c>
      <c r="O487" s="12">
        <f ca="1">IF(TOTALCO!O1012="", "",TOTALCO!O1012)</f>
        <v>118238.12478748757</v>
      </c>
      <c r="P487" s="12">
        <f ca="1">IF(TOTALCO!P1012="", "",TOTALCO!P1012)</f>
        <v>260699.40816616031</v>
      </c>
      <c r="Q487" s="12"/>
      <c r="R487" s="13"/>
    </row>
    <row r="488" spans="1:18" ht="15" x14ac:dyDescent="0.2">
      <c r="A488" s="382">
        <f>IF(TOTALCO!A1013="", "",TOTALCO!A1013)</f>
        <v>15</v>
      </c>
      <c r="B488" s="4" t="str">
        <f>IF(TOTALCO!B1013="", "",TOTALCO!B1013)</f>
        <v xml:space="preserve">  572-MAINT OF UG LINES</v>
      </c>
      <c r="C488" s="4" t="str">
        <f>IF(TOTALCO!C1013="", "",TOTALCO!C1013)</f>
        <v>TRANPLT</v>
      </c>
      <c r="D488" s="12">
        <f ca="1">IF(TOTALCO!D1013="", "",TOTALCO!D1013)</f>
        <v>0</v>
      </c>
      <c r="E488" s="12" t="str">
        <f>IF(TOTALCO!E1013="", "",TOTALCO!E1013)</f>
        <v/>
      </c>
      <c r="F488" s="12">
        <f ca="1">IF(TOTALCO!F1013="", "",TOTALCO!F1013)</f>
        <v>0</v>
      </c>
      <c r="G488" s="12" t="str">
        <f>IF(TOTALCO!G1013="", "",TOTALCO!G1013)</f>
        <v/>
      </c>
      <c r="H488" s="12">
        <f ca="1">IF(TOTALCO!H1013="", "",TOTALCO!H1013)</f>
        <v>0</v>
      </c>
      <c r="I488" s="12">
        <f ca="1">IF(TOTALCO!I1013="", "",TOTALCO!I1013)</f>
        <v>0</v>
      </c>
      <c r="J488" s="12" t="str">
        <f>IF(TOTALCO!J1013="", "",TOTALCO!J1013)</f>
        <v/>
      </c>
      <c r="K488" s="12" t="str">
        <f>IF(TOTALCO!K1013="", "",TOTALCO!K1013)</f>
        <v/>
      </c>
      <c r="L488" s="12">
        <f ca="1">IF(TOTALCO!L1013="", "",TOTALCO!L1013)</f>
        <v>0</v>
      </c>
      <c r="M488" s="12" t="str">
        <f>IF(TOTALCO!M1013="", "",TOTALCO!M1013)</f>
        <v/>
      </c>
      <c r="N488" s="12">
        <f ca="1">IF(TOTALCO!N1013="", "",TOTALCO!N1013)</f>
        <v>0</v>
      </c>
      <c r="O488" s="12">
        <f ca="1">IF(TOTALCO!O1013="", "",TOTALCO!O1013)</f>
        <v>0</v>
      </c>
      <c r="P488" s="12">
        <f ca="1">IF(TOTALCO!P1013="", "",TOTALCO!P1013)</f>
        <v>0</v>
      </c>
      <c r="Q488" s="12"/>
      <c r="R488" s="13"/>
    </row>
    <row r="489" spans="1:18" ht="15" x14ac:dyDescent="0.2">
      <c r="A489" s="382">
        <f>IF(TOTALCO!A1014="", "",TOTALCO!A1014)</f>
        <v>16</v>
      </c>
      <c r="B489" s="4" t="str">
        <f>IF(TOTALCO!B1014="", "",TOTALCO!B1014)</f>
        <v xml:space="preserve">  573-MAINT OF MISC TRAN PLT</v>
      </c>
      <c r="C489" s="4" t="str">
        <f>IF(TOTALCO!C1014="", "",TOTALCO!C1014)</f>
        <v>TRANPLT</v>
      </c>
      <c r="D489" s="12">
        <f ca="1">IF(TOTALCO!D1014="", "",TOTALCO!D1014)</f>
        <v>680912.85000000009</v>
      </c>
      <c r="E489" s="12" t="str">
        <f>IF(TOTALCO!E1014="", "",TOTALCO!E1014)</f>
        <v/>
      </c>
      <c r="F489" s="12">
        <f ca="1">IF(TOTALCO!F1014="", "",TOTALCO!F1014)</f>
        <v>546407.23729747615</v>
      </c>
      <c r="G489" s="12" t="str">
        <f>IF(TOTALCO!G1014="", "",TOTALCO!G1014)</f>
        <v/>
      </c>
      <c r="H489" s="12">
        <f ca="1">IF(TOTALCO!H1014="", "",TOTALCO!H1014)</f>
        <v>78215.777590459184</v>
      </c>
      <c r="I489" s="12">
        <f ca="1">IF(TOTALCO!I1014="", "",TOTALCO!I1014)</f>
        <v>56289.835112064684</v>
      </c>
      <c r="J489" s="12" t="str">
        <f>IF(TOTALCO!J1014="", "",TOTALCO!J1014)</f>
        <v/>
      </c>
      <c r="K489" s="12" t="str">
        <f>IF(TOTALCO!K1014="", "",TOTALCO!K1014)</f>
        <v/>
      </c>
      <c r="L489" s="12">
        <f ca="1">IF(TOTALCO!L1014="", "",TOTALCO!L1014)</f>
        <v>4.8312067228801086</v>
      </c>
      <c r="M489" s="12" t="str">
        <f>IF(TOTALCO!M1014="", "",TOTALCO!M1014)</f>
        <v/>
      </c>
      <c r="N489" s="12">
        <f ca="1">IF(TOTALCO!N1014="", "",TOTALCO!N1014)</f>
        <v>56285.0039053418</v>
      </c>
      <c r="O489" s="12">
        <f ca="1">IF(TOTALCO!O1014="", "",TOTALCO!O1014)</f>
        <v>17562.349296864402</v>
      </c>
      <c r="P489" s="12">
        <f ca="1">IF(TOTALCO!P1014="", "",TOTALCO!P1014)</f>
        <v>38722.654608477402</v>
      </c>
      <c r="Q489" s="12"/>
      <c r="R489" s="13"/>
    </row>
    <row r="490" spans="1:18" ht="15" x14ac:dyDescent="0.2">
      <c r="A490" s="382">
        <f>IF(TOTALCO!A1015="", "",TOTALCO!A1015)</f>
        <v>17</v>
      </c>
      <c r="B490" s="4" t="str">
        <f>IF(TOTALCO!B1015="", "",TOTALCO!B1015)</f>
        <v xml:space="preserve">    TOTAL TRANSM MAINTENANCE</v>
      </c>
      <c r="C490" s="4" t="str">
        <f>IF(TOTALCO!C1015="", "",TOTALCO!C1015)</f>
        <v/>
      </c>
      <c r="D490" s="12">
        <f ca="1">IF(TOTALCO!D1015="", "",TOTALCO!D1015)</f>
        <v>7296485.7400000012</v>
      </c>
      <c r="E490" s="12" t="str">
        <f>IF(TOTALCO!E1015="", "",TOTALCO!E1015)</f>
        <v/>
      </c>
      <c r="F490" s="12">
        <f ca="1">IF(TOTALCO!F1015="", "",TOTALCO!F1015)</f>
        <v>5870248.5984464949</v>
      </c>
      <c r="G490" s="12" t="str">
        <f>IF(TOTALCO!G1015="", "",TOTALCO!G1015)</f>
        <v/>
      </c>
      <c r="H490" s="12">
        <f ca="1">IF(TOTALCO!H1015="", "",TOTALCO!H1015)</f>
        <v>829364.99684751139</v>
      </c>
      <c r="I490" s="12">
        <f ca="1">IF(TOTALCO!I1015="", "",TOTALCO!I1015)</f>
        <v>596872.14470599475</v>
      </c>
      <c r="J490" s="12" t="str">
        <f>IF(TOTALCO!J1015="", "",TOTALCO!J1015)</f>
        <v/>
      </c>
      <c r="K490" s="12" t="str">
        <f>IF(TOTALCO!K1015="", "",TOTALCO!K1015)</f>
        <v/>
      </c>
      <c r="L490" s="12">
        <f ca="1">IF(TOTALCO!L1015="", "",TOTALCO!L1015)</f>
        <v>51.227947505311171</v>
      </c>
      <c r="M490" s="12" t="str">
        <f>IF(TOTALCO!M1015="", "",TOTALCO!M1015)</f>
        <v/>
      </c>
      <c r="N490" s="12">
        <f ca="1">IF(TOTALCO!N1015="", "",TOTALCO!N1015)</f>
        <v>596820.91675848945</v>
      </c>
      <c r="O490" s="12">
        <f ca="1">IF(TOTALCO!O1015="", "",TOTALCO!O1015)</f>
        <v>186223.26873095692</v>
      </c>
      <c r="P490" s="12">
        <f ca="1">IF(TOTALCO!P1015="", "",TOTALCO!P1015)</f>
        <v>410597.6480275325</v>
      </c>
      <c r="Q490" s="12"/>
      <c r="R490" s="13"/>
    </row>
    <row r="491" spans="1:18" ht="15" x14ac:dyDescent="0.2">
      <c r="A491" s="382" t="str">
        <f>IF(TOTALCO!A1016="", "",TOTALCO!A1016)</f>
        <v/>
      </c>
      <c r="B491" s="4" t="str">
        <f>IF(TOTALCO!B1016="", "",TOTALCO!B1016)</f>
        <v/>
      </c>
      <c r="C491" s="4" t="str">
        <f>IF(TOTALCO!C1016="", "",TOTALCO!C1016)</f>
        <v/>
      </c>
      <c r="D491" s="12" t="str">
        <f>IF(TOTALCO!D1016="", "",TOTALCO!D1016)</f>
        <v/>
      </c>
      <c r="E491" s="12" t="str">
        <f>IF(TOTALCO!E1016="", "",TOTALCO!E1016)</f>
        <v/>
      </c>
      <c r="F491" s="12" t="str">
        <f>IF(TOTALCO!F1016="", "",TOTALCO!F1016)</f>
        <v/>
      </c>
      <c r="G491" s="12" t="str">
        <f>IF(TOTALCO!G1016="", "",TOTALCO!G1016)</f>
        <v/>
      </c>
      <c r="H491" s="12" t="str">
        <f>IF(TOTALCO!H1016="", "",TOTALCO!H1016)</f>
        <v/>
      </c>
      <c r="I491" s="12" t="str">
        <f>IF(TOTALCO!I1016="", "",TOTALCO!I1016)</f>
        <v/>
      </c>
      <c r="J491" s="12" t="str">
        <f>IF(TOTALCO!J1016="", "",TOTALCO!J1016)</f>
        <v/>
      </c>
      <c r="K491" s="12" t="str">
        <f>IF(TOTALCO!K1016="", "",TOTALCO!K1016)</f>
        <v/>
      </c>
      <c r="L491" s="12" t="str">
        <f>IF(TOTALCO!L1016="", "",TOTALCO!L1016)</f>
        <v/>
      </c>
      <c r="M491" s="12" t="str">
        <f>IF(TOTALCO!M1016="", "",TOTALCO!M1016)</f>
        <v/>
      </c>
      <c r="N491" s="12" t="str">
        <f>IF(TOTALCO!N1016="", "",TOTALCO!N1016)</f>
        <v/>
      </c>
      <c r="O491" s="12" t="str">
        <f>IF(TOTALCO!O1016="", "",TOTALCO!O1016)</f>
        <v/>
      </c>
      <c r="P491" s="12" t="str">
        <f>IF(TOTALCO!P1016="", "",TOTALCO!P1016)</f>
        <v/>
      </c>
      <c r="Q491" s="12"/>
      <c r="R491" s="13"/>
    </row>
    <row r="492" spans="1:18" ht="15" x14ac:dyDescent="0.2">
      <c r="A492" s="382">
        <f>IF(TOTALCO!A1017="", "",TOTALCO!A1017)</f>
        <v>18</v>
      </c>
      <c r="B492" s="4" t="str">
        <f>IF(TOTALCO!B1017="", "",TOTALCO!B1017)</f>
        <v>TOTAL TRANSMISSION EXPENSES</v>
      </c>
      <c r="C492" s="4" t="str">
        <f>IF(TOTALCO!C1017="", "",TOTALCO!C1017)</f>
        <v/>
      </c>
      <c r="D492" s="12">
        <f ca="1">IF(TOTALCO!D1017="", "",TOTALCO!D1017)</f>
        <v>28938570.990000006</v>
      </c>
      <c r="E492" s="12" t="str">
        <f>IF(TOTALCO!E1017="", "",TOTALCO!E1017)</f>
        <v/>
      </c>
      <c r="F492" s="12">
        <f ca="1">IF(TOTALCO!F1017="", "",TOTALCO!F1017)</f>
        <v>23405697.699218877</v>
      </c>
      <c r="G492" s="12" t="str">
        <f>IF(TOTALCO!G1017="", "",TOTALCO!G1017)</f>
        <v/>
      </c>
      <c r="H492" s="12">
        <f ca="1">IF(TOTALCO!H1017="", "",TOTALCO!H1017)</f>
        <v>3289725.9582713079</v>
      </c>
      <c r="I492" s="12">
        <f ca="1">IF(TOTALCO!I1017="", "",TOTALCO!I1017)</f>
        <v>2243147.3325098185</v>
      </c>
      <c r="J492" s="12" t="str">
        <f>IF(TOTALCO!J1017="", "",TOTALCO!J1017)</f>
        <v/>
      </c>
      <c r="K492" s="12" t="str">
        <f>IF(TOTALCO!K1017="", "",TOTALCO!K1017)</f>
        <v/>
      </c>
      <c r="L492" s="12">
        <f ca="1">IF(TOTALCO!L1017="", "",TOTALCO!L1017)</f>
        <v>188.08374611179357</v>
      </c>
      <c r="M492" s="12" t="str">
        <f>IF(TOTALCO!M1017="", "",TOTALCO!M1017)</f>
        <v/>
      </c>
      <c r="N492" s="12">
        <f ca="1">IF(TOTALCO!N1017="", "",TOTALCO!N1017)</f>
        <v>2242959.2487637065</v>
      </c>
      <c r="O492" s="12">
        <f ca="1">IF(TOTALCO!O1017="", "",TOTALCO!O1017)</f>
        <v>699860.19458519167</v>
      </c>
      <c r="P492" s="12">
        <f ca="1">IF(TOTALCO!P1017="", "",TOTALCO!P1017)</f>
        <v>1543099.0541785148</v>
      </c>
      <c r="Q492" s="12"/>
      <c r="R492" s="13"/>
    </row>
    <row r="493" spans="1:18" ht="15" x14ac:dyDescent="0.2">
      <c r="A493" s="382" t="str">
        <f>IF(TOTALCO!A1018="", "",TOTALCO!A1018)</f>
        <v/>
      </c>
      <c r="B493" s="4" t="str">
        <f>IF(TOTALCO!B1018="", "",TOTALCO!B1018)</f>
        <v/>
      </c>
      <c r="C493" s="4" t="str">
        <f>IF(TOTALCO!C1018="", "",TOTALCO!C1018)</f>
        <v/>
      </c>
      <c r="D493" s="12" t="str">
        <f>IF(TOTALCO!D1018="", "",TOTALCO!D1018)</f>
        <v/>
      </c>
      <c r="E493" s="12" t="str">
        <f>IF(TOTALCO!E1018="", "",TOTALCO!E1018)</f>
        <v/>
      </c>
      <c r="F493" s="12" t="str">
        <f>IF(TOTALCO!F1018="", "",TOTALCO!F1018)</f>
        <v/>
      </c>
      <c r="G493" s="12" t="str">
        <f>IF(TOTALCO!G1018="", "",TOTALCO!G1018)</f>
        <v/>
      </c>
      <c r="H493" s="12" t="str">
        <f>IF(TOTALCO!H1018="", "",TOTALCO!H1018)</f>
        <v/>
      </c>
      <c r="I493" s="12" t="str">
        <f>IF(TOTALCO!I1018="", "",TOTALCO!I1018)</f>
        <v/>
      </c>
      <c r="J493" s="12" t="str">
        <f>IF(TOTALCO!J1018="", "",TOTALCO!J1018)</f>
        <v/>
      </c>
      <c r="K493" s="12" t="str">
        <f>IF(TOTALCO!K1018="", "",TOTALCO!K1018)</f>
        <v/>
      </c>
      <c r="L493" s="12" t="str">
        <f>IF(TOTALCO!L1018="", "",TOTALCO!L1018)</f>
        <v/>
      </c>
      <c r="M493" s="12" t="str">
        <f>IF(TOTALCO!M1018="", "",TOTALCO!M1018)</f>
        <v/>
      </c>
      <c r="N493" s="12" t="str">
        <f>IF(TOTALCO!N1018="", "",TOTALCO!N1018)</f>
        <v/>
      </c>
      <c r="O493" s="12" t="str">
        <f>IF(TOTALCO!O1018="", "",TOTALCO!O1018)</f>
        <v/>
      </c>
      <c r="P493" s="12" t="str">
        <f>IF(TOTALCO!P1018="", "",TOTALCO!P1018)</f>
        <v/>
      </c>
      <c r="Q493" s="12"/>
      <c r="R493" s="13"/>
    </row>
    <row r="494" spans="1:18" ht="15" x14ac:dyDescent="0.2">
      <c r="A494" s="382" t="str">
        <f>IF(TOTALCO!A1019="", "",TOTALCO!A1019)</f>
        <v/>
      </c>
      <c r="B494" s="4" t="str">
        <f>IF(TOTALCO!B1019="", "",TOTALCO!B1019)</f>
        <v>DISTRIBUTION EXPENSES</v>
      </c>
      <c r="C494" s="4" t="str">
        <f>IF(TOTALCO!C1019="", "",TOTALCO!C1019)</f>
        <v/>
      </c>
      <c r="D494" s="12" t="str">
        <f>IF(TOTALCO!D1019="", "",TOTALCO!D1019)</f>
        <v/>
      </c>
      <c r="E494" s="12" t="str">
        <f>IF(TOTALCO!E1019="", "",TOTALCO!E1019)</f>
        <v/>
      </c>
      <c r="F494" s="12" t="str">
        <f>IF(TOTALCO!F1019="", "",TOTALCO!F1019)</f>
        <v/>
      </c>
      <c r="G494" s="12" t="str">
        <f>IF(TOTALCO!G1019="", "",TOTALCO!G1019)</f>
        <v/>
      </c>
      <c r="H494" s="12" t="str">
        <f>IF(TOTALCO!H1019="", "",TOTALCO!H1019)</f>
        <v/>
      </c>
      <c r="I494" s="12" t="str">
        <f>IF(TOTALCO!I1019="", "",TOTALCO!I1019)</f>
        <v/>
      </c>
      <c r="J494" s="12" t="str">
        <f>IF(TOTALCO!J1019="", "",TOTALCO!J1019)</f>
        <v/>
      </c>
      <c r="K494" s="12" t="str">
        <f>IF(TOTALCO!K1019="", "",TOTALCO!K1019)</f>
        <v/>
      </c>
      <c r="L494" s="12" t="str">
        <f>IF(TOTALCO!L1019="", "",TOTALCO!L1019)</f>
        <v/>
      </c>
      <c r="M494" s="12" t="str">
        <f>IF(TOTALCO!M1019="", "",TOTALCO!M1019)</f>
        <v/>
      </c>
      <c r="N494" s="12" t="str">
        <f>IF(TOTALCO!N1019="", "",TOTALCO!N1019)</f>
        <v/>
      </c>
      <c r="O494" s="12" t="str">
        <f>IF(TOTALCO!O1019="", "",TOTALCO!O1019)</f>
        <v/>
      </c>
      <c r="P494" s="12" t="str">
        <f>IF(TOTALCO!P1019="", "",TOTALCO!P1019)</f>
        <v/>
      </c>
      <c r="Q494" s="12"/>
      <c r="R494" s="13"/>
    </row>
    <row r="495" spans="1:18" ht="15" x14ac:dyDescent="0.2">
      <c r="A495" s="382">
        <f>IF(TOTALCO!A1020="", "",TOTALCO!A1020)</f>
        <v>19</v>
      </c>
      <c r="B495" s="4" t="str">
        <f>IF(TOTALCO!B1020="", "",TOTALCO!B1020)</f>
        <v xml:space="preserve">  580-SUPERV &amp; ENGINEERING</v>
      </c>
      <c r="C495" s="4" t="str">
        <f>IF(TOTALCO!C1020="", "",TOTALCO!C1020)</f>
        <v>DISTPLT</v>
      </c>
      <c r="D495" s="12">
        <f ca="1">IF(TOTALCO!D1020="", "",TOTALCO!D1020)</f>
        <v>2005458.21</v>
      </c>
      <c r="E495" s="12" t="str">
        <f>IF(TOTALCO!E1020="", "",TOTALCO!E1020)</f>
        <v/>
      </c>
      <c r="F495" s="12">
        <f ca="1">IF(TOTALCO!F1020="", "",TOTALCO!F1020)</f>
        <v>1886828.7080854911</v>
      </c>
      <c r="G495" s="12" t="str">
        <f>IF(TOTALCO!G1020="", "",TOTALCO!G1020)</f>
        <v/>
      </c>
      <c r="H495" s="12">
        <f ca="1">IF(TOTALCO!H1020="", "",TOTALCO!H1020)</f>
        <v>112357.50382072436</v>
      </c>
      <c r="I495" s="12">
        <f ca="1">IF(TOTALCO!I1020="", "",TOTALCO!I1020)</f>
        <v>6271.9980937845512</v>
      </c>
      <c r="J495" s="12" t="str">
        <f>IF(TOTALCO!J1020="", "",TOTALCO!J1020)</f>
        <v/>
      </c>
      <c r="K495" s="12" t="str">
        <f>IF(TOTALCO!K1020="", "",TOTALCO!K1020)</f>
        <v/>
      </c>
      <c r="L495" s="12">
        <f ca="1">IF(TOTALCO!L1020="", "",TOTALCO!L1020)</f>
        <v>226.65571699492472</v>
      </c>
      <c r="M495" s="12" t="str">
        <f>IF(TOTALCO!M1020="", "",TOTALCO!M1020)</f>
        <v/>
      </c>
      <c r="N495" s="12">
        <f ca="1">IF(TOTALCO!N1020="", "",TOTALCO!N1020)</f>
        <v>6045.3423767896265</v>
      </c>
      <c r="O495" s="12">
        <f ca="1">IF(TOTALCO!O1020="", "",TOTALCO!O1020)</f>
        <v>5195.0117234096078</v>
      </c>
      <c r="P495" s="12">
        <f ca="1">IF(TOTALCO!P1020="", "",TOTALCO!P1020)</f>
        <v>850.33065338001904</v>
      </c>
      <c r="Q495" s="12"/>
      <c r="R495" s="13"/>
    </row>
    <row r="496" spans="1:18" ht="15" x14ac:dyDescent="0.2">
      <c r="A496" s="382">
        <f>IF(TOTALCO!A1021="", "",TOTALCO!A1021)</f>
        <v>20</v>
      </c>
      <c r="B496" s="4" t="str">
        <f>IF(TOTALCO!B1021="", "",TOTALCO!B1021)</f>
        <v xml:space="preserve">  581-DIST SYSTEM CONTROL</v>
      </c>
      <c r="C496" s="4" t="str">
        <f>IF(TOTALCO!C1021="", "",TOTALCO!C1021)</f>
        <v>PLT3602TOT</v>
      </c>
      <c r="D496" s="12">
        <f ca="1">IF(TOTALCO!D1021="", "",TOTALCO!D1021)</f>
        <v>762447.17999999982</v>
      </c>
      <c r="E496" s="12" t="str">
        <f>IF(TOTALCO!E1021="", "",TOTALCO!E1021)</f>
        <v/>
      </c>
      <c r="F496" s="12">
        <f ca="1">IF(TOTALCO!F1021="", "",TOTALCO!F1021)</f>
        <v>705212.62453061063</v>
      </c>
      <c r="G496" s="12" t="str">
        <f>IF(TOTALCO!G1021="", "",TOTALCO!G1021)</f>
        <v/>
      </c>
      <c r="H496" s="12">
        <f ca="1">IF(TOTALCO!H1021="", "",TOTALCO!H1021)</f>
        <v>40151.585366465908</v>
      </c>
      <c r="I496" s="12">
        <f ca="1">IF(TOTALCO!I1021="", "",TOTALCO!I1021)</f>
        <v>17082.970102923373</v>
      </c>
      <c r="J496" s="12" t="str">
        <f>IF(TOTALCO!J1021="", "",TOTALCO!J1021)</f>
        <v/>
      </c>
      <c r="K496" s="12" t="str">
        <f>IF(TOTALCO!K1021="", "",TOTALCO!K1021)</f>
        <v/>
      </c>
      <c r="L496" s="12">
        <f ca="1">IF(TOTALCO!L1021="", "",TOTALCO!L1021)</f>
        <v>306.64383742809474</v>
      </c>
      <c r="M496" s="12" t="str">
        <f>IF(TOTALCO!M1021="", "",TOTALCO!M1021)</f>
        <v/>
      </c>
      <c r="N496" s="12">
        <f ca="1">IF(TOTALCO!N1021="", "",TOTALCO!N1021)</f>
        <v>16776.326265495278</v>
      </c>
      <c r="O496" s="12">
        <f ca="1">IF(TOTALCO!O1021="", "",TOTALCO!O1021)</f>
        <v>16776.326265495278</v>
      </c>
      <c r="P496" s="12">
        <f ca="1">IF(TOTALCO!P1021="", "",TOTALCO!P1021)</f>
        <v>0</v>
      </c>
      <c r="Q496" s="12"/>
      <c r="R496" s="13"/>
    </row>
    <row r="497" spans="1:18" ht="15" x14ac:dyDescent="0.2">
      <c r="A497" s="382">
        <f>IF(TOTALCO!A1022="", "",TOTALCO!A1022)</f>
        <v>21</v>
      </c>
      <c r="B497" s="4" t="str">
        <f>IF(TOTALCO!B1022="", "",TOTALCO!B1022)</f>
        <v xml:space="preserve">  582-STATION EXPENSES</v>
      </c>
      <c r="C497" s="4" t="str">
        <f>IF(TOTALCO!C1022="", "",TOTALCO!C1022)</f>
        <v>PLT3602TOT</v>
      </c>
      <c r="D497" s="12">
        <f ca="1">IF(TOTALCO!D1022="", "",TOTALCO!D1022)</f>
        <v>1518314.26</v>
      </c>
      <c r="E497" s="12" t="str">
        <f>IF(TOTALCO!E1022="", "",TOTALCO!E1022)</f>
        <v/>
      </c>
      <c r="F497" s="12">
        <f ca="1">IF(TOTALCO!F1022="", "",TOTALCO!F1022)</f>
        <v>1404339.0968497675</v>
      </c>
      <c r="G497" s="12" t="str">
        <f>IF(TOTALCO!G1022="", "",TOTALCO!G1022)</f>
        <v/>
      </c>
      <c r="H497" s="12">
        <f ca="1">IF(TOTALCO!H1022="", "",TOTALCO!H1022)</f>
        <v>79956.653028098983</v>
      </c>
      <c r="I497" s="12">
        <f ca="1">IF(TOTALCO!I1022="", "",TOTALCO!I1022)</f>
        <v>34018.510122133623</v>
      </c>
      <c r="J497" s="12" t="str">
        <f>IF(TOTALCO!J1022="", "",TOTALCO!J1022)</f>
        <v/>
      </c>
      <c r="K497" s="12" t="str">
        <f>IF(TOTALCO!K1022="", "",TOTALCO!K1022)</f>
        <v/>
      </c>
      <c r="L497" s="12">
        <f ca="1">IF(TOTALCO!L1022="", "",TOTALCO!L1022)</f>
        <v>610.64126580965001</v>
      </c>
      <c r="M497" s="12" t="str">
        <f>IF(TOTALCO!M1022="", "",TOTALCO!M1022)</f>
        <v/>
      </c>
      <c r="N497" s="12">
        <f ca="1">IF(TOTALCO!N1022="", "",TOTALCO!N1022)</f>
        <v>33407.86885632397</v>
      </c>
      <c r="O497" s="12">
        <f ca="1">IF(TOTALCO!O1022="", "",TOTALCO!O1022)</f>
        <v>33407.86885632397</v>
      </c>
      <c r="P497" s="12">
        <f ca="1">IF(TOTALCO!P1022="", "",TOTALCO!P1022)</f>
        <v>0</v>
      </c>
      <c r="Q497" s="12"/>
      <c r="R497" s="13"/>
    </row>
    <row r="498" spans="1:18" ht="15" x14ac:dyDescent="0.2">
      <c r="A498" s="382">
        <f>IF(TOTALCO!A1023="", "",TOTALCO!A1023)</f>
        <v>22</v>
      </c>
      <c r="B498" s="4" t="str">
        <f>IF(TOTALCO!B1023="", "",TOTALCO!B1023)</f>
        <v xml:space="preserve">  583-OVERHEAD LINES</v>
      </c>
      <c r="C498" s="4" t="str">
        <f>IF(TOTALCO!C1023="", "",TOTALCO!C1023)</f>
        <v>PLT3645TOT</v>
      </c>
      <c r="D498" s="12">
        <f ca="1">IF(TOTALCO!D1023="", "",TOTALCO!D1023)</f>
        <v>3566080.97</v>
      </c>
      <c r="E498" s="12" t="str">
        <f>IF(TOTALCO!E1023="", "",TOTALCO!E1023)</f>
        <v/>
      </c>
      <c r="F498" s="12">
        <f ca="1">IF(TOTALCO!F1023="", "",TOTALCO!F1023)</f>
        <v>3298413.3216719995</v>
      </c>
      <c r="G498" s="12" t="str">
        <f>IF(TOTALCO!G1023="", "",TOTALCO!G1023)</f>
        <v/>
      </c>
      <c r="H498" s="12">
        <f ca="1">IF(TOTALCO!H1023="", "",TOTALCO!H1023)</f>
        <v>267085.02986442792</v>
      </c>
      <c r="I498" s="12">
        <f ca="1">IF(TOTALCO!I1023="", "",TOTALCO!I1023)</f>
        <v>582.61846357243246</v>
      </c>
      <c r="J498" s="12" t="str">
        <f>IF(TOTALCO!J1023="", "",TOTALCO!J1023)</f>
        <v/>
      </c>
      <c r="K498" s="12" t="str">
        <f>IF(TOTALCO!K1023="", "",TOTALCO!K1023)</f>
        <v/>
      </c>
      <c r="L498" s="12">
        <f ca="1">IF(TOTALCO!L1023="", "",TOTALCO!L1023)</f>
        <v>582.61846357243246</v>
      </c>
      <c r="M498" s="12" t="str">
        <f>IF(TOTALCO!M1023="", "",TOTALCO!M1023)</f>
        <v/>
      </c>
      <c r="N498" s="12">
        <f ca="1">IF(TOTALCO!N1023="", "",TOTALCO!N1023)</f>
        <v>0</v>
      </c>
      <c r="O498" s="12">
        <f ca="1">IF(TOTALCO!O1023="", "",TOTALCO!O1023)</f>
        <v>0</v>
      </c>
      <c r="P498" s="12">
        <f ca="1">IF(TOTALCO!P1023="", "",TOTALCO!P1023)</f>
        <v>0</v>
      </c>
      <c r="Q498" s="12"/>
      <c r="R498" s="13"/>
    </row>
    <row r="499" spans="1:18" ht="15" x14ac:dyDescent="0.2">
      <c r="A499" s="382">
        <f>IF(TOTALCO!A1024="", "",TOTALCO!A1024)</f>
        <v>23</v>
      </c>
      <c r="B499" s="4" t="str">
        <f>IF(TOTALCO!B1024="", "",TOTALCO!B1024)</f>
        <v xml:space="preserve">  584-UNDERGROUND LINES</v>
      </c>
      <c r="C499" s="4" t="str">
        <f>IF(TOTALCO!C1024="", "",TOTALCO!C1024)</f>
        <v>PLT3667TOT</v>
      </c>
      <c r="D499" s="12">
        <f ca="1">IF(TOTALCO!D1024="", "",TOTALCO!D1024)</f>
        <v>260294.65000000002</v>
      </c>
      <c r="E499" s="12" t="str">
        <f>IF(TOTALCO!E1024="", "",TOTALCO!E1024)</f>
        <v/>
      </c>
      <c r="F499" s="12">
        <f ca="1">IF(TOTALCO!F1024="", "",TOTALCO!F1024)</f>
        <v>255302.14618050162</v>
      </c>
      <c r="G499" s="12" t="str">
        <f>IF(TOTALCO!G1024="", "",TOTALCO!G1024)</f>
        <v/>
      </c>
      <c r="H499" s="12">
        <f ca="1">IF(TOTALCO!H1024="", "",TOTALCO!H1024)</f>
        <v>4992.5038194984145</v>
      </c>
      <c r="I499" s="12">
        <f ca="1">IF(TOTALCO!I1024="", "",TOTALCO!I1024)</f>
        <v>0</v>
      </c>
      <c r="J499" s="12" t="str">
        <f>IF(TOTALCO!J1024="", "",TOTALCO!J1024)</f>
        <v/>
      </c>
      <c r="K499" s="12" t="str">
        <f>IF(TOTALCO!K1024="", "",TOTALCO!K1024)</f>
        <v/>
      </c>
      <c r="L499" s="12">
        <f ca="1">IF(TOTALCO!L1024="", "",TOTALCO!L1024)</f>
        <v>0</v>
      </c>
      <c r="M499" s="12" t="str">
        <f>IF(TOTALCO!M1024="", "",TOTALCO!M1024)</f>
        <v/>
      </c>
      <c r="N499" s="12">
        <f ca="1">IF(TOTALCO!N1024="", "",TOTALCO!N1024)</f>
        <v>0</v>
      </c>
      <c r="O499" s="12">
        <f ca="1">IF(TOTALCO!O1024="", "",TOTALCO!O1024)</f>
        <v>0</v>
      </c>
      <c r="P499" s="12">
        <f ca="1">IF(TOTALCO!P1024="", "",TOTALCO!P1024)</f>
        <v>0</v>
      </c>
      <c r="Q499" s="12"/>
      <c r="R499" s="13"/>
    </row>
    <row r="500" spans="1:18" ht="15" x14ac:dyDescent="0.2">
      <c r="A500" s="382">
        <f>IF(TOTALCO!A1025="", "",TOTALCO!A1025)</f>
        <v>24</v>
      </c>
      <c r="B500" s="4" t="str">
        <f>IF(TOTALCO!B1025="", "",TOTALCO!B1025)</f>
        <v xml:space="preserve">  585-STREET LIGHTING</v>
      </c>
      <c r="C500" s="4" t="str">
        <f>IF(TOTALCO!C1025="", "",TOTALCO!C1025)</f>
        <v>PLT373TOT</v>
      </c>
      <c r="D500" s="12">
        <f ca="1">IF(TOTALCO!D1025="", "",TOTALCO!D1025)</f>
        <v>22469.54</v>
      </c>
      <c r="E500" s="12" t="str">
        <f>IF(TOTALCO!E1025="", "",TOTALCO!E1025)</f>
        <v/>
      </c>
      <c r="F500" s="12">
        <f ca="1">IF(TOTALCO!F1025="", "",TOTALCO!F1025)</f>
        <v>21917.735759139156</v>
      </c>
      <c r="G500" s="12" t="str">
        <f>IF(TOTALCO!G1025="", "",TOTALCO!G1025)</f>
        <v/>
      </c>
      <c r="H500" s="12">
        <f ca="1">IF(TOTALCO!H1025="", "",TOTALCO!H1025)</f>
        <v>551.80424086084486</v>
      </c>
      <c r="I500" s="12">
        <f ca="1">IF(TOTALCO!I1025="", "",TOTALCO!I1025)</f>
        <v>0</v>
      </c>
      <c r="J500" s="12" t="str">
        <f>IF(TOTALCO!J1025="", "",TOTALCO!J1025)</f>
        <v/>
      </c>
      <c r="K500" s="12" t="str">
        <f>IF(TOTALCO!K1025="", "",TOTALCO!K1025)</f>
        <v/>
      </c>
      <c r="L500" s="12">
        <f ca="1">IF(TOTALCO!L1025="", "",TOTALCO!L1025)</f>
        <v>0</v>
      </c>
      <c r="M500" s="12" t="str">
        <f>IF(TOTALCO!M1025="", "",TOTALCO!M1025)</f>
        <v/>
      </c>
      <c r="N500" s="12">
        <f ca="1">IF(TOTALCO!N1025="", "",TOTALCO!N1025)</f>
        <v>0</v>
      </c>
      <c r="O500" s="12">
        <f ca="1">IF(TOTALCO!O1025="", "",TOTALCO!O1025)</f>
        <v>0</v>
      </c>
      <c r="P500" s="12">
        <f ca="1">IF(TOTALCO!P1025="", "",TOTALCO!P1025)</f>
        <v>0</v>
      </c>
      <c r="Q500" s="12"/>
      <c r="R500" s="13"/>
    </row>
    <row r="501" spans="1:18" ht="15" x14ac:dyDescent="0.2">
      <c r="A501" s="382">
        <f>IF(TOTALCO!A1026="", "",TOTALCO!A1026)</f>
        <v>25</v>
      </c>
      <c r="B501" s="4" t="str">
        <f>IF(TOTALCO!B1026="", "",TOTALCO!B1026)</f>
        <v xml:space="preserve">  586-METERS</v>
      </c>
      <c r="C501" s="4" t="str">
        <f>IF(TOTALCO!C1026="", "",TOTALCO!C1026)</f>
        <v>PLT370TOT</v>
      </c>
      <c r="D501" s="12">
        <f ca="1">IF(TOTALCO!D1026="", "",TOTALCO!D1026)</f>
        <v>7762013.2300000004</v>
      </c>
      <c r="E501" s="12" t="str">
        <f>IF(TOTALCO!E1026="", "",TOTALCO!E1026)</f>
        <v/>
      </c>
      <c r="F501" s="12">
        <f ca="1">IF(TOTALCO!F1026="", "",TOTALCO!F1026)</f>
        <v>7329418.9115222199</v>
      </c>
      <c r="G501" s="12" t="str">
        <f>IF(TOTALCO!G1026="", "",TOTALCO!G1026)</f>
        <v/>
      </c>
      <c r="H501" s="12">
        <f ca="1">IF(TOTALCO!H1026="", "",TOTALCO!H1026)</f>
        <v>398102.79279948102</v>
      </c>
      <c r="I501" s="12">
        <f ca="1">IF(TOTALCO!I1026="", "",TOTALCO!I1026)</f>
        <v>34491.525678299091</v>
      </c>
      <c r="J501" s="12" t="str">
        <f>IF(TOTALCO!J1026="", "",TOTALCO!J1026)</f>
        <v/>
      </c>
      <c r="K501" s="12" t="str">
        <f>IF(TOTALCO!K1026="", "",TOTALCO!K1026)</f>
        <v/>
      </c>
      <c r="L501" s="12">
        <f ca="1">IF(TOTALCO!L1026="", "",TOTALCO!L1026)</f>
        <v>12.157008499950123</v>
      </c>
      <c r="M501" s="12" t="str">
        <f>IF(TOTALCO!M1026="", "",TOTALCO!M1026)</f>
        <v/>
      </c>
      <c r="N501" s="12">
        <f ca="1">IF(TOTALCO!N1026="", "",TOTALCO!N1026)</f>
        <v>34479.368669799143</v>
      </c>
      <c r="O501" s="12">
        <f ca="1">IF(TOTALCO!O1026="", "",TOTALCO!O1026)</f>
        <v>7322.9887985250552</v>
      </c>
      <c r="P501" s="12">
        <f ca="1">IF(TOTALCO!P1026="", "",TOTALCO!P1026)</f>
        <v>27156.37987127409</v>
      </c>
      <c r="Q501" s="12"/>
      <c r="R501" s="13"/>
    </row>
    <row r="502" spans="1:18" ht="15" x14ac:dyDescent="0.2">
      <c r="A502" s="382">
        <f>IF(TOTALCO!A1027="", "",TOTALCO!A1027)</f>
        <v>26</v>
      </c>
      <c r="B502" s="4" t="str">
        <f>IF(TOTALCO!B1027="", "",TOTALCO!B1027)</f>
        <v xml:space="preserve">  587-CUSTOMER INSTALLATIONS</v>
      </c>
      <c r="C502" s="4" t="str">
        <f>IF(TOTALCO!C1027="", "",TOTALCO!C1027)</f>
        <v>PLT371TOT</v>
      </c>
      <c r="D502" s="12">
        <f ca="1">IF(TOTALCO!D1027="", "",TOTALCO!D1027)</f>
        <v>-74302.51999999999</v>
      </c>
      <c r="E502" s="12" t="str">
        <f>IF(TOTALCO!E1027="", "",TOTALCO!E1027)</f>
        <v/>
      </c>
      <c r="F502" s="12">
        <f ca="1">IF(TOTALCO!F1027="", "",TOTALCO!F1027)</f>
        <v>-70814.303211158403</v>
      </c>
      <c r="G502" s="12" t="str">
        <f>IF(TOTALCO!G1027="", "",TOTALCO!G1027)</f>
        <v/>
      </c>
      <c r="H502" s="12">
        <f ca="1">IF(TOTALCO!H1027="", "",TOTALCO!H1027)</f>
        <v>-3488.2167888415925</v>
      </c>
      <c r="I502" s="12">
        <f ca="1">IF(TOTALCO!I1027="", "",TOTALCO!I1027)</f>
        <v>0</v>
      </c>
      <c r="J502" s="12" t="str">
        <f>IF(TOTALCO!J1027="", "",TOTALCO!J1027)</f>
        <v/>
      </c>
      <c r="K502" s="12" t="str">
        <f>IF(TOTALCO!K1027="", "",TOTALCO!K1027)</f>
        <v/>
      </c>
      <c r="L502" s="12">
        <f ca="1">IF(TOTALCO!L1027="", "",TOTALCO!L1027)</f>
        <v>0</v>
      </c>
      <c r="M502" s="12" t="str">
        <f>IF(TOTALCO!M1027="", "",TOTALCO!M1027)</f>
        <v/>
      </c>
      <c r="N502" s="12">
        <f ca="1">IF(TOTALCO!N1027="", "",TOTALCO!N1027)</f>
        <v>0</v>
      </c>
      <c r="O502" s="12">
        <f ca="1">IF(TOTALCO!O1027="", "",TOTALCO!O1027)</f>
        <v>0</v>
      </c>
      <c r="P502" s="12">
        <f ca="1">IF(TOTALCO!P1027="", "",TOTALCO!P1027)</f>
        <v>0</v>
      </c>
      <c r="Q502" s="12"/>
      <c r="R502" s="13"/>
    </row>
    <row r="503" spans="1:18" ht="15" x14ac:dyDescent="0.2">
      <c r="A503" s="382">
        <f>IF(TOTALCO!A1028="", "",TOTALCO!A1028)</f>
        <v>27</v>
      </c>
      <c r="B503" s="4" t="str">
        <f>IF(TOTALCO!B1028="", "",TOTALCO!B1028)</f>
        <v xml:space="preserve">  588-MISCELLANEOUS EXP</v>
      </c>
      <c r="C503" s="4" t="str">
        <f>IF(TOTALCO!C1028="", "",TOTALCO!C1028)</f>
        <v>DISTPLT</v>
      </c>
      <c r="D503" s="12">
        <f ca="1">IF(TOTALCO!D1028="", "",TOTALCO!D1028)</f>
        <v>5002069.4700000016</v>
      </c>
      <c r="E503" s="12" t="str">
        <f>IF(TOTALCO!E1028="", "",TOTALCO!E1028)</f>
        <v/>
      </c>
      <c r="F503" s="12">
        <f ca="1">IF(TOTALCO!F1028="", "",TOTALCO!F1028)</f>
        <v>4706180.4772456363</v>
      </c>
      <c r="G503" s="12" t="str">
        <f>IF(TOTALCO!G1028="", "",TOTALCO!G1028)</f>
        <v/>
      </c>
      <c r="H503" s="12">
        <f ca="1">IF(TOTALCO!H1028="", "",TOTALCO!H1028)</f>
        <v>280245.20121366868</v>
      </c>
      <c r="I503" s="12">
        <f ca="1">IF(TOTALCO!I1028="", "",TOTALCO!I1028)</f>
        <v>15643.791540696282</v>
      </c>
      <c r="J503" s="12" t="str">
        <f>IF(TOTALCO!J1028="", "",TOTALCO!J1028)</f>
        <v/>
      </c>
      <c r="K503" s="12" t="str">
        <f>IF(TOTALCO!K1028="", "",TOTALCO!K1028)</f>
        <v/>
      </c>
      <c r="L503" s="12">
        <f ca="1">IF(TOTALCO!L1028="", "",TOTALCO!L1028)</f>
        <v>565.33097350419143</v>
      </c>
      <c r="M503" s="12" t="str">
        <f>IF(TOTALCO!M1028="", "",TOTALCO!M1028)</f>
        <v/>
      </c>
      <c r="N503" s="12">
        <f ca="1">IF(TOTALCO!N1028="", "",TOTALCO!N1028)</f>
        <v>15078.460567192091</v>
      </c>
      <c r="O503" s="12">
        <f ca="1">IF(TOTALCO!O1028="", "",TOTALCO!O1028)</f>
        <v>12957.542275567681</v>
      </c>
      <c r="P503" s="12">
        <f ca="1">IF(TOTALCO!P1028="", "",TOTALCO!P1028)</f>
        <v>2120.9182916244094</v>
      </c>
      <c r="Q503" s="12"/>
      <c r="R503" s="13"/>
    </row>
    <row r="504" spans="1:18" ht="15" x14ac:dyDescent="0.2">
      <c r="A504" s="382">
        <f>IF(TOTALCO!A1029="", "",TOTALCO!A1029)</f>
        <v>28</v>
      </c>
      <c r="B504" s="4" t="str">
        <f>IF(TOTALCO!B1029="", "",TOTALCO!B1029)</f>
        <v xml:space="preserve">  589-RENTS</v>
      </c>
      <c r="C504" s="4" t="str">
        <f>IF(TOTALCO!C1029="", "",TOTALCO!C1029)</f>
        <v>DISTPLT</v>
      </c>
      <c r="D504" s="12">
        <f ca="1">IF(TOTALCO!D1029="", "",TOTALCO!D1029)</f>
        <v>11380.16</v>
      </c>
      <c r="E504" s="12" t="str">
        <f>IF(TOTALCO!E1029="", "",TOTALCO!E1029)</f>
        <v/>
      </c>
      <c r="F504" s="12">
        <f ca="1">IF(TOTALCO!F1029="", "",TOTALCO!F1029)</f>
        <v>10706.985806802817</v>
      </c>
      <c r="G504" s="12" t="str">
        <f>IF(TOTALCO!G1029="", "",TOTALCO!G1029)</f>
        <v/>
      </c>
      <c r="H504" s="12">
        <f ca="1">IF(TOTALCO!H1029="", "",TOTALCO!H1029)</f>
        <v>637.58315396682065</v>
      </c>
      <c r="I504" s="12">
        <f ca="1">IF(TOTALCO!I1029="", "",TOTALCO!I1029)</f>
        <v>35.591039230362817</v>
      </c>
      <c r="J504" s="12" t="str">
        <f>IF(TOTALCO!J1029="", "",TOTALCO!J1029)</f>
        <v/>
      </c>
      <c r="K504" s="12" t="str">
        <f>IF(TOTALCO!K1029="", "",TOTALCO!K1029)</f>
        <v/>
      </c>
      <c r="L504" s="12">
        <f ca="1">IF(TOTALCO!L1029="", "",TOTALCO!L1029)</f>
        <v>1.2861790444972485</v>
      </c>
      <c r="M504" s="12" t="str">
        <f>IF(TOTALCO!M1029="", "",TOTALCO!M1029)</f>
        <v/>
      </c>
      <c r="N504" s="12">
        <f ca="1">IF(TOTALCO!N1029="", "",TOTALCO!N1029)</f>
        <v>34.304860185865572</v>
      </c>
      <c r="O504" s="12">
        <f ca="1">IF(TOTALCO!O1029="", "",TOTALCO!O1029)</f>
        <v>29.479579439492326</v>
      </c>
      <c r="P504" s="12">
        <f ca="1">IF(TOTALCO!P1029="", "",TOTALCO!P1029)</f>
        <v>4.8252807463732479</v>
      </c>
      <c r="Q504" s="12"/>
      <c r="R504" s="13"/>
    </row>
    <row r="505" spans="1:18" ht="15" x14ac:dyDescent="0.2">
      <c r="A505" s="382">
        <f>IF(TOTALCO!A1030="", "",TOTALCO!A1030)</f>
        <v>29</v>
      </c>
      <c r="B505" s="4" t="str">
        <f>IF(TOTALCO!B1030="", "",TOTALCO!B1030)</f>
        <v xml:space="preserve">    TOTAL DISTR OPERATIONS</v>
      </c>
      <c r="C505" s="4" t="str">
        <f>IF(TOTALCO!C1030="", "",TOTALCO!C1030)</f>
        <v/>
      </c>
      <c r="D505" s="12">
        <f ca="1">IF(TOTALCO!D1030="", "",TOTALCO!D1030)</f>
        <v>20836225.150000006</v>
      </c>
      <c r="E505" s="12" t="str">
        <f>IF(TOTALCO!E1030="", "",TOTALCO!E1030)</f>
        <v/>
      </c>
      <c r="F505" s="12">
        <f ca="1">IF(TOTALCO!F1030="", "",TOTALCO!F1030)</f>
        <v>19547505.704441015</v>
      </c>
      <c r="G505" s="12" t="str">
        <f>IF(TOTALCO!G1030="", "",TOTALCO!G1030)</f>
        <v/>
      </c>
      <c r="H505" s="12">
        <f ca="1">IF(TOTALCO!H1030="", "",TOTALCO!H1030)</f>
        <v>1180592.4405183513</v>
      </c>
      <c r="I505" s="12">
        <f ca="1">IF(TOTALCO!I1030="", "",TOTALCO!I1030)</f>
        <v>108127.00504063971</v>
      </c>
      <c r="J505" s="12" t="str">
        <f>IF(TOTALCO!J1030="", "",TOTALCO!J1030)</f>
        <v/>
      </c>
      <c r="K505" s="12" t="str">
        <f>IF(TOTALCO!K1030="", "",TOTALCO!K1030)</f>
        <v/>
      </c>
      <c r="L505" s="12">
        <f ca="1">IF(TOTALCO!L1030="", "",TOTALCO!L1030)</f>
        <v>2305.3334448537407</v>
      </c>
      <c r="M505" s="12" t="str">
        <f>IF(TOTALCO!M1030="", "",TOTALCO!M1030)</f>
        <v/>
      </c>
      <c r="N505" s="12">
        <f ca="1">IF(TOTALCO!N1030="", "",TOTALCO!N1030)</f>
        <v>105821.67159578597</v>
      </c>
      <c r="O505" s="12">
        <f ca="1">IF(TOTALCO!O1030="", "",TOTALCO!O1030)</f>
        <v>75689.217498761078</v>
      </c>
      <c r="P505" s="12">
        <f ca="1">IF(TOTALCO!P1030="", "",TOTALCO!P1030)</f>
        <v>30132.454097024893</v>
      </c>
      <c r="Q505" s="12"/>
      <c r="R505" s="13"/>
    </row>
    <row r="506" spans="1:18" ht="15" x14ac:dyDescent="0.2">
      <c r="A506" s="382">
        <f>IF(TOTALCO!A1031="", "",TOTALCO!A1031)</f>
        <v>30</v>
      </c>
      <c r="B506" s="4" t="str">
        <f>IF(TOTALCO!B1031="", "",TOTALCO!B1031)</f>
        <v xml:space="preserve">  590-SUPERV &amp; ENGINEERING</v>
      </c>
      <c r="C506" s="4" t="str">
        <f>IF(TOTALCO!C1031="", "",TOTALCO!C1031)</f>
        <v>DISTPLT</v>
      </c>
      <c r="D506" s="12">
        <f ca="1">IF(TOTALCO!D1031="", "",TOTALCO!D1031)</f>
        <v>141390.00000000003</v>
      </c>
      <c r="E506" s="12" t="str">
        <f>IF(TOTALCO!E1031="", "",TOTALCO!E1031)</f>
        <v/>
      </c>
      <c r="F506" s="12">
        <f ca="1">IF(TOTALCO!F1031="", "",TOTALCO!F1031)</f>
        <v>133026.31274286567</v>
      </c>
      <c r="G506" s="12" t="str">
        <f>IF(TOTALCO!G1031="", "",TOTALCO!G1031)</f>
        <v/>
      </c>
      <c r="H506" s="12">
        <f ca="1">IF(TOTALCO!H1031="", "",TOTALCO!H1031)</f>
        <v>7921.4951406103937</v>
      </c>
      <c r="I506" s="12">
        <f ca="1">IF(TOTALCO!I1031="", "",TOTALCO!I1031)</f>
        <v>442.19211652393284</v>
      </c>
      <c r="J506" s="12" t="str">
        <f>IF(TOTALCO!J1031="", "",TOTALCO!J1031)</f>
        <v/>
      </c>
      <c r="K506" s="12" t="str">
        <f>IF(TOTALCO!K1031="", "",TOTALCO!K1031)</f>
        <v/>
      </c>
      <c r="L506" s="12">
        <f ca="1">IF(TOTALCO!L1031="", "",TOTALCO!L1031)</f>
        <v>15.979815319069854</v>
      </c>
      <c r="M506" s="12" t="str">
        <f>IF(TOTALCO!M1031="", "",TOTALCO!M1031)</f>
        <v/>
      </c>
      <c r="N506" s="12">
        <f ca="1">IF(TOTALCO!N1031="", "",TOTALCO!N1031)</f>
        <v>426.21230120486297</v>
      </c>
      <c r="O506" s="12">
        <f ca="1">IF(TOTALCO!O1031="", "",TOTALCO!O1031)</f>
        <v>366.26178691247048</v>
      </c>
      <c r="P506" s="12">
        <f ca="1">IF(TOTALCO!P1031="", "",TOTALCO!P1031)</f>
        <v>59.950514292392505</v>
      </c>
      <c r="Q506" s="12"/>
      <c r="R506" s="13"/>
    </row>
    <row r="507" spans="1:18" ht="15" x14ac:dyDescent="0.2">
      <c r="A507" s="382">
        <f>IF(TOTALCO!A1032="", "",TOTALCO!A1032)</f>
        <v>31</v>
      </c>
      <c r="B507" s="4" t="str">
        <f>IF(TOTALCO!B1032="", "",TOTALCO!B1032)</f>
        <v xml:space="preserve">  591-MAINT OF STRUCTURES</v>
      </c>
      <c r="C507" s="4" t="str">
        <f>IF(TOTALCO!C1032="", "",TOTALCO!C1032)</f>
        <v>PLT3602TOT</v>
      </c>
      <c r="D507" s="12">
        <f ca="1">IF(TOTALCO!D1032="", "",TOTALCO!D1032)</f>
        <v>0</v>
      </c>
      <c r="E507" s="12" t="str">
        <f>IF(TOTALCO!E1032="", "",TOTALCO!E1032)</f>
        <v/>
      </c>
      <c r="F507" s="12">
        <f ca="1">IF(TOTALCO!F1032="", "",TOTALCO!F1032)</f>
        <v>0</v>
      </c>
      <c r="G507" s="12" t="str">
        <f>IF(TOTALCO!G1032="", "",TOTALCO!G1032)</f>
        <v/>
      </c>
      <c r="H507" s="12">
        <f ca="1">IF(TOTALCO!H1032="", "",TOTALCO!H1032)</f>
        <v>0</v>
      </c>
      <c r="I507" s="12">
        <f ca="1">IF(TOTALCO!I1032="", "",TOTALCO!I1032)</f>
        <v>0</v>
      </c>
      <c r="J507" s="12" t="str">
        <f>IF(TOTALCO!J1032="", "",TOTALCO!J1032)</f>
        <v/>
      </c>
      <c r="K507" s="12" t="str">
        <f>IF(TOTALCO!K1032="", "",TOTALCO!K1032)</f>
        <v/>
      </c>
      <c r="L507" s="12">
        <f ca="1">IF(TOTALCO!L1032="", "",TOTALCO!L1032)</f>
        <v>0</v>
      </c>
      <c r="M507" s="12" t="str">
        <f>IF(TOTALCO!M1032="", "",TOTALCO!M1032)</f>
        <v/>
      </c>
      <c r="N507" s="12">
        <f ca="1">IF(TOTALCO!N1032="", "",TOTALCO!N1032)</f>
        <v>0</v>
      </c>
      <c r="O507" s="12">
        <f ca="1">IF(TOTALCO!O1032="", "",TOTALCO!O1032)</f>
        <v>0</v>
      </c>
      <c r="P507" s="12">
        <f ca="1">IF(TOTALCO!P1032="", "",TOTALCO!P1032)</f>
        <v>0</v>
      </c>
      <c r="Q507" s="12"/>
      <c r="R507" s="13"/>
    </row>
    <row r="508" spans="1:18" ht="15" x14ac:dyDescent="0.2">
      <c r="A508" s="382">
        <f>IF(TOTALCO!A1033="", "",TOTALCO!A1033)</f>
        <v>32</v>
      </c>
      <c r="B508" s="4" t="str">
        <f>IF(TOTALCO!B1033="", "",TOTALCO!B1033)</f>
        <v xml:space="preserve">  592-MAINT OF STATION EQUIP</v>
      </c>
      <c r="C508" s="4" t="str">
        <f>IF(TOTALCO!C1033="", "",TOTALCO!C1033)</f>
        <v>PLT3602TOT</v>
      </c>
      <c r="D508" s="12">
        <f ca="1">IF(TOTALCO!D1033="", "",TOTALCO!D1033)</f>
        <v>702682.51999999979</v>
      </c>
      <c r="E508" s="12" t="str">
        <f>IF(TOTALCO!E1033="", "",TOTALCO!E1033)</f>
        <v/>
      </c>
      <c r="F508" s="12">
        <f ca="1">IF(TOTALCO!F1033="", "",TOTALCO!F1033)</f>
        <v>649934.31301166757</v>
      </c>
      <c r="G508" s="12" t="str">
        <f>IF(TOTALCO!G1033="", "",TOTALCO!G1033)</f>
        <v/>
      </c>
      <c r="H508" s="12">
        <f ca="1">IF(TOTALCO!H1033="", "",TOTALCO!H1033)</f>
        <v>37004.290824845586</v>
      </c>
      <c r="I508" s="12">
        <f ca="1">IF(TOTALCO!I1033="", "",TOTALCO!I1033)</f>
        <v>15743.916163486703</v>
      </c>
      <c r="J508" s="12" t="str">
        <f>IF(TOTALCO!J1033="", "",TOTALCO!J1033)</f>
        <v/>
      </c>
      <c r="K508" s="12" t="str">
        <f>IF(TOTALCO!K1033="", "",TOTALCO!K1033)</f>
        <v/>
      </c>
      <c r="L508" s="12">
        <f ca="1">IF(TOTALCO!L1033="", "",TOTALCO!L1033)</f>
        <v>282.6074645937361</v>
      </c>
      <c r="M508" s="12" t="str">
        <f>IF(TOTALCO!M1033="", "",TOTALCO!M1033)</f>
        <v/>
      </c>
      <c r="N508" s="12">
        <f ca="1">IF(TOTALCO!N1033="", "",TOTALCO!N1033)</f>
        <v>15461.308698892966</v>
      </c>
      <c r="O508" s="12">
        <f ca="1">IF(TOTALCO!O1033="", "",TOTALCO!O1033)</f>
        <v>15461.308698892966</v>
      </c>
      <c r="P508" s="12">
        <f ca="1">IF(TOTALCO!P1033="", "",TOTALCO!P1033)</f>
        <v>0</v>
      </c>
      <c r="Q508" s="12"/>
      <c r="R508" s="13"/>
    </row>
    <row r="509" spans="1:18" ht="15" x14ac:dyDescent="0.2">
      <c r="A509" s="382">
        <f>IF(TOTALCO!A1034="", "",TOTALCO!A1034)</f>
        <v>33</v>
      </c>
      <c r="B509" s="4" t="str">
        <f>IF(TOTALCO!B1034="", "",TOTALCO!B1034)</f>
        <v xml:space="preserve">  593-MAINT OF OH LINES</v>
      </c>
      <c r="C509" s="4" t="str">
        <f>IF(TOTALCO!C1034="", "",TOTALCO!C1034)</f>
        <v>PLT3645TOT</v>
      </c>
      <c r="D509" s="12">
        <f ca="1">IF(TOTALCO!D1034="", "",TOTALCO!D1034)</f>
        <v>32306694.27</v>
      </c>
      <c r="E509" s="12" t="str">
        <f>IF(TOTALCO!E1034="", "",TOTALCO!E1034)</f>
        <v/>
      </c>
      <c r="F509" s="12">
        <f ca="1">IF(TOTALCO!F1034="", "",TOTALCO!F1034)</f>
        <v>29856454.022518419</v>
      </c>
      <c r="G509" s="12" t="str">
        <f>IF(TOTALCO!G1034="", "",TOTALCO!G1034)</f>
        <v/>
      </c>
      <c r="H509" s="12">
        <f ca="1">IF(TOTALCO!H1034="", "",TOTALCO!H1034)</f>
        <v>2446002.8178143986</v>
      </c>
      <c r="I509" s="12">
        <f ca="1">IF(TOTALCO!I1034="", "",TOTALCO!I1034)</f>
        <v>4237.4296671826596</v>
      </c>
      <c r="J509" s="12" t="str">
        <f>IF(TOTALCO!J1034="", "",TOTALCO!J1034)</f>
        <v/>
      </c>
      <c r="K509" s="12" t="str">
        <f>IF(TOTALCO!K1034="", "",TOTALCO!K1034)</f>
        <v/>
      </c>
      <c r="L509" s="12">
        <f ca="1">IF(TOTALCO!L1034="", "",TOTALCO!L1034)</f>
        <v>4237.4296671826596</v>
      </c>
      <c r="M509" s="12" t="str">
        <f>IF(TOTALCO!M1034="", "",TOTALCO!M1034)</f>
        <v/>
      </c>
      <c r="N509" s="12">
        <f ca="1">IF(TOTALCO!N1034="", "",TOTALCO!N1034)</f>
        <v>0</v>
      </c>
      <c r="O509" s="12">
        <f ca="1">IF(TOTALCO!O1034="", "",TOTALCO!O1034)</f>
        <v>0</v>
      </c>
      <c r="P509" s="12">
        <f ca="1">IF(TOTALCO!P1034="", "",TOTALCO!P1034)</f>
        <v>0</v>
      </c>
      <c r="Q509" s="12"/>
      <c r="R509" s="13"/>
    </row>
    <row r="510" spans="1:18" ht="15" x14ac:dyDescent="0.2">
      <c r="A510" s="382">
        <f>IF(TOTALCO!A1035="", "",TOTALCO!A1035)</f>
        <v>34</v>
      </c>
      <c r="B510" s="4" t="str">
        <f>IF(TOTALCO!B1035="", "",TOTALCO!B1035)</f>
        <v xml:space="preserve">  594-MAINT OF UG LINES</v>
      </c>
      <c r="C510" s="4" t="str">
        <f>IF(TOTALCO!C1035="", "",TOTALCO!C1035)</f>
        <v>PLT3667TOT</v>
      </c>
      <c r="D510" s="12">
        <f ca="1">IF(TOTALCO!D1035="", "",TOTALCO!D1035)</f>
        <v>485649.37000000005</v>
      </c>
      <c r="E510" s="12" t="str">
        <f>IF(TOTALCO!E1035="", "",TOTALCO!E1035)</f>
        <v/>
      </c>
      <c r="F510" s="12">
        <f ca="1">IF(TOTALCO!F1035="", "",TOTALCO!F1035)</f>
        <v>476334.51725653413</v>
      </c>
      <c r="G510" s="12" t="str">
        <f>IF(TOTALCO!G1035="", "",TOTALCO!G1035)</f>
        <v/>
      </c>
      <c r="H510" s="12">
        <f ca="1">IF(TOTALCO!H1035="", "",TOTALCO!H1035)</f>
        <v>9314.85274346591</v>
      </c>
      <c r="I510" s="12">
        <f ca="1">IF(TOTALCO!I1035="", "",TOTALCO!I1035)</f>
        <v>0</v>
      </c>
      <c r="J510" s="12" t="str">
        <f>IF(TOTALCO!J1035="", "",TOTALCO!J1035)</f>
        <v/>
      </c>
      <c r="K510" s="12" t="str">
        <f>IF(TOTALCO!K1035="", "",TOTALCO!K1035)</f>
        <v/>
      </c>
      <c r="L510" s="12">
        <f ca="1">IF(TOTALCO!L1035="", "",TOTALCO!L1035)</f>
        <v>0</v>
      </c>
      <c r="M510" s="12" t="str">
        <f>IF(TOTALCO!M1035="", "",TOTALCO!M1035)</f>
        <v/>
      </c>
      <c r="N510" s="12">
        <f ca="1">IF(TOTALCO!N1035="", "",TOTALCO!N1035)</f>
        <v>0</v>
      </c>
      <c r="O510" s="12">
        <f ca="1">IF(TOTALCO!O1035="", "",TOTALCO!O1035)</f>
        <v>0</v>
      </c>
      <c r="P510" s="12">
        <f ca="1">IF(TOTALCO!P1035="", "",TOTALCO!P1035)</f>
        <v>0</v>
      </c>
      <c r="Q510" s="12"/>
      <c r="R510" s="13"/>
    </row>
    <row r="511" spans="1:18" ht="15" x14ac:dyDescent="0.2">
      <c r="A511" s="382">
        <f>IF(TOTALCO!A1036="", "",TOTALCO!A1036)</f>
        <v>35</v>
      </c>
      <c r="B511" s="4" t="str">
        <f>IF(TOTALCO!B1036="", "",TOTALCO!B1036)</f>
        <v xml:space="preserve">  595-MAINT OF LINE TRANSF</v>
      </c>
      <c r="C511" s="4" t="str">
        <f>IF(TOTALCO!C1036="", "",TOTALCO!C1036)</f>
        <v>PLT368TOT</v>
      </c>
      <c r="D511" s="12">
        <f ca="1">IF(TOTALCO!D1036="", "",TOTALCO!D1036)</f>
        <v>196997.80999999997</v>
      </c>
      <c r="E511" s="12" t="str">
        <f>IF(TOTALCO!E1036="", "",TOTALCO!E1036)</f>
        <v/>
      </c>
      <c r="F511" s="12">
        <f ca="1">IF(TOTALCO!F1036="", "",TOTALCO!F1036)</f>
        <v>187043.68488802123</v>
      </c>
      <c r="G511" s="12" t="str">
        <f>IF(TOTALCO!G1036="", "",TOTALCO!G1036)</f>
        <v/>
      </c>
      <c r="H511" s="12">
        <f ca="1">IF(TOTALCO!H1036="", "",TOTALCO!H1036)</f>
        <v>9594.1953369862458</v>
      </c>
      <c r="I511" s="12">
        <f ca="1">IF(TOTALCO!I1036="", "",TOTALCO!I1036)</f>
        <v>359.92977499250077</v>
      </c>
      <c r="J511" s="12" t="str">
        <f>IF(TOTALCO!J1036="", "",TOTALCO!J1036)</f>
        <v/>
      </c>
      <c r="K511" s="12" t="str">
        <f>IF(TOTALCO!K1036="", "",TOTALCO!K1036)</f>
        <v/>
      </c>
      <c r="L511" s="12">
        <f ca="1">IF(TOTALCO!L1036="", "",TOTALCO!L1036)</f>
        <v>2.1333819072427338</v>
      </c>
      <c r="M511" s="12" t="str">
        <f>IF(TOTALCO!M1036="", "",TOTALCO!M1036)</f>
        <v/>
      </c>
      <c r="N511" s="12">
        <f ca="1">IF(TOTALCO!N1036="", "",TOTALCO!N1036)</f>
        <v>357.79639308525805</v>
      </c>
      <c r="O511" s="12">
        <f ca="1">IF(TOTALCO!O1036="", "",TOTALCO!O1036)</f>
        <v>111.64155274981039</v>
      </c>
      <c r="P511" s="12">
        <f ca="1">IF(TOTALCO!P1036="", "",TOTALCO!P1036)</f>
        <v>246.15484033544763</v>
      </c>
      <c r="Q511" s="12"/>
      <c r="R511" s="13"/>
    </row>
    <row r="512" spans="1:18" ht="15" x14ac:dyDescent="0.2">
      <c r="A512" s="382">
        <f>IF(TOTALCO!A1037="", "",TOTALCO!A1037)</f>
        <v>36</v>
      </c>
      <c r="B512" s="4" t="str">
        <f>IF(TOTALCO!B1037="", "",TOTALCO!B1037)</f>
        <v xml:space="preserve">  596-MAINT OF ST LIGHTING</v>
      </c>
      <c r="C512" s="4" t="str">
        <f>IF(TOTALCO!C1037="", "",TOTALCO!C1037)</f>
        <v>PLT373TOT</v>
      </c>
      <c r="D512" s="12">
        <f ca="1">IF(TOTALCO!D1037="", "",TOTALCO!D1037)</f>
        <v>0</v>
      </c>
      <c r="E512" s="12" t="str">
        <f>IF(TOTALCO!E1037="", "",TOTALCO!E1037)</f>
        <v/>
      </c>
      <c r="F512" s="12">
        <f ca="1">IF(TOTALCO!F1037="", "",TOTALCO!F1037)</f>
        <v>0</v>
      </c>
      <c r="G512" s="12" t="str">
        <f>IF(TOTALCO!G1037="", "",TOTALCO!G1037)</f>
        <v/>
      </c>
      <c r="H512" s="12">
        <f ca="1">IF(TOTALCO!H1037="", "",TOTALCO!H1037)</f>
        <v>0</v>
      </c>
      <c r="I512" s="12">
        <f ca="1">IF(TOTALCO!I1037="", "",TOTALCO!I1037)</f>
        <v>0</v>
      </c>
      <c r="J512" s="12" t="str">
        <f>IF(TOTALCO!J1037="", "",TOTALCO!J1037)</f>
        <v/>
      </c>
      <c r="K512" s="12" t="str">
        <f>IF(TOTALCO!K1037="", "",TOTALCO!K1037)</f>
        <v/>
      </c>
      <c r="L512" s="12">
        <f ca="1">IF(TOTALCO!L1037="", "",TOTALCO!L1037)</f>
        <v>0</v>
      </c>
      <c r="M512" s="12" t="str">
        <f>IF(TOTALCO!M1037="", "",TOTALCO!M1037)</f>
        <v/>
      </c>
      <c r="N512" s="12">
        <f ca="1">IF(TOTALCO!N1037="", "",TOTALCO!N1037)</f>
        <v>0</v>
      </c>
      <c r="O512" s="12">
        <f ca="1">IF(TOTALCO!O1037="", "",TOTALCO!O1037)</f>
        <v>0</v>
      </c>
      <c r="P512" s="12">
        <f ca="1">IF(TOTALCO!P1037="", "",TOTALCO!P1037)</f>
        <v>0</v>
      </c>
      <c r="Q512" s="12"/>
      <c r="R512" s="13"/>
    </row>
    <row r="513" spans="1:18" ht="15" x14ac:dyDescent="0.2">
      <c r="A513" s="382">
        <f>IF(TOTALCO!A1038="", "",TOTALCO!A1038)</f>
        <v>37</v>
      </c>
      <c r="B513" s="4" t="str">
        <f>IF(TOTALCO!B1038="", "",TOTALCO!B1038)</f>
        <v xml:space="preserve">  597-MAINT OF METERS</v>
      </c>
      <c r="C513" s="4" t="str">
        <f>IF(TOTALCO!C1038="", "",TOTALCO!C1038)</f>
        <v>PLT370TOT</v>
      </c>
      <c r="D513" s="12">
        <f ca="1">IF(TOTALCO!D1038="", "",TOTALCO!D1038)</f>
        <v>0</v>
      </c>
      <c r="E513" s="12" t="str">
        <f>IF(TOTALCO!E1038="", "",TOTALCO!E1038)</f>
        <v/>
      </c>
      <c r="F513" s="12">
        <f ca="1">IF(TOTALCO!F1038="", "",TOTALCO!F1038)</f>
        <v>0</v>
      </c>
      <c r="G513" s="12" t="str">
        <f>IF(TOTALCO!G1038="", "",TOTALCO!G1038)</f>
        <v/>
      </c>
      <c r="H513" s="12">
        <f ca="1">IF(TOTALCO!H1038="", "",TOTALCO!H1038)</f>
        <v>0</v>
      </c>
      <c r="I513" s="12">
        <f ca="1">IF(TOTALCO!I1038="", "",TOTALCO!I1038)</f>
        <v>0</v>
      </c>
      <c r="J513" s="12" t="str">
        <f>IF(TOTALCO!J1038="", "",TOTALCO!J1038)</f>
        <v/>
      </c>
      <c r="K513" s="12" t="str">
        <f>IF(TOTALCO!K1038="", "",TOTALCO!K1038)</f>
        <v/>
      </c>
      <c r="L513" s="12">
        <f ca="1">IF(TOTALCO!L1038="", "",TOTALCO!L1038)</f>
        <v>0</v>
      </c>
      <c r="M513" s="12" t="str">
        <f>IF(TOTALCO!M1038="", "",TOTALCO!M1038)</f>
        <v/>
      </c>
      <c r="N513" s="12">
        <f ca="1">IF(TOTALCO!N1038="", "",TOTALCO!N1038)</f>
        <v>0</v>
      </c>
      <c r="O513" s="12">
        <f ca="1">IF(TOTALCO!O1038="", "",TOTALCO!O1038)</f>
        <v>0</v>
      </c>
      <c r="P513" s="12">
        <f ca="1">IF(TOTALCO!P1038="", "",TOTALCO!P1038)</f>
        <v>0</v>
      </c>
      <c r="Q513" s="12"/>
      <c r="R513" s="13"/>
    </row>
    <row r="514" spans="1:18" ht="15" x14ac:dyDescent="0.2">
      <c r="A514" s="382">
        <f>IF(TOTALCO!A1039="", "",TOTALCO!A1039)</f>
        <v>38</v>
      </c>
      <c r="B514" s="4" t="str">
        <f>IF(TOTALCO!B1039="", "",TOTALCO!B1039)</f>
        <v xml:space="preserve">  598-MISCELLANEOUS</v>
      </c>
      <c r="C514" s="4" t="str">
        <f>IF(TOTALCO!C1039="", "",TOTALCO!C1039)</f>
        <v>DISTPLT</v>
      </c>
      <c r="D514" s="12">
        <f ca="1">IF(TOTALCO!D1039="", "",TOTALCO!D1039)</f>
        <v>135083.85</v>
      </c>
      <c r="E514" s="12" t="str">
        <f>IF(TOTALCO!E1039="", "",TOTALCO!E1039)</f>
        <v/>
      </c>
      <c r="F514" s="12">
        <f ca="1">IF(TOTALCO!F1039="", "",TOTALCO!F1039)</f>
        <v>127093.19242245107</v>
      </c>
      <c r="G514" s="12" t="str">
        <f>IF(TOTALCO!G1039="", "",TOTALCO!G1039)</f>
        <v/>
      </c>
      <c r="H514" s="12">
        <f ca="1">IF(TOTALCO!H1039="", "",TOTALCO!H1039)</f>
        <v>7568.1877173063394</v>
      </c>
      <c r="I514" s="12">
        <f ca="1">IF(TOTALCO!I1039="", "",TOTALCO!I1039)</f>
        <v>422.46986024260178</v>
      </c>
      <c r="J514" s="12" t="str">
        <f>IF(TOTALCO!J1039="", "",TOTALCO!J1039)</f>
        <v/>
      </c>
      <c r="K514" s="12" t="str">
        <f>IF(TOTALCO!K1039="", "",TOTALCO!K1039)</f>
        <v/>
      </c>
      <c r="L514" s="12">
        <f ca="1">IF(TOTALCO!L1039="", "",TOTALCO!L1039)</f>
        <v>15.267097924810342</v>
      </c>
      <c r="M514" s="12" t="str">
        <f>IF(TOTALCO!M1039="", "",TOTALCO!M1039)</f>
        <v/>
      </c>
      <c r="N514" s="12">
        <f ca="1">IF(TOTALCO!N1039="", "",TOTALCO!N1039)</f>
        <v>407.20276231779144</v>
      </c>
      <c r="O514" s="12">
        <f ca="1">IF(TOTALCO!O1039="", "",TOTALCO!O1039)</f>
        <v>349.92610710811323</v>
      </c>
      <c r="P514" s="12">
        <f ca="1">IF(TOTALCO!P1039="", "",TOTALCO!P1039)</f>
        <v>57.276655209678239</v>
      </c>
      <c r="Q514" s="12"/>
      <c r="R514" s="13"/>
    </row>
    <row r="515" spans="1:18" ht="15" x14ac:dyDescent="0.2">
      <c r="A515" s="382">
        <f>IF(TOTALCO!A1040="", "",TOTALCO!A1040)</f>
        <v>39</v>
      </c>
      <c r="B515" s="4" t="str">
        <f>IF(TOTALCO!B1040="", "",TOTALCO!B1040)</f>
        <v xml:space="preserve">    TOTAL DISTR MAINTENANCE</v>
      </c>
      <c r="C515" s="4" t="str">
        <f>IF(TOTALCO!C1040="", "",TOTALCO!C1040)</f>
        <v/>
      </c>
      <c r="D515" s="12">
        <f ca="1">IF(TOTALCO!D1040="", "",TOTALCO!D1040)</f>
        <v>33968497.819999993</v>
      </c>
      <c r="E515" s="12" t="str">
        <f>IF(TOTALCO!E1040="", "",TOTALCO!E1040)</f>
        <v/>
      </c>
      <c r="F515" s="12">
        <f ca="1">IF(TOTALCO!F1040="", "",TOTALCO!F1040)</f>
        <v>31429886.042839956</v>
      </c>
      <c r="G515" s="12" t="str">
        <f>IF(TOTALCO!G1040="", "",TOTALCO!G1040)</f>
        <v/>
      </c>
      <c r="H515" s="12">
        <f ca="1">IF(TOTALCO!H1040="", "",TOTALCO!H1040)</f>
        <v>2517405.8395776134</v>
      </c>
      <c r="I515" s="12">
        <f ca="1">IF(TOTALCO!I1040="", "",TOTALCO!I1040)</f>
        <v>21205.937582428396</v>
      </c>
      <c r="J515" s="12" t="str">
        <f>IF(TOTALCO!J1040="", "",TOTALCO!J1040)</f>
        <v/>
      </c>
      <c r="K515" s="12" t="str">
        <f>IF(TOTALCO!K1040="", "",TOTALCO!K1040)</f>
        <v/>
      </c>
      <c r="L515" s="12">
        <f ca="1">IF(TOTALCO!L1040="", "",TOTALCO!L1040)</f>
        <v>4553.4174269275181</v>
      </c>
      <c r="M515" s="12" t="str">
        <f>IF(TOTALCO!M1040="", "",TOTALCO!M1040)</f>
        <v/>
      </c>
      <c r="N515" s="12">
        <f ca="1">IF(TOTALCO!N1040="", "",TOTALCO!N1040)</f>
        <v>16652.520155500879</v>
      </c>
      <c r="O515" s="12">
        <f ca="1">IF(TOTALCO!O1040="", "",TOTALCO!O1040)</f>
        <v>16289.138145663359</v>
      </c>
      <c r="P515" s="12">
        <f ca="1">IF(TOTALCO!P1040="", "",TOTALCO!P1040)</f>
        <v>363.38200983751835</v>
      </c>
      <c r="Q515" s="12"/>
      <c r="R515" s="13"/>
    </row>
    <row r="516" spans="1:18" ht="15" x14ac:dyDescent="0.2">
      <c r="A516" s="382" t="str">
        <f>IF(TOTALCO!A1041="", "",TOTALCO!A1041)</f>
        <v/>
      </c>
      <c r="B516" s="4" t="str">
        <f>IF(TOTALCO!B1041="", "",TOTALCO!B1041)</f>
        <v/>
      </c>
      <c r="C516" s="4" t="str">
        <f>IF(TOTALCO!C1041="", "",TOTALCO!C1041)</f>
        <v/>
      </c>
      <c r="D516" s="12" t="str">
        <f>IF(TOTALCO!D1041="", "",TOTALCO!D1041)</f>
        <v/>
      </c>
      <c r="E516" s="12" t="str">
        <f>IF(TOTALCO!E1041="", "",TOTALCO!E1041)</f>
        <v/>
      </c>
      <c r="F516" s="12" t="str">
        <f>IF(TOTALCO!F1041="", "",TOTALCO!F1041)</f>
        <v/>
      </c>
      <c r="G516" s="12" t="str">
        <f>IF(TOTALCO!G1041="", "",TOTALCO!G1041)</f>
        <v/>
      </c>
      <c r="H516" s="12" t="str">
        <f>IF(TOTALCO!H1041="", "",TOTALCO!H1041)</f>
        <v/>
      </c>
      <c r="I516" s="12" t="str">
        <f>IF(TOTALCO!I1041="", "",TOTALCO!I1041)</f>
        <v/>
      </c>
      <c r="J516" s="12" t="str">
        <f>IF(TOTALCO!J1041="", "",TOTALCO!J1041)</f>
        <v/>
      </c>
      <c r="K516" s="12" t="str">
        <f>IF(TOTALCO!K1041="", "",TOTALCO!K1041)</f>
        <v/>
      </c>
      <c r="L516" s="12" t="str">
        <f>IF(TOTALCO!L1041="", "",TOTALCO!L1041)</f>
        <v/>
      </c>
      <c r="M516" s="12" t="str">
        <f>IF(TOTALCO!M1041="", "",TOTALCO!M1041)</f>
        <v/>
      </c>
      <c r="N516" s="12" t="str">
        <f>IF(TOTALCO!N1041="", "",TOTALCO!N1041)</f>
        <v/>
      </c>
      <c r="O516" s="12" t="str">
        <f>IF(TOTALCO!O1041="", "",TOTALCO!O1041)</f>
        <v/>
      </c>
      <c r="P516" s="12" t="str">
        <f>IF(TOTALCO!P1041="", "",TOTALCO!P1041)</f>
        <v/>
      </c>
      <c r="Q516" s="12"/>
      <c r="R516" s="13"/>
    </row>
    <row r="517" spans="1:18" ht="15" x14ac:dyDescent="0.2">
      <c r="A517" s="382">
        <f>IF(TOTALCO!A1042="", "",TOTALCO!A1042)</f>
        <v>40</v>
      </c>
      <c r="B517" s="4" t="str">
        <f>IF(TOTALCO!B1042="", "",TOTALCO!B1042)</f>
        <v>TOTAL DISTRIBUTION EXPENSES</v>
      </c>
      <c r="C517" s="4" t="str">
        <f>IF(TOTALCO!C1042="", "",TOTALCO!C1042)</f>
        <v/>
      </c>
      <c r="D517" s="12">
        <f ca="1">IF(TOTALCO!D1042="", "",TOTALCO!D1042)</f>
        <v>54804722.970000006</v>
      </c>
      <c r="E517" s="12" t="str">
        <f>IF(TOTALCO!E1042="", "",TOTALCO!E1042)</f>
        <v/>
      </c>
      <c r="F517" s="12">
        <f ca="1">IF(TOTALCO!F1042="", "",TOTALCO!F1042)</f>
        <v>50977391.74728097</v>
      </c>
      <c r="G517" s="12" t="str">
        <f>IF(TOTALCO!G1042="", "",TOTALCO!G1042)</f>
        <v/>
      </c>
      <c r="H517" s="12">
        <f ca="1">IF(TOTALCO!H1042="", "",TOTALCO!H1042)</f>
        <v>3697998.2800959647</v>
      </c>
      <c r="I517" s="12">
        <f ca="1">IF(TOTALCO!I1042="", "",TOTALCO!I1042)</f>
        <v>129332.9426230681</v>
      </c>
      <c r="J517" s="12" t="str">
        <f>IF(TOTALCO!J1042="", "",TOTALCO!J1042)</f>
        <v/>
      </c>
      <c r="K517" s="12" t="str">
        <f>IF(TOTALCO!K1042="", "",TOTALCO!K1042)</f>
        <v/>
      </c>
      <c r="L517" s="12">
        <f ca="1">IF(TOTALCO!L1042="", "",TOTALCO!L1042)</f>
        <v>6858.7508717812589</v>
      </c>
      <c r="M517" s="12" t="str">
        <f>IF(TOTALCO!M1042="", "",TOTALCO!M1042)</f>
        <v/>
      </c>
      <c r="N517" s="12">
        <f ca="1">IF(TOTALCO!N1042="", "",TOTALCO!N1042)</f>
        <v>122474.19175128684</v>
      </c>
      <c r="O517" s="12">
        <f ca="1">IF(TOTALCO!O1042="", "",TOTALCO!O1042)</f>
        <v>91978.355644424431</v>
      </c>
      <c r="P517" s="12">
        <f ca="1">IF(TOTALCO!P1042="", "",TOTALCO!P1042)</f>
        <v>30495.836106862411</v>
      </c>
      <c r="Q517" s="12"/>
      <c r="R517" s="13"/>
    </row>
    <row r="518" spans="1:18" ht="15" x14ac:dyDescent="0.2">
      <c r="A518" s="382" t="str">
        <f>IF(TOTALCO!A1043="", "",TOTALCO!A1043)</f>
        <v/>
      </c>
      <c r="B518" s="4" t="str">
        <f>IF(TOTALCO!B1043="", "",TOTALCO!B1043)</f>
        <v/>
      </c>
      <c r="C518" s="4" t="str">
        <f>IF(TOTALCO!C1043="", "",TOTALCO!C1043)</f>
        <v/>
      </c>
      <c r="D518" s="12" t="str">
        <f>IF(TOTALCO!D1043="", "",TOTALCO!D1043)</f>
        <v/>
      </c>
      <c r="E518" s="12" t="str">
        <f>IF(TOTALCO!E1043="", "",TOTALCO!E1043)</f>
        <v/>
      </c>
      <c r="F518" s="12" t="str">
        <f>IF(TOTALCO!F1043="", "",TOTALCO!F1043)</f>
        <v/>
      </c>
      <c r="G518" s="12" t="str">
        <f>IF(TOTALCO!G1043="", "",TOTALCO!G1043)</f>
        <v/>
      </c>
      <c r="H518" s="12" t="str">
        <f>IF(TOTALCO!H1043="", "",TOTALCO!H1043)</f>
        <v/>
      </c>
      <c r="I518" s="12" t="str">
        <f>IF(TOTALCO!I1043="", "",TOTALCO!I1043)</f>
        <v/>
      </c>
      <c r="J518" s="12" t="str">
        <f>IF(TOTALCO!J1043="", "",TOTALCO!J1043)</f>
        <v/>
      </c>
      <c r="K518" s="12" t="str">
        <f>IF(TOTALCO!K1043="", "",TOTALCO!K1043)</f>
        <v/>
      </c>
      <c r="L518" s="12" t="str">
        <f>IF(TOTALCO!L1043="", "",TOTALCO!L1043)</f>
        <v/>
      </c>
      <c r="M518" s="12" t="str">
        <f>IF(TOTALCO!M1043="", "",TOTALCO!M1043)</f>
        <v/>
      </c>
      <c r="N518" s="12" t="str">
        <f>IF(TOTALCO!N1043="", "",TOTALCO!N1043)</f>
        <v/>
      </c>
      <c r="O518" s="12" t="str">
        <f>IF(TOTALCO!O1043="", "",TOTALCO!O1043)</f>
        <v/>
      </c>
      <c r="P518" s="12" t="str">
        <f>IF(TOTALCO!P1043="", "",TOTALCO!P1043)</f>
        <v/>
      </c>
      <c r="Q518" s="12"/>
      <c r="R518" s="13"/>
    </row>
    <row r="519" spans="1:18" ht="15" x14ac:dyDescent="0.2">
      <c r="A519" s="382" t="str">
        <f>IF(TOTALCO!A1044="", "",TOTALCO!A1044)</f>
        <v/>
      </c>
      <c r="B519" s="4" t="str">
        <f>IF(TOTALCO!B1044="", "",TOTALCO!B1044)</f>
        <v/>
      </c>
      <c r="C519" s="4" t="str">
        <f>IF(TOTALCO!C1044="", "",TOTALCO!C1044)</f>
        <v/>
      </c>
      <c r="D519" s="12" t="str">
        <f>IF(TOTALCO!D1044="", "",TOTALCO!D1044)</f>
        <v/>
      </c>
      <c r="E519" s="12" t="str">
        <f>IF(TOTALCO!E1044="", "",TOTALCO!E1044)</f>
        <v/>
      </c>
      <c r="F519" s="12" t="str">
        <f>IF(TOTALCO!F1044="", "",TOTALCO!F1044)</f>
        <v/>
      </c>
      <c r="G519" s="12" t="str">
        <f>IF(TOTALCO!G1044="", "",TOTALCO!G1044)</f>
        <v/>
      </c>
      <c r="H519" s="12" t="str">
        <f>IF(TOTALCO!H1044="", "",TOTALCO!H1044)</f>
        <v/>
      </c>
      <c r="I519" s="12" t="str">
        <f>IF(TOTALCO!I1044="", "",TOTALCO!I1044)</f>
        <v/>
      </c>
      <c r="J519" s="12" t="str">
        <f>IF(TOTALCO!J1044="", "",TOTALCO!J1044)</f>
        <v/>
      </c>
      <c r="K519" s="12" t="str">
        <f>IF(TOTALCO!K1044="", "",TOTALCO!K1044)</f>
        <v/>
      </c>
      <c r="L519" s="12" t="str">
        <f>IF(TOTALCO!L1044="", "",TOTALCO!L1044)</f>
        <v/>
      </c>
      <c r="M519" s="12" t="str">
        <f>IF(TOTALCO!M1044="", "",TOTALCO!M1044)</f>
        <v/>
      </c>
      <c r="N519" s="12" t="str">
        <f>IF(TOTALCO!N1044="", "",TOTALCO!N1044)</f>
        <v/>
      </c>
      <c r="O519" s="12" t="str">
        <f>IF(TOTALCO!O1044="", "",TOTALCO!O1044)</f>
        <v/>
      </c>
      <c r="P519" s="12" t="str">
        <f>IF(TOTALCO!P1044="", "",TOTALCO!P1044)</f>
        <v/>
      </c>
      <c r="Q519" s="12"/>
      <c r="R519" s="13"/>
    </row>
    <row r="520" spans="1:18" ht="15" x14ac:dyDescent="0.2">
      <c r="A520" s="382" t="str">
        <f>IF(TOTALCO!A1045="", "",TOTALCO!A1045)</f>
        <v/>
      </c>
      <c r="B520" s="4" t="str">
        <f>IF(TOTALCO!B1045="", "",TOTALCO!B1045)</f>
        <v>OPERATION &amp; MAINT EXP CON'T</v>
      </c>
      <c r="C520" s="4" t="str">
        <f>IF(TOTALCO!C1045="", "",TOTALCO!C1045)</f>
        <v/>
      </c>
      <c r="D520" s="12" t="str">
        <f>IF(TOTALCO!D1045="", "",TOTALCO!D1045)</f>
        <v/>
      </c>
      <c r="E520" s="12" t="str">
        <f>IF(TOTALCO!E1045="", "",TOTALCO!E1045)</f>
        <v/>
      </c>
      <c r="F520" s="12" t="str">
        <f>IF(TOTALCO!F1045="", "",TOTALCO!F1045)</f>
        <v/>
      </c>
      <c r="G520" s="12" t="str">
        <f>IF(TOTALCO!G1045="", "",TOTALCO!G1045)</f>
        <v/>
      </c>
      <c r="H520" s="12" t="str">
        <f>IF(TOTALCO!H1045="", "",TOTALCO!H1045)</f>
        <v/>
      </c>
      <c r="I520" s="12" t="str">
        <f>IF(TOTALCO!I1045="", "",TOTALCO!I1045)</f>
        <v/>
      </c>
      <c r="J520" s="12" t="str">
        <f>IF(TOTALCO!J1045="", "",TOTALCO!J1045)</f>
        <v/>
      </c>
      <c r="K520" s="12" t="str">
        <f>IF(TOTALCO!K1045="", "",TOTALCO!K1045)</f>
        <v/>
      </c>
      <c r="L520" s="12" t="str">
        <f>IF(TOTALCO!L1045="", "",TOTALCO!L1045)</f>
        <v/>
      </c>
      <c r="M520" s="12" t="str">
        <f>IF(TOTALCO!M1045="", "",TOTALCO!M1045)</f>
        <v/>
      </c>
      <c r="N520" s="12" t="str">
        <f>IF(TOTALCO!N1045="", "",TOTALCO!N1045)</f>
        <v/>
      </c>
      <c r="O520" s="12" t="str">
        <f>IF(TOTALCO!O1045="", "",TOTALCO!O1045)</f>
        <v/>
      </c>
      <c r="P520" s="12" t="str">
        <f>IF(TOTALCO!P1045="", "",TOTALCO!P1045)</f>
        <v/>
      </c>
      <c r="Q520" s="12"/>
      <c r="R520" s="13"/>
    </row>
    <row r="521" spans="1:18" ht="15" x14ac:dyDescent="0.2">
      <c r="A521" s="382" t="str">
        <f>IF(TOTALCO!A1046="", "",TOTALCO!A1046)</f>
        <v/>
      </c>
      <c r="B521" s="4" t="str">
        <f>IF(TOTALCO!B1046="", "",TOTALCO!B1046)</f>
        <v/>
      </c>
      <c r="C521" s="4" t="str">
        <f>IF(TOTALCO!C1046="", "",TOTALCO!C1046)</f>
        <v/>
      </c>
      <c r="D521" s="12" t="str">
        <f>IF(TOTALCO!D1046="", "",TOTALCO!D1046)</f>
        <v/>
      </c>
      <c r="E521" s="12" t="str">
        <f>IF(TOTALCO!E1046="", "",TOTALCO!E1046)</f>
        <v/>
      </c>
      <c r="F521" s="12" t="str">
        <f>IF(TOTALCO!F1046="", "",TOTALCO!F1046)</f>
        <v/>
      </c>
      <c r="G521" s="12" t="str">
        <f>IF(TOTALCO!G1046="", "",TOTALCO!G1046)</f>
        <v/>
      </c>
      <c r="H521" s="12" t="str">
        <f>IF(TOTALCO!H1046="", "",TOTALCO!H1046)</f>
        <v/>
      </c>
      <c r="I521" s="12" t="str">
        <f>IF(TOTALCO!I1046="", "",TOTALCO!I1046)</f>
        <v/>
      </c>
      <c r="J521" s="12" t="str">
        <f>IF(TOTALCO!J1046="", "",TOTALCO!J1046)</f>
        <v/>
      </c>
      <c r="K521" s="12" t="str">
        <f>IF(TOTALCO!K1046="", "",TOTALCO!K1046)</f>
        <v/>
      </c>
      <c r="L521" s="12" t="str">
        <f>IF(TOTALCO!L1046="", "",TOTALCO!L1046)</f>
        <v/>
      </c>
      <c r="M521" s="12" t="str">
        <f>IF(TOTALCO!M1046="", "",TOTALCO!M1046)</f>
        <v/>
      </c>
      <c r="N521" s="12" t="str">
        <f>IF(TOTALCO!N1046="", "",TOTALCO!N1046)</f>
        <v/>
      </c>
      <c r="O521" s="12" t="str">
        <f>IF(TOTALCO!O1046="", "",TOTALCO!O1046)</f>
        <v/>
      </c>
      <c r="P521" s="12" t="str">
        <f>IF(TOTALCO!P1046="", "",TOTALCO!P1046)</f>
        <v/>
      </c>
      <c r="Q521" s="12"/>
      <c r="R521" s="13"/>
    </row>
    <row r="522" spans="1:18" ht="15" x14ac:dyDescent="0.2">
      <c r="A522" s="382" t="str">
        <f>IF(TOTALCO!A1047="", "",TOTALCO!A1047)</f>
        <v/>
      </c>
      <c r="B522" s="4" t="str">
        <f>IF(TOTALCO!B1047="", "",TOTALCO!B1047)</f>
        <v>CUSTOMER ACCOUNTING EXPENSES</v>
      </c>
      <c r="C522" s="4" t="str">
        <f>IF(TOTALCO!C1047="", "",TOTALCO!C1047)</f>
        <v/>
      </c>
      <c r="D522" s="12" t="str">
        <f>IF(TOTALCO!D1047="", "",TOTALCO!D1047)</f>
        <v/>
      </c>
      <c r="E522" s="12" t="str">
        <f>IF(TOTALCO!E1047="", "",TOTALCO!E1047)</f>
        <v/>
      </c>
      <c r="F522" s="12" t="str">
        <f>IF(TOTALCO!F1047="", "",TOTALCO!F1047)</f>
        <v/>
      </c>
      <c r="G522" s="12" t="str">
        <f>IF(TOTALCO!G1047="", "",TOTALCO!G1047)</f>
        <v/>
      </c>
      <c r="H522" s="12" t="str">
        <f>IF(TOTALCO!H1047="", "",TOTALCO!H1047)</f>
        <v/>
      </c>
      <c r="I522" s="12" t="str">
        <f>IF(TOTALCO!I1047="", "",TOTALCO!I1047)</f>
        <v/>
      </c>
      <c r="J522" s="12" t="str">
        <f>IF(TOTALCO!J1047="", "",TOTALCO!J1047)</f>
        <v/>
      </c>
      <c r="K522" s="12" t="str">
        <f>IF(TOTALCO!K1047="", "",TOTALCO!K1047)</f>
        <v/>
      </c>
      <c r="L522" s="12" t="str">
        <f>IF(TOTALCO!L1047="", "",TOTALCO!L1047)</f>
        <v/>
      </c>
      <c r="M522" s="12" t="str">
        <f>IF(TOTALCO!M1047="", "",TOTALCO!M1047)</f>
        <v/>
      </c>
      <c r="N522" s="12" t="str">
        <f>IF(TOTALCO!N1047="", "",TOTALCO!N1047)</f>
        <v/>
      </c>
      <c r="O522" s="12" t="str">
        <f>IF(TOTALCO!O1047="", "",TOTALCO!O1047)</f>
        <v/>
      </c>
      <c r="P522" s="12" t="str">
        <f>IF(TOTALCO!P1047="", "",TOTALCO!P1047)</f>
        <v/>
      </c>
      <c r="Q522" s="12"/>
      <c r="R522" s="13"/>
    </row>
    <row r="523" spans="1:18" ht="15" x14ac:dyDescent="0.2">
      <c r="A523" s="382">
        <f>IF(TOTALCO!A1048="", "",TOTALCO!A1048)</f>
        <v>1</v>
      </c>
      <c r="B523" s="4" t="str">
        <f>IF(TOTALCO!B1048="", "",TOTALCO!B1048)</f>
        <v xml:space="preserve">  901-SUPERVISION</v>
      </c>
      <c r="C523" s="4" t="str">
        <f>IF(TOTALCO!C1048="", "",TOTALCO!C1048)</f>
        <v>LABCA</v>
      </c>
      <c r="D523" s="12">
        <f ca="1">IF(TOTALCO!D1048="", "",TOTALCO!D1048)</f>
        <v>2728448.9400000004</v>
      </c>
      <c r="E523" s="12" t="str">
        <f>IF(TOTALCO!E1048="", "",TOTALCO!E1048)</f>
        <v/>
      </c>
      <c r="F523" s="12">
        <f ca="1">IF(TOTALCO!F1048="", "",TOTALCO!F1048)</f>
        <v>2581407.5247872435</v>
      </c>
      <c r="G523" s="12" t="str">
        <f>IF(TOTALCO!G1048="", "",TOTALCO!G1048)</f>
        <v/>
      </c>
      <c r="H523" s="12">
        <f ca="1">IF(TOTALCO!H1048="", "",TOTALCO!H1048)</f>
        <v>143646.38266110787</v>
      </c>
      <c r="I523" s="12">
        <f ca="1">IF(TOTALCO!I1048="", "",TOTALCO!I1048)</f>
        <v>3395.0325516488433</v>
      </c>
      <c r="J523" s="12" t="str">
        <f>IF(TOTALCO!J1048="", "",TOTALCO!J1048)</f>
        <v/>
      </c>
      <c r="K523" s="12" t="str">
        <f>IF(TOTALCO!K1048="", "",TOTALCO!K1048)</f>
        <v/>
      </c>
      <c r="L523" s="12">
        <f ca="1">IF(TOTALCO!L1048="", "",TOTALCO!L1048)</f>
        <v>25.55400845327086</v>
      </c>
      <c r="M523" s="12" t="str">
        <f>IF(TOTALCO!M1048="", "",TOTALCO!M1048)</f>
        <v/>
      </c>
      <c r="N523" s="12">
        <f ca="1">IF(TOTALCO!N1048="", "",TOTALCO!N1048)</f>
        <v>3369.4785431955725</v>
      </c>
      <c r="O523" s="12">
        <f ca="1">IF(TOTALCO!O1048="", "",TOTALCO!O1048)</f>
        <v>1803.3828822736866</v>
      </c>
      <c r="P523" s="12">
        <f ca="1">IF(TOTALCO!P1048="", "",TOTALCO!P1048)</f>
        <v>1566.0956609218856</v>
      </c>
      <c r="Q523" s="12"/>
      <c r="R523" s="13"/>
    </row>
    <row r="524" spans="1:18" ht="15" x14ac:dyDescent="0.2">
      <c r="A524" s="382">
        <f>IF(TOTALCO!A1049="", "",TOTALCO!A1049)</f>
        <v>2</v>
      </c>
      <c r="B524" s="4" t="str">
        <f>IF(TOTALCO!B1049="", "",TOTALCO!B1049)</f>
        <v xml:space="preserve">  902-METER READING</v>
      </c>
      <c r="C524" s="4" t="str">
        <f>IF(TOTALCO!C1049="", "",TOTALCO!C1049)</f>
        <v>CUST902</v>
      </c>
      <c r="D524" s="12">
        <f ca="1">IF(TOTALCO!D1049="", "",TOTALCO!D1049)</f>
        <v>4920048.4000000004</v>
      </c>
      <c r="E524" s="12" t="str">
        <f>IF(TOTALCO!E1049="", "",TOTALCO!E1049)</f>
        <v/>
      </c>
      <c r="F524" s="12">
        <f ca="1">IF(TOTALCO!F1049="", "",TOTALCO!F1049)</f>
        <v>4654897.4312407095</v>
      </c>
      <c r="G524" s="12" t="str">
        <f>IF(TOTALCO!G1049="", "",TOTALCO!G1049)</f>
        <v/>
      </c>
      <c r="H524" s="12">
        <f ca="1">IF(TOTALCO!H1049="", "",TOTALCO!H1049)</f>
        <v>259028.91009482168</v>
      </c>
      <c r="I524" s="12">
        <f ca="1">IF(TOTALCO!I1049="", "",TOTALCO!I1049)</f>
        <v>6122.0586644688346</v>
      </c>
      <c r="J524" s="12" t="str">
        <f>IF(TOTALCO!J1049="", "",TOTALCO!J1049)</f>
        <v/>
      </c>
      <c r="K524" s="12" t="str">
        <f>IF(TOTALCO!K1049="", "",TOTALCO!K1049)</f>
        <v/>
      </c>
      <c r="L524" s="12">
        <f ca="1">IF(TOTALCO!L1049="", "",TOTALCO!L1049)</f>
        <v>46.080011452991229</v>
      </c>
      <c r="M524" s="12" t="str">
        <f>IF(TOTALCO!M1049="", "",TOTALCO!M1049)</f>
        <v/>
      </c>
      <c r="N524" s="12">
        <f ca="1">IF(TOTALCO!N1049="", "",TOTALCO!N1049)</f>
        <v>6075.9786530158435</v>
      </c>
      <c r="O524" s="12">
        <f ca="1">IF(TOTALCO!O1049="", "",TOTALCO!O1049)</f>
        <v>3251.9322368253811</v>
      </c>
      <c r="P524" s="12">
        <f ca="1">IF(TOTALCO!P1049="", "",TOTALCO!P1049)</f>
        <v>2824.0464161904624</v>
      </c>
      <c r="Q524" s="12"/>
      <c r="R524" s="13"/>
    </row>
    <row r="525" spans="1:18" ht="15" x14ac:dyDescent="0.2">
      <c r="A525" s="382">
        <f>IF(TOTALCO!A1050="", "",TOTALCO!A1050)</f>
        <v>3</v>
      </c>
      <c r="B525" s="4" t="str">
        <f>IF(TOTALCO!B1050="", "",TOTALCO!B1050)</f>
        <v xml:space="preserve">  903-CUSTOMER RECORDS</v>
      </c>
      <c r="C525" s="4" t="str">
        <f>IF(TOTALCO!C1050="", "",TOTALCO!C1050)</f>
        <v>CUST903</v>
      </c>
      <c r="D525" s="12">
        <f ca="1">IF(TOTALCO!D1050="", "",TOTALCO!D1050)</f>
        <v>14319514.810000001</v>
      </c>
      <c r="E525" s="12" t="str">
        <f>IF(TOTALCO!E1050="", "",TOTALCO!E1050)</f>
        <v/>
      </c>
      <c r="F525" s="12">
        <f ca="1">IF(TOTALCO!F1050="", "",TOTALCO!F1050)</f>
        <v>13547808.331658343</v>
      </c>
      <c r="G525" s="12" t="str">
        <f>IF(TOTALCO!G1050="", "",TOTALCO!G1050)</f>
        <v/>
      </c>
      <c r="H525" s="12">
        <f ca="1">IF(TOTALCO!H1050="", "",TOTALCO!H1050)</f>
        <v>753888.58254340698</v>
      </c>
      <c r="I525" s="12">
        <f ca="1">IF(TOTALCO!I1050="", "",TOTALCO!I1050)</f>
        <v>17817.895798250745</v>
      </c>
      <c r="J525" s="12" t="str">
        <f>IF(TOTALCO!J1050="", "",TOTALCO!J1050)</f>
        <v/>
      </c>
      <c r="K525" s="12" t="str">
        <f>IF(TOTALCO!K1050="", "",TOTALCO!K1050)</f>
        <v/>
      </c>
      <c r="L525" s="12">
        <f ca="1">IF(TOTALCO!L1050="", "",TOTALCO!L1050)</f>
        <v>134.11319418038195</v>
      </c>
      <c r="M525" s="12" t="str">
        <f>IF(TOTALCO!M1050="", "",TOTALCO!M1050)</f>
        <v/>
      </c>
      <c r="N525" s="12">
        <f ca="1">IF(TOTALCO!N1050="", "",TOTALCO!N1050)</f>
        <v>17683.782604070362</v>
      </c>
      <c r="O525" s="12">
        <f ca="1">IF(TOTALCO!O1050="", "",TOTALCO!O1050)</f>
        <v>9464.5597035869541</v>
      </c>
      <c r="P525" s="12">
        <f ca="1">IF(TOTALCO!P1050="", "",TOTALCO!P1050)</f>
        <v>8219.222900483408</v>
      </c>
      <c r="Q525" s="12"/>
      <c r="R525" s="13"/>
    </row>
    <row r="526" spans="1:18" ht="15" x14ac:dyDescent="0.2">
      <c r="A526" s="382">
        <f>IF(TOTALCO!A1051="", "",TOTALCO!A1051)</f>
        <v>4</v>
      </c>
      <c r="B526" s="4" t="str">
        <f>IF(TOTALCO!B1051="", "",TOTALCO!B1051)</f>
        <v xml:space="preserve">  904-UNCOLLECTIBLE ACCOUNTS</v>
      </c>
      <c r="C526" s="4" t="str">
        <f>IF(TOTALCO!C1051="", "",TOTALCO!C1051)</f>
        <v>CUST904</v>
      </c>
      <c r="D526" s="12">
        <f ca="1">IF(TOTALCO!D1051="", "",TOTALCO!D1051)</f>
        <v>5413178.0500000007</v>
      </c>
      <c r="E526" s="12" t="str">
        <f>IF(TOTALCO!E1051="", "",TOTALCO!E1051)</f>
        <v/>
      </c>
      <c r="F526" s="12">
        <f ca="1">IF(TOTALCO!F1051="", "",TOTALCO!F1051)</f>
        <v>5121451.3661681851</v>
      </c>
      <c r="G526" s="12" t="str">
        <f>IF(TOTALCO!G1051="", "",TOTALCO!G1051)</f>
        <v/>
      </c>
      <c r="H526" s="12">
        <f ca="1">IF(TOTALCO!H1051="", "",TOTALCO!H1051)</f>
        <v>284991.01969011361</v>
      </c>
      <c r="I526" s="12">
        <f ca="1">IF(TOTALCO!I1051="", "",TOTALCO!I1051)</f>
        <v>6735.6641417013316</v>
      </c>
      <c r="J526" s="12" t="str">
        <f>IF(TOTALCO!J1051="", "",TOTALCO!J1051)</f>
        <v/>
      </c>
      <c r="K526" s="12" t="str">
        <f>IF(TOTALCO!K1051="", "",TOTALCO!K1051)</f>
        <v/>
      </c>
      <c r="L526" s="12">
        <f ca="1">IF(TOTALCO!L1051="", "",TOTALCO!L1051)</f>
        <v>50.698547303128301</v>
      </c>
      <c r="M526" s="12" t="str">
        <f>IF(TOTALCO!M1051="", "",TOTALCO!M1051)</f>
        <v/>
      </c>
      <c r="N526" s="12">
        <f ca="1">IF(TOTALCO!N1051="", "",TOTALCO!N1051)</f>
        <v>6684.9655943982034</v>
      </c>
      <c r="O526" s="12">
        <f ca="1">IF(TOTALCO!O1051="", "",TOTALCO!O1051)</f>
        <v>3577.8689096779117</v>
      </c>
      <c r="P526" s="12">
        <f ca="1">IF(TOTALCO!P1051="", "",TOTALCO!P1051)</f>
        <v>3107.0966847202917</v>
      </c>
      <c r="Q526" s="12"/>
      <c r="R526" s="13"/>
    </row>
    <row r="527" spans="1:18" ht="15" x14ac:dyDescent="0.2">
      <c r="A527" s="382">
        <f>IF(TOTALCO!A1052="", "",TOTALCO!A1052)</f>
        <v>5</v>
      </c>
      <c r="B527" s="4" t="str">
        <f>IF(TOTALCO!B1052="", "",TOTALCO!B1052)</f>
        <v xml:space="preserve">  905-MISCELLANEOUS</v>
      </c>
      <c r="C527" s="4" t="str">
        <f>IF(TOTALCO!C1052="", "",TOTALCO!C1052)</f>
        <v>EXP9024CA</v>
      </c>
      <c r="D527" s="12">
        <f ca="1">IF(TOTALCO!D1052="", "",TOTALCO!D1052)</f>
        <v>750344.74000000011</v>
      </c>
      <c r="E527" s="12" t="str">
        <f>IF(TOTALCO!E1052="", "",TOTALCO!E1052)</f>
        <v/>
      </c>
      <c r="F527" s="12">
        <f ca="1">IF(TOTALCO!F1052="", "",TOTALCO!F1052)</f>
        <v>709907.20391510346</v>
      </c>
      <c r="G527" s="12" t="str">
        <f>IF(TOTALCO!G1052="", "",TOTALCO!G1052)</f>
        <v/>
      </c>
      <c r="H527" s="12">
        <f ca="1">IF(TOTALCO!H1052="", "",TOTALCO!H1052)</f>
        <v>39503.875652439187</v>
      </c>
      <c r="I527" s="12">
        <f ca="1">IF(TOTALCO!I1052="", "",TOTALCO!I1052)</f>
        <v>933.66043245745607</v>
      </c>
      <c r="J527" s="12" t="str">
        <f>IF(TOTALCO!J1052="", "",TOTALCO!J1052)</f>
        <v/>
      </c>
      <c r="K527" s="12" t="str">
        <f>IF(TOTALCO!K1052="", "",TOTALCO!K1052)</f>
        <v/>
      </c>
      <c r="L527" s="12">
        <f ca="1">IF(TOTALCO!L1052="", "",TOTALCO!L1052)</f>
        <v>7.0275516421528952</v>
      </c>
      <c r="M527" s="12" t="str">
        <f>IF(TOTALCO!M1052="", "",TOTALCO!M1052)</f>
        <v/>
      </c>
      <c r="N527" s="12">
        <f ca="1">IF(TOTALCO!N1052="", "",TOTALCO!N1052)</f>
        <v>926.63288081530322</v>
      </c>
      <c r="O527" s="12">
        <f ca="1">IF(TOTALCO!O1052="", "",TOTALCO!O1052)</f>
        <v>495.94435874621865</v>
      </c>
      <c r="P527" s="12">
        <f ca="1">IF(TOTALCO!P1052="", "",TOTALCO!P1052)</f>
        <v>430.68852206908463</v>
      </c>
      <c r="Q527" s="12"/>
      <c r="R527" s="13"/>
    </row>
    <row r="528" spans="1:18" ht="15" x14ac:dyDescent="0.2">
      <c r="A528" s="382">
        <f>IF(TOTALCO!A1053="", "",TOTALCO!A1053)</f>
        <v>6</v>
      </c>
      <c r="B528" s="4" t="str">
        <f>IF(TOTALCO!B1053="", "",TOTALCO!B1053)</f>
        <v>TOTAL CUSTOMER ACCOUNTS</v>
      </c>
      <c r="C528" s="4" t="str">
        <f>IF(TOTALCO!C1053="", "",TOTALCO!C1053)</f>
        <v/>
      </c>
      <c r="D528" s="12">
        <f ca="1">IF(TOTALCO!D1053="", "",TOTALCO!D1053)</f>
        <v>28131534.940000001</v>
      </c>
      <c r="E528" s="12" t="str">
        <f>IF(TOTALCO!E1053="", "",TOTALCO!E1053)</f>
        <v/>
      </c>
      <c r="F528" s="12">
        <f ca="1">IF(TOTALCO!F1053="", "",TOTALCO!F1053)</f>
        <v>26615471.857769586</v>
      </c>
      <c r="G528" s="12" t="str">
        <f>IF(TOTALCO!G1053="", "",TOTALCO!G1053)</f>
        <v/>
      </c>
      <c r="H528" s="12">
        <f ca="1">IF(TOTALCO!H1053="", "",TOTALCO!H1053)</f>
        <v>1481058.7706418892</v>
      </c>
      <c r="I528" s="12">
        <f ca="1">IF(TOTALCO!I1053="", "",TOTALCO!I1053)</f>
        <v>35004.311588527205</v>
      </c>
      <c r="J528" s="12" t="str">
        <f>IF(TOTALCO!J1053="", "",TOTALCO!J1053)</f>
        <v/>
      </c>
      <c r="K528" s="12" t="str">
        <f>IF(TOTALCO!K1053="", "",TOTALCO!K1053)</f>
        <v/>
      </c>
      <c r="L528" s="12">
        <f ca="1">IF(TOTALCO!L1053="", "",TOTALCO!L1053)</f>
        <v>263.47331303192527</v>
      </c>
      <c r="M528" s="12" t="str">
        <f>IF(TOTALCO!M1053="", "",TOTALCO!M1053)</f>
        <v/>
      </c>
      <c r="N528" s="12">
        <f ca="1">IF(TOTALCO!N1053="", "",TOTALCO!N1053)</f>
        <v>34740.838275495284</v>
      </c>
      <c r="O528" s="12">
        <f ca="1">IF(TOTALCO!O1053="", "",TOTALCO!O1053)</f>
        <v>18593.688091110154</v>
      </c>
      <c r="P528" s="12">
        <f ca="1">IF(TOTALCO!P1053="", "",TOTALCO!P1053)</f>
        <v>16147.150184385131</v>
      </c>
      <c r="Q528" s="12"/>
      <c r="R528" s="13"/>
    </row>
    <row r="529" spans="1:18" ht="15" x14ac:dyDescent="0.2">
      <c r="A529" s="382" t="str">
        <f>IF(TOTALCO!A1054="", "",TOTALCO!A1054)</f>
        <v/>
      </c>
      <c r="B529" s="4" t="str">
        <f>IF(TOTALCO!B1054="", "",TOTALCO!B1054)</f>
        <v/>
      </c>
      <c r="C529" s="4" t="str">
        <f>IF(TOTALCO!C1054="", "",TOTALCO!C1054)</f>
        <v/>
      </c>
      <c r="D529" s="12" t="str">
        <f>IF(TOTALCO!D1054="", "",TOTALCO!D1054)</f>
        <v/>
      </c>
      <c r="E529" s="12" t="str">
        <f>IF(TOTALCO!E1054="", "",TOTALCO!E1054)</f>
        <v/>
      </c>
      <c r="F529" s="12" t="str">
        <f>IF(TOTALCO!F1054="", "",TOTALCO!F1054)</f>
        <v/>
      </c>
      <c r="G529" s="12" t="str">
        <f>IF(TOTALCO!G1054="", "",TOTALCO!G1054)</f>
        <v/>
      </c>
      <c r="H529" s="12" t="str">
        <f>IF(TOTALCO!H1054="", "",TOTALCO!H1054)</f>
        <v/>
      </c>
      <c r="I529" s="12" t="str">
        <f>IF(TOTALCO!I1054="", "",TOTALCO!I1054)</f>
        <v/>
      </c>
      <c r="J529" s="12" t="str">
        <f>IF(TOTALCO!J1054="", "",TOTALCO!J1054)</f>
        <v/>
      </c>
      <c r="K529" s="12" t="str">
        <f>IF(TOTALCO!K1054="", "",TOTALCO!K1054)</f>
        <v/>
      </c>
      <c r="L529" s="12" t="str">
        <f>IF(TOTALCO!L1054="", "",TOTALCO!L1054)</f>
        <v/>
      </c>
      <c r="M529" s="12" t="str">
        <f>IF(TOTALCO!M1054="", "",TOTALCO!M1054)</f>
        <v/>
      </c>
      <c r="N529" s="12" t="str">
        <f>IF(TOTALCO!N1054="", "",TOTALCO!N1054)</f>
        <v/>
      </c>
      <c r="O529" s="12" t="str">
        <f>IF(TOTALCO!O1054="", "",TOTALCO!O1054)</f>
        <v/>
      </c>
      <c r="P529" s="12" t="str">
        <f>IF(TOTALCO!P1054="", "",TOTALCO!P1054)</f>
        <v/>
      </c>
      <c r="Q529" s="12"/>
      <c r="R529" s="13"/>
    </row>
    <row r="530" spans="1:18" ht="15" x14ac:dyDescent="0.2">
      <c r="A530" s="382" t="str">
        <f>IF(TOTALCO!A1055="", "",TOTALCO!A1055)</f>
        <v/>
      </c>
      <c r="B530" s="4" t="str">
        <f>IF(TOTALCO!B1055="", "",TOTALCO!B1055)</f>
        <v>CUSTOMER SERVICES</v>
      </c>
      <c r="C530" s="4" t="str">
        <f>IF(TOTALCO!C1055="", "",TOTALCO!C1055)</f>
        <v/>
      </c>
      <c r="D530" s="12" t="str">
        <f>IF(TOTALCO!D1055="", "",TOTALCO!D1055)</f>
        <v/>
      </c>
      <c r="E530" s="12" t="str">
        <f>IF(TOTALCO!E1055="", "",TOTALCO!E1055)</f>
        <v/>
      </c>
      <c r="F530" s="12" t="str">
        <f>IF(TOTALCO!F1055="", "",TOTALCO!F1055)</f>
        <v/>
      </c>
      <c r="G530" s="12" t="str">
        <f>IF(TOTALCO!G1055="", "",TOTALCO!G1055)</f>
        <v/>
      </c>
      <c r="H530" s="12" t="str">
        <f>IF(TOTALCO!H1055="", "",TOTALCO!H1055)</f>
        <v/>
      </c>
      <c r="I530" s="12" t="str">
        <f>IF(TOTALCO!I1055="", "",TOTALCO!I1055)</f>
        <v/>
      </c>
      <c r="J530" s="12" t="str">
        <f>IF(TOTALCO!J1055="", "",TOTALCO!J1055)</f>
        <v/>
      </c>
      <c r="K530" s="12" t="str">
        <f>IF(TOTALCO!K1055="", "",TOTALCO!K1055)</f>
        <v/>
      </c>
      <c r="L530" s="12" t="str">
        <f>IF(TOTALCO!L1055="", "",TOTALCO!L1055)</f>
        <v/>
      </c>
      <c r="M530" s="12" t="str">
        <f>IF(TOTALCO!M1055="", "",TOTALCO!M1055)</f>
        <v/>
      </c>
      <c r="N530" s="12" t="str">
        <f>IF(TOTALCO!N1055="", "",TOTALCO!N1055)</f>
        <v/>
      </c>
      <c r="O530" s="12" t="str">
        <f>IF(TOTALCO!O1055="", "",TOTALCO!O1055)</f>
        <v/>
      </c>
      <c r="P530" s="12" t="str">
        <f>IF(TOTALCO!P1055="", "",TOTALCO!P1055)</f>
        <v/>
      </c>
      <c r="Q530" s="12"/>
      <c r="R530" s="13"/>
    </row>
    <row r="531" spans="1:18" ht="15" x14ac:dyDescent="0.2">
      <c r="A531" s="382">
        <f>IF(TOTALCO!A1056="", "",TOTALCO!A1056)</f>
        <v>7</v>
      </c>
      <c r="B531" s="4" t="str">
        <f>IF(TOTALCO!B1056="", "",TOTALCO!B1056)</f>
        <v xml:space="preserve">  907-SUPERVISION</v>
      </c>
      <c r="C531" s="4" t="str">
        <f>IF(TOTALCO!C1056="", "",TOTALCO!C1056)</f>
        <v>LABSA</v>
      </c>
      <c r="D531" s="12">
        <f ca="1">IF(TOTALCO!D1056="", "",TOTALCO!D1056)</f>
        <v>205691.01</v>
      </c>
      <c r="E531" s="12" t="str">
        <f>IF(TOTALCO!E1056="", "",TOTALCO!E1056)</f>
        <v/>
      </c>
      <c r="F531" s="12">
        <f ca="1">IF(TOTALCO!F1056="", "",TOTALCO!F1056)</f>
        <v>205546.2311907371</v>
      </c>
      <c r="G531" s="12" t="str">
        <f>IF(TOTALCO!G1056="", "",TOTALCO!G1056)</f>
        <v/>
      </c>
      <c r="H531" s="12">
        <f ca="1">IF(TOTALCO!H1056="", "",TOTALCO!H1056)</f>
        <v>144.75895138693093</v>
      </c>
      <c r="I531" s="12">
        <f ca="1">IF(TOTALCO!I1056="", "",TOTALCO!I1056)</f>
        <v>1.9857875974749604E-2</v>
      </c>
      <c r="J531" s="12" t="str">
        <f>IF(TOTALCO!J1056="", "",TOTALCO!J1056)</f>
        <v/>
      </c>
      <c r="K531" s="12" t="str">
        <f>IF(TOTALCO!K1056="", "",TOTALCO!K1056)</f>
        <v/>
      </c>
      <c r="L531" s="12">
        <f ca="1">IF(TOTALCO!L1056="", "",TOTALCO!L1056)</f>
        <v>1.9857875974749604E-2</v>
      </c>
      <c r="M531" s="12" t="str">
        <f>IF(TOTALCO!M1056="", "",TOTALCO!M1056)</f>
        <v/>
      </c>
      <c r="N531" s="12">
        <f ca="1">IF(TOTALCO!N1056="", "",TOTALCO!N1056)</f>
        <v>0</v>
      </c>
      <c r="O531" s="12">
        <f ca="1">IF(TOTALCO!O1056="", "",TOTALCO!O1056)</f>
        <v>0</v>
      </c>
      <c r="P531" s="12">
        <f ca="1">IF(TOTALCO!P1056="", "",TOTALCO!P1056)</f>
        <v>0</v>
      </c>
      <c r="Q531" s="12"/>
      <c r="R531" s="13"/>
    </row>
    <row r="532" spans="1:18" ht="15" x14ac:dyDescent="0.2">
      <c r="A532" s="382">
        <f>IF(TOTALCO!A1057="", "",TOTALCO!A1057)</f>
        <v>8</v>
      </c>
      <c r="B532" s="4" t="str">
        <f>IF(TOTALCO!B1057="", "",TOTALCO!B1057)</f>
        <v xml:space="preserve">  908-CUSTOMER ASSISTANCE</v>
      </c>
      <c r="C532" s="4" t="str">
        <f>IF(TOTALCO!C1057="", "",TOTALCO!C1057)</f>
        <v>CUST908</v>
      </c>
      <c r="D532" s="12">
        <f ca="1">IF(TOTALCO!D1057="", "",TOTALCO!D1057)</f>
        <v>13664342.49</v>
      </c>
      <c r="E532" s="12" t="str">
        <f>IF(TOTALCO!E1057="", "",TOTALCO!E1057)</f>
        <v/>
      </c>
      <c r="F532" s="12">
        <f ca="1">IF(TOTALCO!F1057="", "",TOTALCO!F1057)</f>
        <v>13664342.49</v>
      </c>
      <c r="G532" s="12" t="str">
        <f>IF(TOTALCO!G1057="", "",TOTALCO!G1057)</f>
        <v/>
      </c>
      <c r="H532" s="12">
        <f ca="1">IF(TOTALCO!H1057="", "",TOTALCO!H1057)</f>
        <v>0</v>
      </c>
      <c r="I532" s="12">
        <f ca="1">IF(TOTALCO!I1057="", "",TOTALCO!I1057)</f>
        <v>0</v>
      </c>
      <c r="J532" s="12" t="str">
        <f>IF(TOTALCO!J1057="", "",TOTALCO!J1057)</f>
        <v/>
      </c>
      <c r="K532" s="12" t="str">
        <f>IF(TOTALCO!K1057="", "",TOTALCO!K1057)</f>
        <v/>
      </c>
      <c r="L532" s="12">
        <f ca="1">IF(TOTALCO!L1057="", "",TOTALCO!L1057)</f>
        <v>0</v>
      </c>
      <c r="M532" s="12" t="str">
        <f>IF(TOTALCO!M1057="", "",TOTALCO!M1057)</f>
        <v/>
      </c>
      <c r="N532" s="12">
        <f ca="1">IF(TOTALCO!N1057="", "",TOTALCO!N1057)</f>
        <v>0</v>
      </c>
      <c r="O532" s="12">
        <f ca="1">IF(TOTALCO!O1057="", "",TOTALCO!O1057)</f>
        <v>0</v>
      </c>
      <c r="P532" s="12">
        <f ca="1">IF(TOTALCO!P1057="", "",TOTALCO!P1057)</f>
        <v>0</v>
      </c>
      <c r="Q532" s="12"/>
      <c r="R532" s="13"/>
    </row>
    <row r="533" spans="1:18" ht="15" x14ac:dyDescent="0.2">
      <c r="A533" s="382">
        <f>IF(TOTALCO!A1058="", "",TOTALCO!A1058)</f>
        <v>9</v>
      </c>
      <c r="B533" s="4" t="str">
        <f>IF(TOTALCO!B1058="", "",TOTALCO!B1058)</f>
        <v xml:space="preserve">  909-INFORMATION &amp; INSTRUCT</v>
      </c>
      <c r="C533" s="4" t="str">
        <f>IF(TOTALCO!C1058="", "",TOTALCO!C1058)</f>
        <v>CUST909</v>
      </c>
      <c r="D533" s="12">
        <f ca="1">IF(TOTALCO!D1058="", "",TOTALCO!D1058)</f>
        <v>157093.06</v>
      </c>
      <c r="E533" s="12" t="str">
        <f>IF(TOTALCO!E1058="", "",TOTALCO!E1058)</f>
        <v/>
      </c>
      <c r="F533" s="12">
        <f ca="1">IF(TOTALCO!F1058="", "",TOTALCO!F1058)</f>
        <v>148605.20101992041</v>
      </c>
      <c r="G533" s="12" t="str">
        <f>IF(TOTALCO!G1058="", "",TOTALCO!G1058)</f>
        <v/>
      </c>
      <c r="H533" s="12">
        <f ca="1">IF(TOTALCO!H1058="", "",TOTALCO!H1058)</f>
        <v>8486.6947844920214</v>
      </c>
      <c r="I533" s="12">
        <f ca="1">IF(TOTALCO!I1058="", "",TOTALCO!I1058)</f>
        <v>1.1641955875704959</v>
      </c>
      <c r="J533" s="12" t="str">
        <f>IF(TOTALCO!J1058="", "",TOTALCO!J1058)</f>
        <v/>
      </c>
      <c r="K533" s="12" t="str">
        <f>IF(TOTALCO!K1058="", "",TOTALCO!K1058)</f>
        <v/>
      </c>
      <c r="L533" s="12">
        <f ca="1">IF(TOTALCO!L1058="", "",TOTALCO!L1058)</f>
        <v>1.1641955875704959</v>
      </c>
      <c r="M533" s="12" t="str">
        <f>IF(TOTALCO!M1058="", "",TOTALCO!M1058)</f>
        <v/>
      </c>
      <c r="N533" s="12">
        <f ca="1">IF(TOTALCO!N1058="", "",TOTALCO!N1058)</f>
        <v>0</v>
      </c>
      <c r="O533" s="12">
        <f ca="1">IF(TOTALCO!O1058="", "",TOTALCO!O1058)</f>
        <v>0</v>
      </c>
      <c r="P533" s="12">
        <f ca="1">IF(TOTALCO!P1058="", "",TOTALCO!P1058)</f>
        <v>0</v>
      </c>
      <c r="Q533" s="12"/>
      <c r="R533" s="13"/>
    </row>
    <row r="534" spans="1:18" ht="15" x14ac:dyDescent="0.2">
      <c r="A534" s="382">
        <f>IF(TOTALCO!A1059="", "",TOTALCO!A1059)</f>
        <v>10</v>
      </c>
      <c r="B534" s="4" t="str">
        <f>IF(TOTALCO!B1059="", "",TOTALCO!B1059)</f>
        <v xml:space="preserve">  910-MISCELLANEOUS</v>
      </c>
      <c r="C534" s="4" t="str">
        <f>IF(TOTALCO!C1059="", "",TOTALCO!C1059)</f>
        <v>EXP9089CS</v>
      </c>
      <c r="D534" s="12">
        <f ca="1">IF(TOTALCO!D1059="", "",TOTALCO!D1059)</f>
        <v>417606.13999999996</v>
      </c>
      <c r="E534" s="12" t="str">
        <f>IF(TOTALCO!E1059="", "",TOTALCO!E1059)</f>
        <v/>
      </c>
      <c r="F534" s="12">
        <f ca="1">IF(TOTALCO!F1059="", "",TOTALCO!F1059)</f>
        <v>417349.68458241964</v>
      </c>
      <c r="G534" s="12" t="str">
        <f>IF(TOTALCO!G1059="", "",TOTALCO!G1059)</f>
        <v/>
      </c>
      <c r="H534" s="12">
        <f ca="1">IF(TOTALCO!H1059="", "",TOTALCO!H1059)</f>
        <v>256.42024212961331</v>
      </c>
      <c r="I534" s="12">
        <f ca="1">IF(TOTALCO!I1059="", "",TOTALCO!I1059)</f>
        <v>3.517545075340215E-2</v>
      </c>
      <c r="J534" s="12" t="str">
        <f>IF(TOTALCO!J1059="", "",TOTALCO!J1059)</f>
        <v/>
      </c>
      <c r="K534" s="12" t="str">
        <f>IF(TOTALCO!K1059="", "",TOTALCO!K1059)</f>
        <v/>
      </c>
      <c r="L534" s="12">
        <f ca="1">IF(TOTALCO!L1059="", "",TOTALCO!L1059)</f>
        <v>3.517545075340215E-2</v>
      </c>
      <c r="M534" s="12" t="str">
        <f>IF(TOTALCO!M1059="", "",TOTALCO!M1059)</f>
        <v/>
      </c>
      <c r="N534" s="12">
        <f ca="1">IF(TOTALCO!N1059="", "",TOTALCO!N1059)</f>
        <v>0</v>
      </c>
      <c r="O534" s="12">
        <f ca="1">IF(TOTALCO!O1059="", "",TOTALCO!O1059)</f>
        <v>0</v>
      </c>
      <c r="P534" s="12">
        <f ca="1">IF(TOTALCO!P1059="", "",TOTALCO!P1059)</f>
        <v>0</v>
      </c>
      <c r="Q534" s="12"/>
      <c r="R534" s="13"/>
    </row>
    <row r="535" spans="1:18" ht="15" x14ac:dyDescent="0.2">
      <c r="A535" s="382">
        <f>IF(TOTALCO!A1060="", "",TOTALCO!A1060)</f>
        <v>11</v>
      </c>
      <c r="B535" s="4" t="str">
        <f>IF(TOTALCO!B1060="", "",TOTALCO!B1060)</f>
        <v>TOTAL CUSTOMER SERVICE</v>
      </c>
      <c r="C535" s="4" t="str">
        <f>IF(TOTALCO!C1060="", "",TOTALCO!C1060)</f>
        <v/>
      </c>
      <c r="D535" s="12">
        <f ca="1">IF(TOTALCO!D1060="", "",TOTALCO!D1060)</f>
        <v>14444732.700000001</v>
      </c>
      <c r="E535" s="12" t="str">
        <f>IF(TOTALCO!E1060="", "",TOTALCO!E1060)</f>
        <v/>
      </c>
      <c r="F535" s="12">
        <f ca="1">IF(TOTALCO!F1060="", "",TOTALCO!F1060)</f>
        <v>14435843.606793078</v>
      </c>
      <c r="G535" s="12" t="str">
        <f>IF(TOTALCO!G1060="", "",TOTALCO!G1060)</f>
        <v/>
      </c>
      <c r="H535" s="12">
        <f ca="1">IF(TOTALCO!H1060="", "",TOTALCO!H1060)</f>
        <v>8887.8739780085671</v>
      </c>
      <c r="I535" s="12">
        <f ca="1">IF(TOTALCO!I1060="", "",TOTALCO!I1060)</f>
        <v>1.2192289142986477</v>
      </c>
      <c r="J535" s="12" t="str">
        <f>IF(TOTALCO!J1060="", "",TOTALCO!J1060)</f>
        <v/>
      </c>
      <c r="K535" s="12" t="str">
        <f>IF(TOTALCO!K1060="", "",TOTALCO!K1060)</f>
        <v/>
      </c>
      <c r="L535" s="12">
        <f ca="1">IF(TOTALCO!L1060="", "",TOTALCO!L1060)</f>
        <v>1.2192289142986477</v>
      </c>
      <c r="M535" s="12" t="str">
        <f>IF(TOTALCO!M1060="", "",TOTALCO!M1060)</f>
        <v/>
      </c>
      <c r="N535" s="12">
        <f ca="1">IF(TOTALCO!N1060="", "",TOTALCO!N1060)</f>
        <v>0</v>
      </c>
      <c r="O535" s="12">
        <f ca="1">IF(TOTALCO!O1060="", "",TOTALCO!O1060)</f>
        <v>0</v>
      </c>
      <c r="P535" s="12">
        <f ca="1">IF(TOTALCO!P1060="", "",TOTALCO!P1060)</f>
        <v>0</v>
      </c>
      <c r="Q535" s="12"/>
      <c r="R535" s="13"/>
    </row>
    <row r="536" spans="1:18" ht="15" x14ac:dyDescent="0.2">
      <c r="A536" s="382" t="str">
        <f>IF(TOTALCO!A1061="", "",TOTALCO!A1061)</f>
        <v/>
      </c>
      <c r="B536" s="4" t="str">
        <f>IF(TOTALCO!B1061="", "",TOTALCO!B1061)</f>
        <v/>
      </c>
      <c r="C536" s="4" t="str">
        <f>IF(TOTALCO!C1061="", "",TOTALCO!C1061)</f>
        <v/>
      </c>
      <c r="D536" s="12" t="str">
        <f>IF(TOTALCO!D1061="", "",TOTALCO!D1061)</f>
        <v/>
      </c>
      <c r="E536" s="12" t="str">
        <f>IF(TOTALCO!E1061="", "",TOTALCO!E1061)</f>
        <v/>
      </c>
      <c r="F536" s="12" t="str">
        <f>IF(TOTALCO!F1061="", "",TOTALCO!F1061)</f>
        <v/>
      </c>
      <c r="G536" s="12" t="str">
        <f>IF(TOTALCO!G1061="", "",TOTALCO!G1061)</f>
        <v/>
      </c>
      <c r="H536" s="12" t="str">
        <f>IF(TOTALCO!H1061="", "",TOTALCO!H1061)</f>
        <v/>
      </c>
      <c r="I536" s="12" t="str">
        <f>IF(TOTALCO!I1061="", "",TOTALCO!I1061)</f>
        <v/>
      </c>
      <c r="J536" s="12" t="str">
        <f>IF(TOTALCO!J1061="", "",TOTALCO!J1061)</f>
        <v/>
      </c>
      <c r="K536" s="12" t="str">
        <f>IF(TOTALCO!K1061="", "",TOTALCO!K1061)</f>
        <v/>
      </c>
      <c r="L536" s="12" t="str">
        <f>IF(TOTALCO!L1061="", "",TOTALCO!L1061)</f>
        <v/>
      </c>
      <c r="M536" s="12" t="str">
        <f>IF(TOTALCO!M1061="", "",TOTALCO!M1061)</f>
        <v/>
      </c>
      <c r="N536" s="12" t="str">
        <f>IF(TOTALCO!N1061="", "",TOTALCO!N1061)</f>
        <v/>
      </c>
      <c r="O536" s="12" t="str">
        <f>IF(TOTALCO!O1061="", "",TOTALCO!O1061)</f>
        <v/>
      </c>
      <c r="P536" s="12" t="str">
        <f>IF(TOTALCO!P1061="", "",TOTALCO!P1061)</f>
        <v/>
      </c>
      <c r="Q536" s="12"/>
      <c r="R536" s="13"/>
    </row>
    <row r="537" spans="1:18" ht="15" x14ac:dyDescent="0.2">
      <c r="A537" s="382" t="str">
        <f>IF(TOTALCO!A1062="", "",TOTALCO!A1062)</f>
        <v/>
      </c>
      <c r="B537" s="4" t="str">
        <f>IF(TOTALCO!B1062="", "",TOTALCO!B1062)</f>
        <v>SALES EXPENSE</v>
      </c>
      <c r="C537" s="4" t="str">
        <f>IF(TOTALCO!C1062="", "",TOTALCO!C1062)</f>
        <v/>
      </c>
      <c r="D537" s="12" t="str">
        <f>IF(TOTALCO!D1062="", "",TOTALCO!D1062)</f>
        <v/>
      </c>
      <c r="E537" s="12" t="str">
        <f>IF(TOTALCO!E1062="", "",TOTALCO!E1062)</f>
        <v/>
      </c>
      <c r="F537" s="12" t="str">
        <f>IF(TOTALCO!F1062="", "",TOTALCO!F1062)</f>
        <v/>
      </c>
      <c r="G537" s="12" t="str">
        <f>IF(TOTALCO!G1062="", "",TOTALCO!G1062)</f>
        <v/>
      </c>
      <c r="H537" s="12" t="str">
        <f>IF(TOTALCO!H1062="", "",TOTALCO!H1062)</f>
        <v/>
      </c>
      <c r="I537" s="12" t="str">
        <f>IF(TOTALCO!I1062="", "",TOTALCO!I1062)</f>
        <v/>
      </c>
      <c r="J537" s="12" t="str">
        <f>IF(TOTALCO!J1062="", "",TOTALCO!J1062)</f>
        <v/>
      </c>
      <c r="K537" s="12" t="str">
        <f>IF(TOTALCO!K1062="", "",TOTALCO!K1062)</f>
        <v/>
      </c>
      <c r="L537" s="12" t="str">
        <f>IF(TOTALCO!L1062="", "",TOTALCO!L1062)</f>
        <v/>
      </c>
      <c r="M537" s="12" t="str">
        <f>IF(TOTALCO!M1062="", "",TOTALCO!M1062)</f>
        <v/>
      </c>
      <c r="N537" s="12" t="str">
        <f>IF(TOTALCO!N1062="", "",TOTALCO!N1062)</f>
        <v/>
      </c>
      <c r="O537" s="12" t="str">
        <f>IF(TOTALCO!O1062="", "",TOTALCO!O1062)</f>
        <v/>
      </c>
      <c r="P537" s="12" t="str">
        <f>IF(TOTALCO!P1062="", "",TOTALCO!P1062)</f>
        <v/>
      </c>
      <c r="Q537" s="12"/>
      <c r="R537" s="13"/>
    </row>
    <row r="538" spans="1:18" ht="15" x14ac:dyDescent="0.2">
      <c r="A538" s="382">
        <f>IF(TOTALCO!A1063="", "",TOTALCO!A1063)</f>
        <v>12</v>
      </c>
      <c r="B538" s="4" t="str">
        <f>IF(TOTALCO!B1063="", "",TOTALCO!B1063)</f>
        <v xml:space="preserve">  911-SUPERVISION</v>
      </c>
      <c r="C538" s="4" t="str">
        <f>IF(TOTALCO!C1063="", "",TOTALCO!C1063)</f>
        <v>LABSA</v>
      </c>
      <c r="D538" s="12">
        <f ca="1">IF(TOTALCO!D1063="", "",TOTALCO!D1063)</f>
        <v>0</v>
      </c>
      <c r="E538" s="12" t="str">
        <f>IF(TOTALCO!E1063="", "",TOTALCO!E1063)</f>
        <v/>
      </c>
      <c r="F538" s="12">
        <f ca="1">IF(TOTALCO!F1063="", "",TOTALCO!F1063)</f>
        <v>0</v>
      </c>
      <c r="G538" s="12" t="str">
        <f>IF(TOTALCO!G1063="", "",TOTALCO!G1063)</f>
        <v/>
      </c>
      <c r="H538" s="12">
        <f ca="1">IF(TOTALCO!H1063="", "",TOTALCO!H1063)</f>
        <v>0</v>
      </c>
      <c r="I538" s="12">
        <f ca="1">IF(TOTALCO!I1063="", "",TOTALCO!I1063)</f>
        <v>0</v>
      </c>
      <c r="J538" s="12" t="str">
        <f>IF(TOTALCO!J1063="", "",TOTALCO!J1063)</f>
        <v/>
      </c>
      <c r="K538" s="12" t="str">
        <f>IF(TOTALCO!K1063="", "",TOTALCO!K1063)</f>
        <v/>
      </c>
      <c r="L538" s="12">
        <f ca="1">IF(TOTALCO!L1063="", "",TOTALCO!L1063)</f>
        <v>0</v>
      </c>
      <c r="M538" s="12" t="str">
        <f>IF(TOTALCO!M1063="", "",TOTALCO!M1063)</f>
        <v/>
      </c>
      <c r="N538" s="12">
        <f ca="1">IF(TOTALCO!N1063="", "",TOTALCO!N1063)</f>
        <v>0</v>
      </c>
      <c r="O538" s="12">
        <f ca="1">IF(TOTALCO!O1063="", "",TOTALCO!O1063)</f>
        <v>0</v>
      </c>
      <c r="P538" s="12">
        <f ca="1">IF(TOTALCO!P1063="", "",TOTALCO!P1063)</f>
        <v>0</v>
      </c>
      <c r="Q538" s="12"/>
      <c r="R538" s="13"/>
    </row>
    <row r="539" spans="1:18" ht="15" x14ac:dyDescent="0.2">
      <c r="A539" s="382">
        <f>IF(TOTALCO!A1064="", "",TOTALCO!A1064)</f>
        <v>13</v>
      </c>
      <c r="B539" s="4" t="str">
        <f>IF(TOTALCO!B1064="", "",TOTALCO!B1064)</f>
        <v xml:space="preserve">  912-DEMONSTRATING &amp; SELLING</v>
      </c>
      <c r="C539" s="4" t="str">
        <f>IF(TOTALCO!C1064="", "",TOTALCO!C1064)</f>
        <v>CUST912</v>
      </c>
      <c r="D539" s="12">
        <f ca="1">IF(TOTALCO!D1064="", "",TOTALCO!D1064)</f>
        <v>0</v>
      </c>
      <c r="E539" s="12" t="str">
        <f>IF(TOTALCO!E1064="", "",TOTALCO!E1064)</f>
        <v/>
      </c>
      <c r="F539" s="12">
        <f ca="1">IF(TOTALCO!F1064="", "",TOTALCO!F1064)</f>
        <v>0</v>
      </c>
      <c r="G539" s="12" t="str">
        <f>IF(TOTALCO!G1064="", "",TOTALCO!G1064)</f>
        <v/>
      </c>
      <c r="H539" s="12">
        <f ca="1">IF(TOTALCO!H1064="", "",TOTALCO!H1064)</f>
        <v>0</v>
      </c>
      <c r="I539" s="12">
        <f ca="1">IF(TOTALCO!I1064="", "",TOTALCO!I1064)</f>
        <v>0</v>
      </c>
      <c r="J539" s="12" t="str">
        <f>IF(TOTALCO!J1064="", "",TOTALCO!J1064)</f>
        <v/>
      </c>
      <c r="K539" s="12" t="str">
        <f>IF(TOTALCO!K1064="", "",TOTALCO!K1064)</f>
        <v/>
      </c>
      <c r="L539" s="12">
        <f ca="1">IF(TOTALCO!L1064="", "",TOTALCO!L1064)</f>
        <v>0</v>
      </c>
      <c r="M539" s="12" t="str">
        <f>IF(TOTALCO!M1064="", "",TOTALCO!M1064)</f>
        <v/>
      </c>
      <c r="N539" s="12">
        <f ca="1">IF(TOTALCO!N1064="", "",TOTALCO!N1064)</f>
        <v>0</v>
      </c>
      <c r="O539" s="12">
        <f ca="1">IF(TOTALCO!O1064="", "",TOTALCO!O1064)</f>
        <v>0</v>
      </c>
      <c r="P539" s="12">
        <f ca="1">IF(TOTALCO!P1064="", "",TOTALCO!P1064)</f>
        <v>0</v>
      </c>
      <c r="Q539" s="12"/>
      <c r="R539" s="13"/>
    </row>
    <row r="540" spans="1:18" ht="15" x14ac:dyDescent="0.2">
      <c r="A540" s="382">
        <f>IF(TOTALCO!A1065="", "",TOTALCO!A1065)</f>
        <v>14</v>
      </c>
      <c r="B540" s="4" t="str">
        <f>IF(TOTALCO!B1065="", "",TOTALCO!B1065)</f>
        <v xml:space="preserve">  913-ADVERTISING</v>
      </c>
      <c r="C540" s="4" t="str">
        <f>IF(TOTALCO!C1065="", "",TOTALCO!C1065)</f>
        <v>CUST913</v>
      </c>
      <c r="D540" s="12">
        <f ca="1">IF(TOTALCO!D1065="", "",TOTALCO!D1065)</f>
        <v>23966.440000000002</v>
      </c>
      <c r="E540" s="12" t="str">
        <f>IF(TOTALCO!E1065="", "",TOTALCO!E1065)</f>
        <v/>
      </c>
      <c r="F540" s="12">
        <f ca="1">IF(TOTALCO!F1065="", "",TOTALCO!F1065)</f>
        <v>22671.514794681963</v>
      </c>
      <c r="G540" s="12" t="str">
        <f>IF(TOTALCO!G1065="", "",TOTALCO!G1065)</f>
        <v/>
      </c>
      <c r="H540" s="12">
        <f ca="1">IF(TOTALCO!H1065="", "",TOTALCO!H1065)</f>
        <v>1294.7475932472189</v>
      </c>
      <c r="I540" s="12">
        <f ca="1">IF(TOTALCO!I1065="", "",TOTALCO!I1065)</f>
        <v>0.17761207081823369</v>
      </c>
      <c r="J540" s="12" t="str">
        <f>IF(TOTALCO!J1065="", "",TOTALCO!J1065)</f>
        <v/>
      </c>
      <c r="K540" s="12" t="str">
        <f>IF(TOTALCO!K1065="", "",TOTALCO!K1065)</f>
        <v/>
      </c>
      <c r="L540" s="12">
        <f ca="1">IF(TOTALCO!L1065="", "",TOTALCO!L1065)</f>
        <v>0.17761207081823369</v>
      </c>
      <c r="M540" s="12" t="str">
        <f>IF(TOTALCO!M1065="", "",TOTALCO!M1065)</f>
        <v/>
      </c>
      <c r="N540" s="12">
        <f ca="1">IF(TOTALCO!N1065="", "",TOTALCO!N1065)</f>
        <v>0</v>
      </c>
      <c r="O540" s="12">
        <f ca="1">IF(TOTALCO!O1065="", "",TOTALCO!O1065)</f>
        <v>0</v>
      </c>
      <c r="P540" s="12">
        <f ca="1">IF(TOTALCO!P1065="", "",TOTALCO!P1065)</f>
        <v>0</v>
      </c>
      <c r="Q540" s="12"/>
      <c r="R540" s="13"/>
    </row>
    <row r="541" spans="1:18" ht="15" x14ac:dyDescent="0.2">
      <c r="A541" s="382">
        <f>IF(TOTALCO!A1066="", "",TOTALCO!A1066)</f>
        <v>15</v>
      </c>
      <c r="B541" s="4" t="str">
        <f>IF(TOTALCO!B1066="", "",TOTALCO!B1066)</f>
        <v xml:space="preserve">  916-MISCELLANEOUS</v>
      </c>
      <c r="C541" s="4" t="str">
        <f>IF(TOTALCO!C1066="", "",TOTALCO!C1066)</f>
        <v>EXP9123SA</v>
      </c>
      <c r="D541" s="12">
        <f ca="1">IF(TOTALCO!D1066="", "",TOTALCO!D1066)</f>
        <v>0</v>
      </c>
      <c r="E541" s="12" t="str">
        <f>IF(TOTALCO!E1066="", "",TOTALCO!E1066)</f>
        <v/>
      </c>
      <c r="F541" s="12">
        <f ca="1">IF(TOTALCO!F1066="", "",TOTALCO!F1066)</f>
        <v>0</v>
      </c>
      <c r="G541" s="12" t="str">
        <f>IF(TOTALCO!G1066="", "",TOTALCO!G1066)</f>
        <v/>
      </c>
      <c r="H541" s="12">
        <f ca="1">IF(TOTALCO!H1066="", "",TOTALCO!H1066)</f>
        <v>0</v>
      </c>
      <c r="I541" s="12">
        <f ca="1">IF(TOTALCO!I1066="", "",TOTALCO!I1066)</f>
        <v>0</v>
      </c>
      <c r="J541" s="12" t="str">
        <f>IF(TOTALCO!J1066="", "",TOTALCO!J1066)</f>
        <v/>
      </c>
      <c r="K541" s="12" t="str">
        <f>IF(TOTALCO!K1066="", "",TOTALCO!K1066)</f>
        <v/>
      </c>
      <c r="L541" s="12">
        <f ca="1">IF(TOTALCO!L1066="", "",TOTALCO!L1066)</f>
        <v>0</v>
      </c>
      <c r="M541" s="12" t="str">
        <f>IF(TOTALCO!M1066="", "",TOTALCO!M1066)</f>
        <v/>
      </c>
      <c r="N541" s="12">
        <f ca="1">IF(TOTALCO!N1066="", "",TOTALCO!N1066)</f>
        <v>0</v>
      </c>
      <c r="O541" s="12">
        <f ca="1">IF(TOTALCO!O1066="", "",TOTALCO!O1066)</f>
        <v>0</v>
      </c>
      <c r="P541" s="12">
        <f ca="1">IF(TOTALCO!P1066="", "",TOTALCO!P1066)</f>
        <v>0</v>
      </c>
      <c r="Q541" s="12"/>
      <c r="R541" s="13"/>
    </row>
    <row r="542" spans="1:18" ht="15" x14ac:dyDescent="0.2">
      <c r="A542" s="382">
        <f>IF(TOTALCO!A1067="", "",TOTALCO!A1067)</f>
        <v>16</v>
      </c>
      <c r="B542" s="4" t="str">
        <f>IF(TOTALCO!B1067="", "",TOTALCO!B1067)</f>
        <v>TOTAL SALES EXPENSE</v>
      </c>
      <c r="C542" s="4" t="str">
        <f>IF(TOTALCO!C1067="", "",TOTALCO!C1067)</f>
        <v/>
      </c>
      <c r="D542" s="12">
        <f ca="1">IF(TOTALCO!D1067="", "",TOTALCO!D1067)</f>
        <v>23966.440000000002</v>
      </c>
      <c r="E542" s="12" t="str">
        <f>IF(TOTALCO!E1067="", "",TOTALCO!E1067)</f>
        <v/>
      </c>
      <c r="F542" s="12">
        <f ca="1">IF(TOTALCO!F1067="", "",TOTALCO!F1067)</f>
        <v>22671.514794681963</v>
      </c>
      <c r="G542" s="12" t="str">
        <f>IF(TOTALCO!G1067="", "",TOTALCO!G1067)</f>
        <v/>
      </c>
      <c r="H542" s="12">
        <f ca="1">IF(TOTALCO!H1067="", "",TOTALCO!H1067)</f>
        <v>1294.7475932472189</v>
      </c>
      <c r="I542" s="12">
        <f ca="1">IF(TOTALCO!I1067="", "",TOTALCO!I1067)</f>
        <v>0.17761207081823369</v>
      </c>
      <c r="J542" s="12" t="str">
        <f>IF(TOTALCO!J1067="", "",TOTALCO!J1067)</f>
        <v/>
      </c>
      <c r="K542" s="12" t="str">
        <f>IF(TOTALCO!K1067="", "",TOTALCO!K1067)</f>
        <v/>
      </c>
      <c r="L542" s="12">
        <f ca="1">IF(TOTALCO!L1067="", "",TOTALCO!L1067)</f>
        <v>0.17761207081823369</v>
      </c>
      <c r="M542" s="12" t="str">
        <f>IF(TOTALCO!M1067="", "",TOTALCO!M1067)</f>
        <v/>
      </c>
      <c r="N542" s="12">
        <f ca="1">IF(TOTALCO!N1067="", "",TOTALCO!N1067)</f>
        <v>0</v>
      </c>
      <c r="O542" s="12">
        <f ca="1">IF(TOTALCO!O1067="", "",TOTALCO!O1067)</f>
        <v>0</v>
      </c>
      <c r="P542" s="12">
        <f ca="1">IF(TOTALCO!P1067="", "",TOTALCO!P1067)</f>
        <v>0</v>
      </c>
      <c r="Q542" s="12"/>
      <c r="R542" s="13"/>
    </row>
    <row r="543" spans="1:18" ht="15" x14ac:dyDescent="0.2">
      <c r="A543" s="382" t="str">
        <f>IF(TOTALCO!A1068="", "",TOTALCO!A1068)</f>
        <v/>
      </c>
      <c r="B543" s="4" t="str">
        <f>IF(TOTALCO!B1068="", "",TOTALCO!B1068)</f>
        <v/>
      </c>
      <c r="C543" s="4" t="str">
        <f>IF(TOTALCO!C1068="", "",TOTALCO!C1068)</f>
        <v/>
      </c>
      <c r="D543" s="12" t="str">
        <f>IF(TOTALCO!D1068="", "",TOTALCO!D1068)</f>
        <v/>
      </c>
      <c r="E543" s="12" t="str">
        <f>IF(TOTALCO!E1068="", "",TOTALCO!E1068)</f>
        <v/>
      </c>
      <c r="F543" s="12" t="str">
        <f>IF(TOTALCO!F1068="", "",TOTALCO!F1068)</f>
        <v/>
      </c>
      <c r="G543" s="12" t="str">
        <f>IF(TOTALCO!G1068="", "",TOTALCO!G1068)</f>
        <v/>
      </c>
      <c r="H543" s="12" t="str">
        <f>IF(TOTALCO!H1068="", "",TOTALCO!H1068)</f>
        <v/>
      </c>
      <c r="I543" s="12" t="str">
        <f>IF(TOTALCO!I1068="", "",TOTALCO!I1068)</f>
        <v/>
      </c>
      <c r="J543" s="12" t="str">
        <f>IF(TOTALCO!J1068="", "",TOTALCO!J1068)</f>
        <v/>
      </c>
      <c r="K543" s="12" t="str">
        <f>IF(TOTALCO!K1068="", "",TOTALCO!K1068)</f>
        <v/>
      </c>
      <c r="L543" s="12" t="str">
        <f>IF(TOTALCO!L1068="", "",TOTALCO!L1068)</f>
        <v/>
      </c>
      <c r="M543" s="12" t="str">
        <f>IF(TOTALCO!M1068="", "",TOTALCO!M1068)</f>
        <v/>
      </c>
      <c r="N543" s="12" t="str">
        <f>IF(TOTALCO!N1068="", "",TOTALCO!N1068)</f>
        <v/>
      </c>
      <c r="O543" s="12" t="str">
        <f>IF(TOTALCO!O1068="", "",TOTALCO!O1068)</f>
        <v/>
      </c>
      <c r="P543" s="12" t="str">
        <f>IF(TOTALCO!P1068="", "",TOTALCO!P1068)</f>
        <v/>
      </c>
      <c r="Q543" s="12"/>
      <c r="R543" s="13"/>
    </row>
    <row r="544" spans="1:18" ht="15" x14ac:dyDescent="0.2">
      <c r="A544" s="382" t="str">
        <f>IF(TOTALCO!A1069="", "",TOTALCO!A1069)</f>
        <v/>
      </c>
      <c r="B544" s="4" t="str">
        <f>IF(TOTALCO!B1069="", "",TOTALCO!B1069)</f>
        <v>ADMINISTRATIVE &amp; GENERAL</v>
      </c>
      <c r="C544" s="4" t="str">
        <f>IF(TOTALCO!C1069="", "",TOTALCO!C1069)</f>
        <v/>
      </c>
      <c r="D544" s="12" t="str">
        <f>IF(TOTALCO!D1069="", "",TOTALCO!D1069)</f>
        <v/>
      </c>
      <c r="E544" s="12" t="str">
        <f>IF(TOTALCO!E1069="", "",TOTALCO!E1069)</f>
        <v/>
      </c>
      <c r="F544" s="12" t="str">
        <f>IF(TOTALCO!F1069="", "",TOTALCO!F1069)</f>
        <v/>
      </c>
      <c r="G544" s="12" t="str">
        <f>IF(TOTALCO!G1069="", "",TOTALCO!G1069)</f>
        <v/>
      </c>
      <c r="H544" s="12" t="str">
        <f>IF(TOTALCO!H1069="", "",TOTALCO!H1069)</f>
        <v/>
      </c>
      <c r="I544" s="12" t="str">
        <f>IF(TOTALCO!I1069="", "",TOTALCO!I1069)</f>
        <v/>
      </c>
      <c r="J544" s="12" t="str">
        <f>IF(TOTALCO!J1069="", "",TOTALCO!J1069)</f>
        <v/>
      </c>
      <c r="K544" s="12" t="str">
        <f>IF(TOTALCO!K1069="", "",TOTALCO!K1069)</f>
        <v/>
      </c>
      <c r="L544" s="12" t="str">
        <f>IF(TOTALCO!L1069="", "",TOTALCO!L1069)</f>
        <v/>
      </c>
      <c r="M544" s="12" t="str">
        <f>IF(TOTALCO!M1069="", "",TOTALCO!M1069)</f>
        <v/>
      </c>
      <c r="N544" s="12" t="str">
        <f>IF(TOTALCO!N1069="", "",TOTALCO!N1069)</f>
        <v/>
      </c>
      <c r="O544" s="12" t="str">
        <f>IF(TOTALCO!O1069="", "",TOTALCO!O1069)</f>
        <v/>
      </c>
      <c r="P544" s="12" t="str">
        <f>IF(TOTALCO!P1069="", "",TOTALCO!P1069)</f>
        <v/>
      </c>
      <c r="Q544" s="12"/>
      <c r="R544" s="13"/>
    </row>
    <row r="545" spans="1:18" ht="15" x14ac:dyDescent="0.2">
      <c r="A545" s="382" t="str">
        <f>IF(TOTALCO!A1070="", "",TOTALCO!A1070)</f>
        <v/>
      </c>
      <c r="B545" s="4" t="str">
        <f>IF(TOTALCO!B1070="", "",TOTALCO!B1070)</f>
        <v/>
      </c>
      <c r="C545" s="4" t="str">
        <f>IF(TOTALCO!C1070="", "",TOTALCO!C1070)</f>
        <v/>
      </c>
      <c r="D545" s="12" t="str">
        <f>IF(TOTALCO!D1070="", "",TOTALCO!D1070)</f>
        <v/>
      </c>
      <c r="E545" s="12" t="str">
        <f>IF(TOTALCO!E1070="", "",TOTALCO!E1070)</f>
        <v/>
      </c>
      <c r="F545" s="12" t="str">
        <f>IF(TOTALCO!F1070="", "",TOTALCO!F1070)</f>
        <v/>
      </c>
      <c r="G545" s="12" t="str">
        <f>IF(TOTALCO!G1070="", "",TOTALCO!G1070)</f>
        <v/>
      </c>
      <c r="H545" s="12" t="str">
        <f>IF(TOTALCO!H1070="", "",TOTALCO!H1070)</f>
        <v/>
      </c>
      <c r="I545" s="12" t="str">
        <f>IF(TOTALCO!I1070="", "",TOTALCO!I1070)</f>
        <v/>
      </c>
      <c r="J545" s="12" t="str">
        <f>IF(TOTALCO!J1070="", "",TOTALCO!J1070)</f>
        <v/>
      </c>
      <c r="K545" s="12" t="str">
        <f>IF(TOTALCO!K1070="", "",TOTALCO!K1070)</f>
        <v/>
      </c>
      <c r="L545" s="12" t="str">
        <f>IF(TOTALCO!L1070="", "",TOTALCO!L1070)</f>
        <v/>
      </c>
      <c r="M545" s="12" t="str">
        <f>IF(TOTALCO!M1070="", "",TOTALCO!M1070)</f>
        <v/>
      </c>
      <c r="N545" s="12" t="str">
        <f>IF(TOTALCO!N1070="", "",TOTALCO!N1070)</f>
        <v/>
      </c>
      <c r="O545" s="12" t="str">
        <f>IF(TOTALCO!O1070="", "",TOTALCO!O1070)</f>
        <v/>
      </c>
      <c r="P545" s="12" t="str">
        <f>IF(TOTALCO!P1070="", "",TOTALCO!P1070)</f>
        <v/>
      </c>
      <c r="Q545" s="12"/>
      <c r="R545" s="13"/>
    </row>
    <row r="546" spans="1:18" ht="15" x14ac:dyDescent="0.2">
      <c r="A546" s="382" t="str">
        <f>IF(TOTALCO!A1071="", "",TOTALCO!A1071)</f>
        <v/>
      </c>
      <c r="B546" s="4" t="str">
        <f>IF(TOTALCO!B1071="", "",TOTALCO!B1071)</f>
        <v xml:space="preserve"> PLANT COMPONENT</v>
      </c>
      <c r="C546" s="4" t="str">
        <f>IF(TOTALCO!C1071="", "",TOTALCO!C1071)</f>
        <v/>
      </c>
      <c r="D546" s="12" t="str">
        <f>IF(TOTALCO!D1071="", "",TOTALCO!D1071)</f>
        <v/>
      </c>
      <c r="E546" s="12" t="str">
        <f>IF(TOTALCO!E1071="", "",TOTALCO!E1071)</f>
        <v/>
      </c>
      <c r="F546" s="12" t="str">
        <f>IF(TOTALCO!F1071="", "",TOTALCO!F1071)</f>
        <v/>
      </c>
      <c r="G546" s="12" t="str">
        <f>IF(TOTALCO!G1071="", "",TOTALCO!G1071)</f>
        <v/>
      </c>
      <c r="H546" s="12" t="str">
        <f>IF(TOTALCO!H1071="", "",TOTALCO!H1071)</f>
        <v/>
      </c>
      <c r="I546" s="12" t="str">
        <f>IF(TOTALCO!I1071="", "",TOTALCO!I1071)</f>
        <v/>
      </c>
      <c r="J546" s="12" t="str">
        <f>IF(TOTALCO!J1071="", "",TOTALCO!J1071)</f>
        <v/>
      </c>
      <c r="K546" s="12" t="str">
        <f>IF(TOTALCO!K1071="", "",TOTALCO!K1071)</f>
        <v/>
      </c>
      <c r="L546" s="12" t="str">
        <f>IF(TOTALCO!L1071="", "",TOTALCO!L1071)</f>
        <v/>
      </c>
      <c r="M546" s="12" t="str">
        <f>IF(TOTALCO!M1071="", "",TOTALCO!M1071)</f>
        <v/>
      </c>
      <c r="N546" s="12" t="str">
        <f>IF(TOTALCO!N1071="", "",TOTALCO!N1071)</f>
        <v/>
      </c>
      <c r="O546" s="12" t="str">
        <f>IF(TOTALCO!O1071="", "",TOTALCO!O1071)</f>
        <v/>
      </c>
      <c r="P546" s="12" t="str">
        <f>IF(TOTALCO!P1071="", "",TOTALCO!P1071)</f>
        <v/>
      </c>
      <c r="Q546" s="12"/>
      <c r="R546" s="13"/>
    </row>
    <row r="547" spans="1:18" ht="15" x14ac:dyDescent="0.2">
      <c r="A547" s="382">
        <f>IF(TOTALCO!A1072="", "",TOTALCO!A1072)</f>
        <v>17</v>
      </c>
      <c r="B547" s="4" t="str">
        <f>IF(TOTALCO!B1072="", "",TOTALCO!B1072)</f>
        <v xml:space="preserve">  924-PROPERTY INSURANCE</v>
      </c>
      <c r="C547" s="4" t="str">
        <f>IF(TOTALCO!C1072="", "",TOTALCO!C1072)</f>
        <v>PLANT</v>
      </c>
      <c r="D547" s="12">
        <f ca="1">IF(TOTALCO!D1072="", "",TOTALCO!D1072)</f>
        <v>4275705.3800000008</v>
      </c>
      <c r="E547" s="12" t="str">
        <f>IF(TOTALCO!E1072="", "",TOTALCO!E1072)</f>
        <v/>
      </c>
      <c r="F547" s="12">
        <f ca="1">IF(TOTALCO!F1072="", "",TOTALCO!F1072)</f>
        <v>3722835.5001884843</v>
      </c>
      <c r="G547" s="12" t="str">
        <f>IF(TOTALCO!G1072="", "",TOTALCO!G1072)</f>
        <v/>
      </c>
      <c r="H547" s="12">
        <f ca="1">IF(TOTALCO!H1072="", "",TOTALCO!H1072)</f>
        <v>253951.34050551642</v>
      </c>
      <c r="I547" s="12">
        <f ca="1">IF(TOTALCO!I1072="", "",TOTALCO!I1072)</f>
        <v>298918.53930599947</v>
      </c>
      <c r="J547" s="12" t="str">
        <f>IF(TOTALCO!J1072="", "",TOTALCO!J1072)</f>
        <v/>
      </c>
      <c r="K547" s="12" t="str">
        <f>IF(TOTALCO!K1072="", "",TOTALCO!K1072)</f>
        <v/>
      </c>
      <c r="L547" s="12">
        <f ca="1">IF(TOTALCO!L1072="", "",TOTALCO!L1072)</f>
        <v>134.82191001770289</v>
      </c>
      <c r="M547" s="12" t="str">
        <f>IF(TOTALCO!M1072="", "",TOTALCO!M1072)</f>
        <v/>
      </c>
      <c r="N547" s="12">
        <f ca="1">IF(TOTALCO!N1072="", "",TOTALCO!N1072)</f>
        <v>298783.71739598177</v>
      </c>
      <c r="O547" s="12">
        <f ca="1">IF(TOTALCO!O1072="", "",TOTALCO!O1072)</f>
        <v>94867.1733734062</v>
      </c>
      <c r="P547" s="12">
        <f ca="1">IF(TOTALCO!P1072="", "",TOTALCO!P1072)</f>
        <v>203916.54402257557</v>
      </c>
      <c r="Q547" s="12"/>
      <c r="R547" s="13"/>
    </row>
    <row r="548" spans="1:18" ht="15" x14ac:dyDescent="0.2">
      <c r="A548" s="382">
        <f>IF(TOTALCO!A1073="", "",TOTALCO!A1073)</f>
        <v>18</v>
      </c>
      <c r="B548" s="4" t="str">
        <f>IF(TOTALCO!B1073="", "",TOTALCO!B1073)</f>
        <v xml:space="preserve">     TOTAL NET PLT COMPONENT</v>
      </c>
      <c r="C548" s="4" t="str">
        <f>IF(TOTALCO!C1073="", "",TOTALCO!C1073)</f>
        <v/>
      </c>
      <c r="D548" s="12">
        <f ca="1">IF(TOTALCO!D1073="", "",TOTALCO!D1073)</f>
        <v>4275705.3800000008</v>
      </c>
      <c r="E548" s="12" t="str">
        <f>IF(TOTALCO!E1073="", "",TOTALCO!E1073)</f>
        <v/>
      </c>
      <c r="F548" s="12">
        <f ca="1">IF(TOTALCO!F1073="", "",TOTALCO!F1073)</f>
        <v>3722835.5001884843</v>
      </c>
      <c r="G548" s="12" t="str">
        <f>IF(TOTALCO!G1073="", "",TOTALCO!G1073)</f>
        <v/>
      </c>
      <c r="H548" s="12">
        <f ca="1">IF(TOTALCO!H1073="", "",TOTALCO!H1073)</f>
        <v>253951.34050551642</v>
      </c>
      <c r="I548" s="12">
        <f ca="1">IF(TOTALCO!I1073="", "",TOTALCO!I1073)</f>
        <v>298918.53930599947</v>
      </c>
      <c r="J548" s="12" t="str">
        <f>IF(TOTALCO!J1073="", "",TOTALCO!J1073)</f>
        <v/>
      </c>
      <c r="K548" s="12" t="str">
        <f>IF(TOTALCO!K1073="", "",TOTALCO!K1073)</f>
        <v/>
      </c>
      <c r="L548" s="12">
        <f ca="1">IF(TOTALCO!L1073="", "",TOTALCO!L1073)</f>
        <v>134.82191001770289</v>
      </c>
      <c r="M548" s="12" t="str">
        <f>IF(TOTALCO!M1073="", "",TOTALCO!M1073)</f>
        <v/>
      </c>
      <c r="N548" s="12">
        <f ca="1">IF(TOTALCO!N1073="", "",TOTALCO!N1073)</f>
        <v>298783.71739598177</v>
      </c>
      <c r="O548" s="12">
        <f ca="1">IF(TOTALCO!O1073="", "",TOTALCO!O1073)</f>
        <v>94867.1733734062</v>
      </c>
      <c r="P548" s="12">
        <f ca="1">IF(TOTALCO!P1073="", "",TOTALCO!P1073)</f>
        <v>203916.54402257557</v>
      </c>
      <c r="Q548" s="12"/>
      <c r="R548" s="13"/>
    </row>
    <row r="549" spans="1:18" ht="15" x14ac:dyDescent="0.2">
      <c r="A549" s="382" t="str">
        <f>IF(TOTALCO!A1074="", "",TOTALCO!A1074)</f>
        <v/>
      </c>
      <c r="B549" s="4" t="str">
        <f>IF(TOTALCO!B1074="", "",TOTALCO!B1074)</f>
        <v/>
      </c>
      <c r="C549" s="4" t="str">
        <f>IF(TOTALCO!C1074="", "",TOTALCO!C1074)</f>
        <v/>
      </c>
      <c r="D549" s="12" t="str">
        <f>IF(TOTALCO!D1074="", "",TOTALCO!D1074)</f>
        <v/>
      </c>
      <c r="E549" s="12" t="str">
        <f>IF(TOTALCO!E1074="", "",TOTALCO!E1074)</f>
        <v/>
      </c>
      <c r="F549" s="12" t="str">
        <f>IF(TOTALCO!F1074="", "",TOTALCO!F1074)</f>
        <v/>
      </c>
      <c r="G549" s="12" t="str">
        <f>IF(TOTALCO!G1074="", "",TOTALCO!G1074)</f>
        <v/>
      </c>
      <c r="H549" s="12" t="str">
        <f>IF(TOTALCO!H1074="", "",TOTALCO!H1074)</f>
        <v/>
      </c>
      <c r="I549" s="12" t="str">
        <f>IF(TOTALCO!I1074="", "",TOTALCO!I1074)</f>
        <v/>
      </c>
      <c r="J549" s="12" t="str">
        <f>IF(TOTALCO!J1074="", "",TOTALCO!J1074)</f>
        <v/>
      </c>
      <c r="K549" s="12" t="str">
        <f>IF(TOTALCO!K1074="", "",TOTALCO!K1074)</f>
        <v/>
      </c>
      <c r="L549" s="12" t="str">
        <f>IF(TOTALCO!L1074="", "",TOTALCO!L1074)</f>
        <v/>
      </c>
      <c r="M549" s="12" t="str">
        <f>IF(TOTALCO!M1074="", "",TOTALCO!M1074)</f>
        <v/>
      </c>
      <c r="N549" s="12" t="str">
        <f>IF(TOTALCO!N1074="", "",TOTALCO!N1074)</f>
        <v/>
      </c>
      <c r="O549" s="12" t="str">
        <f>IF(TOTALCO!O1074="", "",TOTALCO!O1074)</f>
        <v/>
      </c>
      <c r="P549" s="12" t="str">
        <f>IF(TOTALCO!P1074="", "",TOTALCO!P1074)</f>
        <v/>
      </c>
      <c r="Q549" s="12"/>
      <c r="R549" s="13"/>
    </row>
    <row r="550" spans="1:18" ht="15" x14ac:dyDescent="0.2">
      <c r="A550" s="382" t="str">
        <f>IF(TOTALCO!A1075="", "",TOTALCO!A1075)</f>
        <v/>
      </c>
      <c r="B550" s="4" t="str">
        <f>IF(TOTALCO!B1075="", "",TOTALCO!B1075)</f>
        <v xml:space="preserve"> LABOR COMPONENT</v>
      </c>
      <c r="C550" s="4" t="str">
        <f>IF(TOTALCO!C1075="", "",TOTALCO!C1075)</f>
        <v/>
      </c>
      <c r="D550" s="12" t="str">
        <f>IF(TOTALCO!D1075="", "",TOTALCO!D1075)</f>
        <v/>
      </c>
      <c r="E550" s="12" t="str">
        <f>IF(TOTALCO!E1075="", "",TOTALCO!E1075)</f>
        <v/>
      </c>
      <c r="F550" s="12" t="str">
        <f>IF(TOTALCO!F1075="", "",TOTALCO!F1075)</f>
        <v/>
      </c>
      <c r="G550" s="12" t="str">
        <f>IF(TOTALCO!G1075="", "",TOTALCO!G1075)</f>
        <v/>
      </c>
      <c r="H550" s="12" t="str">
        <f>IF(TOTALCO!H1075="", "",TOTALCO!H1075)</f>
        <v/>
      </c>
      <c r="I550" s="12" t="str">
        <f>IF(TOTALCO!I1075="", "",TOTALCO!I1075)</f>
        <v/>
      </c>
      <c r="J550" s="12" t="str">
        <f>IF(TOTALCO!J1075="", "",TOTALCO!J1075)</f>
        <v/>
      </c>
      <c r="K550" s="12" t="str">
        <f>IF(TOTALCO!K1075="", "",TOTALCO!K1075)</f>
        <v/>
      </c>
      <c r="L550" s="12" t="str">
        <f>IF(TOTALCO!L1075="", "",TOTALCO!L1075)</f>
        <v/>
      </c>
      <c r="M550" s="12" t="str">
        <f>IF(TOTALCO!M1075="", "",TOTALCO!M1075)</f>
        <v/>
      </c>
      <c r="N550" s="12" t="str">
        <f>IF(TOTALCO!N1075="", "",TOTALCO!N1075)</f>
        <v/>
      </c>
      <c r="O550" s="12" t="str">
        <f>IF(TOTALCO!O1075="", "",TOTALCO!O1075)</f>
        <v/>
      </c>
      <c r="P550" s="12" t="str">
        <f>IF(TOTALCO!P1075="", "",TOTALCO!P1075)</f>
        <v/>
      </c>
      <c r="Q550" s="12"/>
      <c r="R550" s="13"/>
    </row>
    <row r="551" spans="1:18" ht="15" x14ac:dyDescent="0.2">
      <c r="A551" s="382">
        <f>IF(TOTALCO!A1076="", "",TOTALCO!A1076)</f>
        <v>19</v>
      </c>
      <c r="B551" s="4" t="str">
        <f>IF(TOTALCO!B1076="", "",TOTALCO!B1076)</f>
        <v xml:space="preserve">  920-ADMIN &amp; GENERAL EXP</v>
      </c>
      <c r="C551" s="4" t="str">
        <f>IF(TOTALCO!C1076="", "",TOTALCO!C1076)</f>
        <v>LABOR</v>
      </c>
      <c r="D551" s="12">
        <f ca="1">IF(TOTALCO!D1076="", "",TOTALCO!D1076)</f>
        <v>21838736.059999999</v>
      </c>
      <c r="E551" s="12" t="str">
        <f>IF(TOTALCO!E1076="", "",TOTALCO!E1076)</f>
        <v/>
      </c>
      <c r="F551" s="12">
        <f ca="1">IF(TOTALCO!F1076="", "",TOTALCO!F1076)</f>
        <v>19422909.438914448</v>
      </c>
      <c r="G551" s="12" t="str">
        <f>IF(TOTALCO!G1076="", "",TOTALCO!G1076)</f>
        <v/>
      </c>
      <c r="H551" s="12">
        <f ca="1">IF(TOTALCO!H1076="", "",TOTALCO!H1076)</f>
        <v>1196609.5577963081</v>
      </c>
      <c r="I551" s="12">
        <f ca="1">IF(TOTALCO!I1076="", "",TOTALCO!I1076)</f>
        <v>1219217.063289243</v>
      </c>
      <c r="J551" s="12" t="str">
        <f>IF(TOTALCO!J1076="", "",TOTALCO!J1076)</f>
        <v/>
      </c>
      <c r="K551" s="12" t="str">
        <f>IF(TOTALCO!K1076="", "",TOTALCO!K1076)</f>
        <v/>
      </c>
      <c r="L551" s="12">
        <f ca="1">IF(TOTALCO!L1076="", "",TOTALCO!L1076)</f>
        <v>670.4192955015302</v>
      </c>
      <c r="M551" s="12" t="str">
        <f>IF(TOTALCO!M1076="", "",TOTALCO!M1076)</f>
        <v/>
      </c>
      <c r="N551" s="12">
        <f ca="1">IF(TOTALCO!N1076="", "",TOTALCO!N1076)</f>
        <v>1218546.6439937416</v>
      </c>
      <c r="O551" s="12">
        <f ca="1">IF(TOTALCO!O1076="", "",TOTALCO!O1076)</f>
        <v>395860.18657766696</v>
      </c>
      <c r="P551" s="12">
        <f ca="1">IF(TOTALCO!P1076="", "",TOTALCO!P1076)</f>
        <v>822686.4574160747</v>
      </c>
      <c r="Q551" s="12"/>
      <c r="R551" s="13"/>
    </row>
    <row r="552" spans="1:18" ht="15" x14ac:dyDescent="0.2">
      <c r="A552" s="382">
        <f>IF(TOTALCO!A1077="", "",TOTALCO!A1077)</f>
        <v>20</v>
      </c>
      <c r="B552" s="4" t="str">
        <f>IF(TOTALCO!B1077="", "",TOTALCO!B1077)</f>
        <v xml:space="preserve">  921-OFFICE SUPPLIES &amp; EXP</v>
      </c>
      <c r="C552" s="4" t="str">
        <f>IF(TOTALCO!C1077="", "",TOTALCO!C1077)</f>
        <v>LABOR</v>
      </c>
      <c r="D552" s="12">
        <f ca="1">IF(TOTALCO!D1077="", "",TOTALCO!D1077)</f>
        <v>7450944.4299999997</v>
      </c>
      <c r="E552" s="12" t="str">
        <f>IF(TOTALCO!E1077="", "",TOTALCO!E1077)</f>
        <v/>
      </c>
      <c r="F552" s="12">
        <f ca="1">IF(TOTALCO!F1077="", "",TOTALCO!F1077)</f>
        <v>6626712.2099315319</v>
      </c>
      <c r="G552" s="12" t="str">
        <f>IF(TOTALCO!G1077="", "",TOTALCO!G1077)</f>
        <v/>
      </c>
      <c r="H552" s="12">
        <f ca="1">IF(TOTALCO!H1077="", "",TOTALCO!H1077)</f>
        <v>408259.49336315045</v>
      </c>
      <c r="I552" s="12">
        <f ca="1">IF(TOTALCO!I1077="", "",TOTALCO!I1077)</f>
        <v>415972.72670531756</v>
      </c>
      <c r="J552" s="12" t="str">
        <f>IF(TOTALCO!J1077="", "",TOTALCO!J1077)</f>
        <v/>
      </c>
      <c r="K552" s="12" t="str">
        <f>IF(TOTALCO!K1077="", "",TOTALCO!K1077)</f>
        <v/>
      </c>
      <c r="L552" s="12">
        <f ca="1">IF(TOTALCO!L1077="", "",TOTALCO!L1077)</f>
        <v>228.73379218731444</v>
      </c>
      <c r="M552" s="12" t="str">
        <f>IF(TOTALCO!M1077="", "",TOTALCO!M1077)</f>
        <v/>
      </c>
      <c r="N552" s="12">
        <f ca="1">IF(TOTALCO!N1077="", "",TOTALCO!N1077)</f>
        <v>415743.99291313026</v>
      </c>
      <c r="O552" s="12">
        <f ca="1">IF(TOTALCO!O1077="", "",TOTALCO!O1077)</f>
        <v>135059.65931984567</v>
      </c>
      <c r="P552" s="12">
        <f ca="1">IF(TOTALCO!P1077="", "",TOTALCO!P1077)</f>
        <v>280684.33359328459</v>
      </c>
      <c r="Q552" s="12"/>
      <c r="R552" s="13"/>
    </row>
    <row r="553" spans="1:18" ht="15" x14ac:dyDescent="0.2">
      <c r="A553" s="382">
        <f>IF(TOTALCO!A1078="", "",TOTALCO!A1078)</f>
        <v>21</v>
      </c>
      <c r="B553" s="4" t="str">
        <f>IF(TOTALCO!B1078="", "",TOTALCO!B1078)</f>
        <v xml:space="preserve">  922-ADMIN EXP TRANSF-CRED</v>
      </c>
      <c r="C553" s="4" t="str">
        <f>IF(TOTALCO!C1078="", "",TOTALCO!C1078)</f>
        <v>LABOR</v>
      </c>
      <c r="D553" s="12">
        <f ca="1">IF(TOTALCO!D1078="", "",TOTALCO!D1078)</f>
        <v>-2900745.46</v>
      </c>
      <c r="E553" s="12" t="str">
        <f>IF(TOTALCO!E1078="", "",TOTALCO!E1078)</f>
        <v/>
      </c>
      <c r="F553" s="12">
        <f ca="1">IF(TOTALCO!F1078="", "",TOTALCO!F1078)</f>
        <v>-2579861.5918123894</v>
      </c>
      <c r="G553" s="12" t="str">
        <f>IF(TOTALCO!G1078="", "",TOTALCO!G1078)</f>
        <v/>
      </c>
      <c r="H553" s="12">
        <f ca="1">IF(TOTALCO!H1078="", "",TOTALCO!H1078)</f>
        <v>-158940.50519379042</v>
      </c>
      <c r="I553" s="12">
        <f ca="1">IF(TOTALCO!I1078="", "",TOTALCO!I1078)</f>
        <v>-161943.36299381993</v>
      </c>
      <c r="J553" s="12" t="str">
        <f>IF(TOTALCO!J1078="", "",TOTALCO!J1078)</f>
        <v/>
      </c>
      <c r="K553" s="12" t="str">
        <f>IF(TOTALCO!K1078="", "",TOTALCO!K1078)</f>
        <v/>
      </c>
      <c r="L553" s="12">
        <f ca="1">IF(TOTALCO!L1078="", "",TOTALCO!L1078)</f>
        <v>-89.048913928879713</v>
      </c>
      <c r="M553" s="12" t="str">
        <f>IF(TOTALCO!M1078="", "",TOTALCO!M1078)</f>
        <v/>
      </c>
      <c r="N553" s="12">
        <f ca="1">IF(TOTALCO!N1078="", "",TOTALCO!N1078)</f>
        <v>-161854.31407989105</v>
      </c>
      <c r="O553" s="12">
        <f ca="1">IF(TOTALCO!O1078="", "",TOTALCO!O1078)</f>
        <v>-52580.407394232701</v>
      </c>
      <c r="P553" s="12">
        <f ca="1">IF(TOTALCO!P1078="", "",TOTALCO!P1078)</f>
        <v>-109273.90668565834</v>
      </c>
      <c r="Q553" s="12"/>
      <c r="R553" s="13"/>
    </row>
    <row r="554" spans="1:18" ht="15" x14ac:dyDescent="0.2">
      <c r="A554" s="382">
        <f>IF(TOTALCO!A1079="", "",TOTALCO!A1079)</f>
        <v>22</v>
      </c>
      <c r="B554" s="4" t="str">
        <f>IF(TOTALCO!B1079="", "",TOTALCO!B1079)</f>
        <v xml:space="preserve">  923-OUTSIDE SERVICES</v>
      </c>
      <c r="C554" s="4" t="str">
        <f>IF(TOTALCO!C1079="", "",TOTALCO!C1079)</f>
        <v>LABOR</v>
      </c>
      <c r="D554" s="12">
        <f ca="1">IF(TOTALCO!D1079="", "",TOTALCO!D1079)</f>
        <v>8857899.9399999995</v>
      </c>
      <c r="E554" s="12" t="str">
        <f>IF(TOTALCO!E1079="", "",TOTALCO!E1079)</f>
        <v/>
      </c>
      <c r="F554" s="12">
        <f ca="1">IF(TOTALCO!F1079="", "",TOTALCO!F1079)</f>
        <v>7878028.6496848529</v>
      </c>
      <c r="G554" s="12" t="str">
        <f>IF(TOTALCO!G1079="", "",TOTALCO!G1079)</f>
        <v/>
      </c>
      <c r="H554" s="12">
        <f ca="1">IF(TOTALCO!H1079="", "",TOTALCO!H1079)</f>
        <v>485350.78683520399</v>
      </c>
      <c r="I554" s="12">
        <f ca="1">IF(TOTALCO!I1079="", "",TOTALCO!I1079)</f>
        <v>494520.50347994181</v>
      </c>
      <c r="J554" s="12" t="str">
        <f>IF(TOTALCO!J1079="", "",TOTALCO!J1079)</f>
        <v/>
      </c>
      <c r="K554" s="12" t="str">
        <f>IF(TOTALCO!K1079="", "",TOTALCO!K1079)</f>
        <v/>
      </c>
      <c r="L554" s="12">
        <f ca="1">IF(TOTALCO!L1079="", "",TOTALCO!L1079)</f>
        <v>271.92539994449868</v>
      </c>
      <c r="M554" s="12" t="str">
        <f>IF(TOTALCO!M1079="", "",TOTALCO!M1079)</f>
        <v/>
      </c>
      <c r="N554" s="12">
        <f ca="1">IF(TOTALCO!N1079="", "",TOTALCO!N1079)</f>
        <v>494248.57807999733</v>
      </c>
      <c r="O554" s="12">
        <f ca="1">IF(TOTALCO!O1079="", "",TOTALCO!O1079)</f>
        <v>160562.86010788046</v>
      </c>
      <c r="P554" s="12">
        <f ca="1">IF(TOTALCO!P1079="", "",TOTALCO!P1079)</f>
        <v>333685.71797211689</v>
      </c>
      <c r="Q554" s="12"/>
      <c r="R554" s="13"/>
    </row>
    <row r="555" spans="1:18" ht="15" x14ac:dyDescent="0.2">
      <c r="A555" s="382">
        <f>IF(TOTALCO!A1080="", "",TOTALCO!A1080)</f>
        <v>23</v>
      </c>
      <c r="B555" s="4" t="str">
        <f>IF(TOTALCO!B1080="", "",TOTALCO!B1080)</f>
        <v xml:space="preserve">  925-INJURIES &amp; DAMAGES</v>
      </c>
      <c r="C555" s="4" t="str">
        <f>IF(TOTALCO!C1080="", "",TOTALCO!C1080)</f>
        <v>LABOR</v>
      </c>
      <c r="D555" s="12">
        <f ca="1">IF(TOTALCO!D1080="", "",TOTALCO!D1080)</f>
        <v>3560504.2</v>
      </c>
      <c r="E555" s="12" t="str">
        <f>IF(TOTALCO!E1080="", "",TOTALCO!E1080)</f>
        <v/>
      </c>
      <c r="F555" s="12">
        <f ca="1">IF(TOTALCO!F1080="", "",TOTALCO!F1080)</f>
        <v>3166637.045453378</v>
      </c>
      <c r="G555" s="12" t="str">
        <f>IF(TOTALCO!G1080="", "",TOTALCO!G1080)</f>
        <v/>
      </c>
      <c r="H555" s="12">
        <f ca="1">IF(TOTALCO!H1080="", "",TOTALCO!H1080)</f>
        <v>195090.65655578504</v>
      </c>
      <c r="I555" s="12">
        <f ca="1">IF(TOTALCO!I1080="", "",TOTALCO!I1080)</f>
        <v>198776.49799083732</v>
      </c>
      <c r="J555" s="12" t="str">
        <f>IF(TOTALCO!J1080="", "",TOTALCO!J1080)</f>
        <v/>
      </c>
      <c r="K555" s="12" t="str">
        <f>IF(TOTALCO!K1080="", "",TOTALCO!K1080)</f>
        <v/>
      </c>
      <c r="L555" s="12">
        <f ca="1">IF(TOTALCO!L1080="", "",TOTALCO!L1080)</f>
        <v>109.30260390693323</v>
      </c>
      <c r="M555" s="12" t="str">
        <f>IF(TOTALCO!M1080="", "",TOTALCO!M1080)</f>
        <v/>
      </c>
      <c r="N555" s="12">
        <f ca="1">IF(TOTALCO!N1080="", "",TOTALCO!N1080)</f>
        <v>198667.1953869304</v>
      </c>
      <c r="O555" s="12">
        <f ca="1">IF(TOTALCO!O1080="", "",TOTALCO!O1080)</f>
        <v>64539.534387438674</v>
      </c>
      <c r="P555" s="12">
        <f ca="1">IF(TOTALCO!P1080="", "",TOTALCO!P1080)</f>
        <v>134127.66099949172</v>
      </c>
      <c r="Q555" s="12"/>
      <c r="R555" s="13"/>
    </row>
    <row r="556" spans="1:18" ht="15" x14ac:dyDescent="0.2">
      <c r="A556" s="382">
        <f>IF(TOTALCO!A1081="", "",TOTALCO!A1081)</f>
        <v>24</v>
      </c>
      <c r="B556" s="4" t="str">
        <f>IF(TOTALCO!B1081="", "",TOTALCO!B1081)</f>
        <v xml:space="preserve">  926-PENSIONS &amp; BENEFITS</v>
      </c>
      <c r="C556" s="4" t="str">
        <f>IF(TOTALCO!C1081="", "",TOTALCO!C1081)</f>
        <v>LABOR</v>
      </c>
      <c r="D556" s="12">
        <f ca="1">IF(TOTALCO!D1081="", "",TOTALCO!D1081)</f>
        <v>39264089.249999993</v>
      </c>
      <c r="E556" s="12" t="str">
        <f>IF(TOTALCO!E1081="", "",TOTALCO!E1081)</f>
        <v/>
      </c>
      <c r="F556" s="12">
        <f ca="1">IF(TOTALCO!F1081="", "",TOTALCO!F1081)</f>
        <v>35853084.162146352</v>
      </c>
      <c r="G556" s="12" t="str">
        <f>IF(TOTALCO!G1081="", "",TOTALCO!G1081)</f>
        <v/>
      </c>
      <c r="H556" s="12">
        <f ca="1">IF(TOTALCO!H1081="", "",TOTALCO!H1081)</f>
        <v>2208842.2602096824</v>
      </c>
      <c r="I556" s="12">
        <f ca="1">IF(TOTALCO!I1081="", "",TOTALCO!I1081)</f>
        <v>1202162.8276439609</v>
      </c>
      <c r="J556" s="12" t="str">
        <f>IF(TOTALCO!J1081="", "",TOTALCO!J1081)</f>
        <v/>
      </c>
      <c r="K556" s="12" t="str">
        <f>IF(TOTALCO!K1081="", "",TOTALCO!K1081)</f>
        <v/>
      </c>
      <c r="L556" s="12">
        <f ca="1">IF(TOTALCO!L1081="", "",TOTALCO!L1081)</f>
        <v>1237.538562445495</v>
      </c>
      <c r="M556" s="12" t="str">
        <f>IF(TOTALCO!M1081="", "",TOTALCO!M1081)</f>
        <v/>
      </c>
      <c r="N556" s="12">
        <f ca="1">IF(TOTALCO!N1081="", "",TOTALCO!N1081)</f>
        <v>1200925.2890815155</v>
      </c>
      <c r="O556" s="12">
        <f ca="1">IF(TOTALCO!O1081="", "",TOTALCO!O1081)</f>
        <v>390135.66804759012</v>
      </c>
      <c r="P556" s="12">
        <f ca="1">IF(TOTALCO!P1081="", "",TOTALCO!P1081)</f>
        <v>810789.62103392545</v>
      </c>
      <c r="Q556" s="12"/>
      <c r="R556" s="13"/>
    </row>
    <row r="557" spans="1:18" ht="15" x14ac:dyDescent="0.2">
      <c r="A557" s="382">
        <f>IF(TOTALCO!A1086="", "",TOTALCO!A1086)</f>
        <v>25</v>
      </c>
      <c r="B557" s="4" t="str">
        <f>IF(TOTALCO!B1086="", "",TOTALCO!B1086)</f>
        <v xml:space="preserve">  929-DUPLICATE CHARGES-CR</v>
      </c>
      <c r="C557" s="4" t="str">
        <f>IF(TOTALCO!C1086="", "",TOTALCO!C1086)</f>
        <v>REVNJVA</v>
      </c>
      <c r="D557" s="12">
        <f ca="1">IF(TOTALCO!D1086="", "",TOTALCO!D1086)</f>
        <v>-3751.98</v>
      </c>
      <c r="E557" s="12" t="str">
        <f>IF(TOTALCO!E1086="", "",TOTALCO!E1086)</f>
        <v/>
      </c>
      <c r="F557" s="12">
        <f ca="1">IF(TOTALCO!F1086="", "",TOTALCO!F1086)</f>
        <v>0</v>
      </c>
      <c r="G557" s="12" t="str">
        <f>IF(TOTALCO!G1086="", "",TOTALCO!G1086)</f>
        <v/>
      </c>
      <c r="H557" s="12">
        <f ca="1">IF(TOTALCO!H1086="", "",TOTALCO!H1086)</f>
        <v>-3751.98</v>
      </c>
      <c r="I557" s="12">
        <f ca="1">IF(TOTALCO!I1086="", "",TOTALCO!I1086)</f>
        <v>0</v>
      </c>
      <c r="J557" s="12" t="str">
        <f>IF(TOTALCO!J1086="", "",TOTALCO!J1086)</f>
        <v/>
      </c>
      <c r="K557" s="12" t="str">
        <f>IF(TOTALCO!K1086="", "",TOTALCO!K1086)</f>
        <v/>
      </c>
      <c r="L557" s="12">
        <f ca="1">IF(TOTALCO!L1086="", "",TOTALCO!L1086)</f>
        <v>0</v>
      </c>
      <c r="M557" s="12" t="str">
        <f>IF(TOTALCO!M1086="", "",TOTALCO!M1086)</f>
        <v/>
      </c>
      <c r="N557" s="12">
        <f ca="1">IF(TOTALCO!N1086="", "",TOTALCO!N1086)</f>
        <v>0</v>
      </c>
      <c r="O557" s="12">
        <f ca="1">IF(TOTALCO!O1086="", "",TOTALCO!O1086)</f>
        <v>0</v>
      </c>
      <c r="P557" s="12">
        <f ca="1">IF(TOTALCO!P1086="", "",TOTALCO!P1086)</f>
        <v>0</v>
      </c>
      <c r="Q557" s="12"/>
      <c r="R557" s="13"/>
    </row>
    <row r="558" spans="1:18" ht="15" x14ac:dyDescent="0.2">
      <c r="A558" s="382">
        <f>IF(TOTALCO!A1087="", "",TOTALCO!A1087)</f>
        <v>26</v>
      </c>
      <c r="B558" s="4" t="str">
        <f>IF(TOTALCO!B1087="", "",TOTALCO!B1087)</f>
        <v xml:space="preserve">  930-MISC GENERAL EXPENSE</v>
      </c>
      <c r="C558" s="4" t="str">
        <f>IF(TOTALCO!C1087="", "",TOTALCO!C1087)</f>
        <v>LABOR</v>
      </c>
      <c r="D558" s="12">
        <f ca="1">IF(TOTALCO!D1087="", "",TOTALCO!D1087)</f>
        <v>2489746.9</v>
      </c>
      <c r="E558" s="12" t="str">
        <f>IF(TOTALCO!E1087="", "",TOTALCO!E1087)</f>
        <v/>
      </c>
      <c r="F558" s="12">
        <f ca="1">IF(TOTALCO!F1087="", "",TOTALCO!F1087)</f>
        <v>2251157.3001724468</v>
      </c>
      <c r="G558" s="12" t="str">
        <f>IF(TOTALCO!G1087="", "",TOTALCO!G1087)</f>
        <v/>
      </c>
      <c r="H558" s="12">
        <f ca="1">IF(TOTALCO!H1087="", "",TOTALCO!H1087)</f>
        <v>118178.42930141969</v>
      </c>
      <c r="I558" s="12">
        <f ca="1">IF(TOTALCO!I1087="", "",TOTALCO!I1087)</f>
        <v>120411.17052613343</v>
      </c>
      <c r="J558" s="12" t="str">
        <f>IF(TOTALCO!J1087="", "",TOTALCO!J1087)</f>
        <v/>
      </c>
      <c r="K558" s="12" t="str">
        <f>IF(TOTALCO!K1087="", "",TOTALCO!K1087)</f>
        <v/>
      </c>
      <c r="L558" s="12">
        <f ca="1">IF(TOTALCO!L1087="", "",TOTALCO!L1087)</f>
        <v>66.211320810143391</v>
      </c>
      <c r="M558" s="12" t="str">
        <f>IF(TOTALCO!M1087="", "",TOTALCO!M1087)</f>
        <v/>
      </c>
      <c r="N558" s="12">
        <f ca="1">IF(TOTALCO!N1087="", "",TOTALCO!N1087)</f>
        <v>120344.95920532329</v>
      </c>
      <c r="O558" s="12">
        <f ca="1">IF(TOTALCO!O1087="", "",TOTALCO!O1087)</f>
        <v>39095.571958216868</v>
      </c>
      <c r="P558" s="12">
        <f ca="1">IF(TOTALCO!P1087="", "",TOTALCO!P1087)</f>
        <v>81249.387247106424</v>
      </c>
      <c r="Q558" s="12"/>
      <c r="R558" s="13"/>
    </row>
    <row r="559" spans="1:18" ht="15" x14ac:dyDescent="0.2">
      <c r="A559" s="382">
        <f>IF(TOTALCO!A1088="", "",TOTALCO!A1088)</f>
        <v>27</v>
      </c>
      <c r="B559" s="4" t="str">
        <f>IF(TOTALCO!B1088="", "",TOTALCO!B1088)</f>
        <v xml:space="preserve">  931-RENTS</v>
      </c>
      <c r="C559" s="4" t="str">
        <f>IF(TOTALCO!C1088="", "",TOTALCO!C1088)</f>
        <v>LABOR</v>
      </c>
      <c r="D559" s="12">
        <f ca="1">IF(TOTALCO!D1088="", "",TOTALCO!D1088)</f>
        <v>2376357.73</v>
      </c>
      <c r="E559" s="12" t="str">
        <f>IF(TOTALCO!E1088="", "",TOTALCO!E1088)</f>
        <v/>
      </c>
      <c r="F559" s="12">
        <f ca="1">IF(TOTALCO!F1088="", "",TOTALCO!F1088)</f>
        <v>2113482.2481230311</v>
      </c>
      <c r="G559" s="12" t="str">
        <f>IF(TOTALCO!G1088="", "",TOTALCO!G1088)</f>
        <v/>
      </c>
      <c r="H559" s="12">
        <f ca="1">IF(TOTALCO!H1088="", "",TOTALCO!H1088)</f>
        <v>130207.73567887236</v>
      </c>
      <c r="I559" s="12">
        <f ca="1">IF(TOTALCO!I1088="", "",TOTALCO!I1088)</f>
        <v>132667.74619809623</v>
      </c>
      <c r="J559" s="12" t="str">
        <f>IF(TOTALCO!J1088="", "",TOTALCO!J1088)</f>
        <v/>
      </c>
      <c r="K559" s="12" t="str">
        <f>IF(TOTALCO!K1088="", "",TOTALCO!K1088)</f>
        <v/>
      </c>
      <c r="L559" s="12">
        <f ca="1">IF(TOTALCO!L1088="", "",TOTALCO!L1088)</f>
        <v>72.950928608192314</v>
      </c>
      <c r="M559" s="12" t="str">
        <f>IF(TOTALCO!M1088="", "",TOTALCO!M1088)</f>
        <v/>
      </c>
      <c r="N559" s="12">
        <f ca="1">IF(TOTALCO!N1088="", "",TOTALCO!N1088)</f>
        <v>132594.79526948804</v>
      </c>
      <c r="O559" s="12">
        <f ca="1">IF(TOTALCO!O1088="", "",TOTALCO!O1088)</f>
        <v>43075.085105135018</v>
      </c>
      <c r="P559" s="12">
        <f ca="1">IF(TOTALCO!P1088="", "",TOTALCO!P1088)</f>
        <v>89519.710164353019</v>
      </c>
      <c r="Q559" s="12"/>
      <c r="R559" s="13"/>
    </row>
    <row r="560" spans="1:18" ht="15" x14ac:dyDescent="0.2">
      <c r="A560" s="382">
        <f>IF(TOTALCO!A1089="", "",TOTALCO!A1089)</f>
        <v>28</v>
      </c>
      <c r="B560" s="4" t="str">
        <f>IF(TOTALCO!B1089="", "",TOTALCO!B1089)</f>
        <v xml:space="preserve">  935-MAINTENANCE</v>
      </c>
      <c r="C560" s="4" t="str">
        <f>IF(TOTALCO!C1089="", "",TOTALCO!C1089)</f>
        <v>LABOR</v>
      </c>
      <c r="D560" s="12">
        <f ca="1">IF(TOTALCO!D1089="", "",TOTALCO!D1089)</f>
        <v>13215869.399999999</v>
      </c>
      <c r="E560" s="12" t="str">
        <f>IF(TOTALCO!E1089="", "",TOTALCO!E1089)</f>
        <v/>
      </c>
      <c r="F560" s="12">
        <f ca="1">IF(TOTALCO!F1089="", "",TOTALCO!F1089)</f>
        <v>11753914.411872817</v>
      </c>
      <c r="G560" s="12" t="str">
        <f>IF(TOTALCO!G1089="", "",TOTALCO!G1089)</f>
        <v/>
      </c>
      <c r="H560" s="12">
        <f ca="1">IF(TOTALCO!H1089="", "",TOTALCO!H1089)</f>
        <v>724136.94616664352</v>
      </c>
      <c r="I560" s="12">
        <f ca="1">IF(TOTALCO!I1089="", "",TOTALCO!I1089)</f>
        <v>737818.04196053685</v>
      </c>
      <c r="J560" s="12" t="str">
        <f>IF(TOTALCO!J1089="", "",TOTALCO!J1089)</f>
        <v/>
      </c>
      <c r="K560" s="12" t="str">
        <f>IF(TOTALCO!K1089="", "",TOTALCO!K1089)</f>
        <v/>
      </c>
      <c r="L560" s="12">
        <f ca="1">IF(TOTALCO!L1089="", "",TOTALCO!L1089)</f>
        <v>405.70909544607719</v>
      </c>
      <c r="M560" s="12" t="str">
        <f>IF(TOTALCO!M1089="", "",TOTALCO!M1089)</f>
        <v/>
      </c>
      <c r="N560" s="12">
        <f ca="1">IF(TOTALCO!N1089="", "",TOTALCO!N1089)</f>
        <v>737412.33286509081</v>
      </c>
      <c r="O560" s="12">
        <f ca="1">IF(TOTALCO!O1089="", "",TOTALCO!O1089)</f>
        <v>239557.66085072959</v>
      </c>
      <c r="P560" s="12">
        <f ca="1">IF(TOTALCO!P1089="", "",TOTALCO!P1089)</f>
        <v>497854.67201436119</v>
      </c>
      <c r="Q560" s="12"/>
      <c r="R560" s="13"/>
    </row>
    <row r="561" spans="1:18" ht="15" x14ac:dyDescent="0.2">
      <c r="A561" s="382">
        <f>IF(TOTALCO!A1090="", "",TOTALCO!A1090)</f>
        <v>29</v>
      </c>
      <c r="B561" s="4" t="str">
        <f>IF(TOTALCO!B1090="", "",TOTALCO!B1090)</f>
        <v xml:space="preserve">     TOTAL LABOR COMPONENT</v>
      </c>
      <c r="C561" s="4" t="str">
        <f>IF(TOTALCO!C1090="", "",TOTALCO!C1090)</f>
        <v/>
      </c>
      <c r="D561" s="12">
        <f ca="1">IF(TOTALCO!D1090="", "",TOTALCO!D1090)</f>
        <v>96149650.469999984</v>
      </c>
      <c r="E561" s="12" t="str">
        <f>IF(TOTALCO!E1090="", "",TOTALCO!E1090)</f>
        <v/>
      </c>
      <c r="F561" s="12">
        <f ca="1">IF(TOTALCO!F1090="", "",TOTALCO!F1090)</f>
        <v>86486063.874486461</v>
      </c>
      <c r="G561" s="12" t="str">
        <f>IF(TOTALCO!G1090="", "",TOTALCO!G1090)</f>
        <v/>
      </c>
      <c r="H561" s="12">
        <f ca="1">IF(TOTALCO!H1090="", "",TOTALCO!H1090)</f>
        <v>5303983.3807132747</v>
      </c>
      <c r="I561" s="12">
        <f ca="1">IF(TOTALCO!I1090="", "",TOTALCO!I1090)</f>
        <v>4359603.2148002479</v>
      </c>
      <c r="J561" s="12" t="str">
        <f>IF(TOTALCO!J1090="", "",TOTALCO!J1090)</f>
        <v/>
      </c>
      <c r="K561" s="12" t="str">
        <f>IF(TOTALCO!K1090="", "",TOTALCO!K1090)</f>
        <v/>
      </c>
      <c r="L561" s="12">
        <f ca="1">IF(TOTALCO!L1090="", "",TOTALCO!L1090)</f>
        <v>2973.7420849213049</v>
      </c>
      <c r="M561" s="12" t="str">
        <f>IF(TOTALCO!M1090="", "",TOTALCO!M1090)</f>
        <v/>
      </c>
      <c r="N561" s="12">
        <f ca="1">IF(TOTALCO!N1090="", "",TOTALCO!N1090)</f>
        <v>4356629.4727153266</v>
      </c>
      <c r="O561" s="12">
        <f ca="1">IF(TOTALCO!O1090="", "",TOTALCO!O1090)</f>
        <v>1415305.8189602706</v>
      </c>
      <c r="P561" s="12">
        <f ca="1">IF(TOTALCO!P1090="", "",TOTALCO!P1090)</f>
        <v>2941323.6537550557</v>
      </c>
      <c r="Q561" s="12"/>
      <c r="R561" s="13"/>
    </row>
    <row r="562" spans="1:18" ht="15" x14ac:dyDescent="0.2">
      <c r="A562" s="382" t="str">
        <f>IF(TOTALCO!A1091="", "",TOTALCO!A1091)</f>
        <v/>
      </c>
      <c r="B562" s="4" t="str">
        <f>IF(TOTALCO!B1091="", "",TOTALCO!B1091)</f>
        <v/>
      </c>
      <c r="C562" s="4" t="str">
        <f>IF(TOTALCO!C1091="", "",TOTALCO!C1091)</f>
        <v/>
      </c>
      <c r="D562" s="12" t="str">
        <f>IF(TOTALCO!D1091="", "",TOTALCO!D1091)</f>
        <v/>
      </c>
      <c r="E562" s="12" t="str">
        <f>IF(TOTALCO!E1091="", "",TOTALCO!E1091)</f>
        <v/>
      </c>
      <c r="F562" s="12" t="str">
        <f>IF(TOTALCO!F1091="", "",TOTALCO!F1091)</f>
        <v/>
      </c>
      <c r="G562" s="12" t="str">
        <f>IF(TOTALCO!G1091="", "",TOTALCO!G1091)</f>
        <v/>
      </c>
      <c r="H562" s="12" t="str">
        <f>IF(TOTALCO!H1091="", "",TOTALCO!H1091)</f>
        <v/>
      </c>
      <c r="I562" s="12" t="str">
        <f>IF(TOTALCO!I1091="", "",TOTALCO!I1091)</f>
        <v/>
      </c>
      <c r="J562" s="12" t="str">
        <f>IF(TOTALCO!J1091="", "",TOTALCO!J1091)</f>
        <v/>
      </c>
      <c r="K562" s="12" t="str">
        <f>IF(TOTALCO!K1091="", "",TOTALCO!K1091)</f>
        <v/>
      </c>
      <c r="L562" s="12" t="str">
        <f>IF(TOTALCO!L1091="", "",TOTALCO!L1091)</f>
        <v/>
      </c>
      <c r="M562" s="12" t="str">
        <f>IF(TOTALCO!M1091="", "",TOTALCO!M1091)</f>
        <v/>
      </c>
      <c r="N562" s="12" t="str">
        <f>IF(TOTALCO!N1091="", "",TOTALCO!N1091)</f>
        <v/>
      </c>
      <c r="O562" s="12" t="str">
        <f>IF(TOTALCO!O1091="", "",TOTALCO!O1091)</f>
        <v/>
      </c>
      <c r="P562" s="12" t="str">
        <f>IF(TOTALCO!P1091="", "",TOTALCO!P1091)</f>
        <v/>
      </c>
      <c r="Q562" s="12"/>
      <c r="R562" s="13"/>
    </row>
    <row r="563" spans="1:18" ht="15" x14ac:dyDescent="0.2">
      <c r="A563" s="382" t="str">
        <f>IF(TOTALCO!A1092="", "",TOTALCO!A1092)</f>
        <v/>
      </c>
      <c r="B563" s="4" t="str">
        <f>IF(TOTALCO!B1092="", "",TOTALCO!B1092)</f>
        <v xml:space="preserve">  928-REGULATORY COMMISSION</v>
      </c>
      <c r="C563" s="4" t="str">
        <f>IF(TOTALCO!C1092="", "",TOTALCO!C1092)</f>
        <v/>
      </c>
      <c r="D563" s="12" t="str">
        <f>IF(TOTALCO!D1092="", "",TOTALCO!D1092)</f>
        <v/>
      </c>
      <c r="E563" s="12" t="str">
        <f>IF(TOTALCO!E1092="", "",TOTALCO!E1092)</f>
        <v/>
      </c>
      <c r="F563" s="12" t="str">
        <f>IF(TOTALCO!F1092="", "",TOTALCO!F1092)</f>
        <v/>
      </c>
      <c r="G563" s="12" t="str">
        <f>IF(TOTALCO!G1092="", "",TOTALCO!G1092)</f>
        <v/>
      </c>
      <c r="H563" s="12" t="str">
        <f>IF(TOTALCO!H1092="", "",TOTALCO!H1092)</f>
        <v/>
      </c>
      <c r="I563" s="12" t="str">
        <f>IF(TOTALCO!I1092="", "",TOTALCO!I1092)</f>
        <v/>
      </c>
      <c r="J563" s="12" t="str">
        <f>IF(TOTALCO!J1092="", "",TOTALCO!J1092)</f>
        <v/>
      </c>
      <c r="K563" s="12" t="str">
        <f>IF(TOTALCO!K1092="", "",TOTALCO!K1092)</f>
        <v/>
      </c>
      <c r="L563" s="12" t="str">
        <f>IF(TOTALCO!L1092="", "",TOTALCO!L1092)</f>
        <v/>
      </c>
      <c r="M563" s="12" t="str">
        <f>IF(TOTALCO!M1092="", "",TOTALCO!M1092)</f>
        <v/>
      </c>
      <c r="N563" s="12" t="str">
        <f>IF(TOTALCO!N1092="", "",TOTALCO!N1092)</f>
        <v/>
      </c>
      <c r="O563" s="12" t="str">
        <f>IF(TOTALCO!O1092="", "",TOTALCO!O1092)</f>
        <v/>
      </c>
      <c r="P563" s="12" t="str">
        <f>IF(TOTALCO!P1092="", "",TOTALCO!P1092)</f>
        <v/>
      </c>
      <c r="Q563" s="12"/>
      <c r="R563" s="13"/>
    </row>
    <row r="564" spans="1:18" ht="15" x14ac:dyDescent="0.2">
      <c r="A564" s="382">
        <f>IF(TOTALCO!A1093="", "",TOTALCO!A1093)</f>
        <v>30</v>
      </c>
      <c r="B564" s="4" t="str">
        <f>IF(TOTALCO!B1093="", "",TOTALCO!B1093)</f>
        <v xml:space="preserve">    STATE JURISDICTION</v>
      </c>
      <c r="C564" s="4" t="str">
        <f>IF(TOTALCO!C1093="", "",TOTALCO!C1093)</f>
        <v>DIRECT</v>
      </c>
      <c r="D564" s="12">
        <f>IF(TOTALCO!D1093="", "",TOTALCO!D1093)</f>
        <v>1093701.79</v>
      </c>
      <c r="E564" s="12" t="str">
        <f>IF(TOTALCO!E1093="", "",TOTALCO!E1093)</f>
        <v/>
      </c>
      <c r="F564" s="12">
        <f>IF(TOTALCO!F1093="", "",TOTALCO!F1093)</f>
        <v>1093701.79</v>
      </c>
      <c r="G564" s="12" t="str">
        <f>IF(TOTALCO!G1093="", "",TOTALCO!G1093)</f>
        <v/>
      </c>
      <c r="H564" s="12">
        <f>IF(TOTALCO!H1093="", "",TOTALCO!H1093)</f>
        <v>0</v>
      </c>
      <c r="I564" s="12">
        <f>IF(TOTALCO!I1093="", "",TOTALCO!I1093)</f>
        <v>0</v>
      </c>
      <c r="J564" s="12" t="str">
        <f>IF(TOTALCO!J1093="", "",TOTALCO!J1093)</f>
        <v/>
      </c>
      <c r="K564" s="12" t="str">
        <f>IF(TOTALCO!K1093="", "",TOTALCO!K1093)</f>
        <v/>
      </c>
      <c r="L564" s="12">
        <f>IF(TOTALCO!L1093="", "",TOTALCO!L1093)</f>
        <v>0</v>
      </c>
      <c r="M564" s="12" t="str">
        <f>IF(TOTALCO!M1093="", "",TOTALCO!M1093)</f>
        <v/>
      </c>
      <c r="N564" s="12">
        <f>IF(TOTALCO!N1093="", "",TOTALCO!N1093)</f>
        <v>0</v>
      </c>
      <c r="O564" s="12">
        <f>IF(TOTALCO!O1093="", "",TOTALCO!O1093)</f>
        <v>0</v>
      </c>
      <c r="P564" s="12">
        <f>IF(TOTALCO!P1093="", "",TOTALCO!P1093)</f>
        <v>0</v>
      </c>
      <c r="Q564" s="12"/>
      <c r="R564" s="13"/>
    </row>
    <row r="565" spans="1:18" ht="15" x14ac:dyDescent="0.2">
      <c r="A565" s="382">
        <f>IF(TOTALCO!A1094="", "",TOTALCO!A1094)</f>
        <v>31</v>
      </c>
      <c r="B565" s="4" t="str">
        <f>IF(TOTALCO!B1094="", "",TOTALCO!B1094)</f>
        <v xml:space="preserve">    FEDERAL JURISDICTION</v>
      </c>
      <c r="C565" s="4" t="str">
        <f>IF(TOTALCO!C1094="", "",TOTALCO!C1094)</f>
        <v>REVFERC</v>
      </c>
      <c r="D565" s="12">
        <f ca="1">IF(TOTALCO!D1094="", "",TOTALCO!D1094)</f>
        <v>18039.57</v>
      </c>
      <c r="E565" s="12" t="str">
        <f>IF(TOTALCO!E1094="", "",TOTALCO!E1094)</f>
        <v/>
      </c>
      <c r="F565" s="12">
        <f ca="1">IF(TOTALCO!F1094="", "",TOTALCO!F1094)</f>
        <v>0</v>
      </c>
      <c r="G565" s="12" t="str">
        <f>IF(TOTALCO!G1094="", "",TOTALCO!G1094)</f>
        <v/>
      </c>
      <c r="H565" s="12">
        <f ca="1">IF(TOTALCO!H1094="", "",TOTALCO!H1094)</f>
        <v>0</v>
      </c>
      <c r="I565" s="12">
        <f ca="1">IF(TOTALCO!I1094="", "",TOTALCO!I1094)</f>
        <v>18039.57</v>
      </c>
      <c r="J565" s="12" t="str">
        <f>IF(TOTALCO!J1094="", "",TOTALCO!J1094)</f>
        <v/>
      </c>
      <c r="K565" s="12" t="str">
        <f>IF(TOTALCO!K1094="", "",TOTALCO!K1094)</f>
        <v/>
      </c>
      <c r="L565" s="12">
        <f ca="1">IF(TOTALCO!L1094="", "",TOTALCO!L1094)</f>
        <v>0</v>
      </c>
      <c r="M565" s="12" t="str">
        <f>IF(TOTALCO!M1094="", "",TOTALCO!M1094)</f>
        <v/>
      </c>
      <c r="N565" s="12">
        <f ca="1">IF(TOTALCO!N1094="", "",TOTALCO!N1094)</f>
        <v>18039.57</v>
      </c>
      <c r="O565" s="12">
        <f ca="1">IF(TOTALCO!O1094="", "",TOTALCO!O1094)</f>
        <v>5844.2308621858592</v>
      </c>
      <c r="P565" s="12">
        <f ca="1">IF(TOTALCO!P1094="", "",TOTALCO!P1094)</f>
        <v>12195.33913781414</v>
      </c>
      <c r="Q565" s="12"/>
      <c r="R565" s="13"/>
    </row>
    <row r="566" spans="1:18" ht="15" x14ac:dyDescent="0.2">
      <c r="A566" s="382">
        <f>IF(TOTALCO!A1095="", "",TOTALCO!A1095)</f>
        <v>32</v>
      </c>
      <c r="B566" s="4" t="str">
        <f>IF(TOTALCO!B1095="", "",TOTALCO!B1095)</f>
        <v xml:space="preserve">    VIRGINIA JURISDICTION</v>
      </c>
      <c r="C566" s="4" t="str">
        <f>IF(TOTALCO!C1095="", "",TOTALCO!C1095)</f>
        <v>REVVA</v>
      </c>
      <c r="D566" s="12">
        <f ca="1">IF(TOTALCO!D1095="", "",TOTALCO!D1095)</f>
        <v>225118.29</v>
      </c>
      <c r="E566" s="12" t="str">
        <f>IF(TOTALCO!E1095="", "",TOTALCO!E1095)</f>
        <v/>
      </c>
      <c r="F566" s="12">
        <f ca="1">IF(TOTALCO!F1095="", "",TOTALCO!F1095)</f>
        <v>0</v>
      </c>
      <c r="G566" s="12" t="str">
        <f>IF(TOTALCO!G1095="", "",TOTALCO!G1095)</f>
        <v/>
      </c>
      <c r="H566" s="12">
        <f ca="1">IF(TOTALCO!H1095="", "",TOTALCO!H1095)</f>
        <v>225118.29</v>
      </c>
      <c r="I566" s="12">
        <f ca="1">IF(TOTALCO!I1095="", "",TOTALCO!I1095)</f>
        <v>0</v>
      </c>
      <c r="J566" s="12" t="str">
        <f>IF(TOTALCO!J1095="", "",TOTALCO!J1095)</f>
        <v/>
      </c>
      <c r="K566" s="12" t="str">
        <f>IF(TOTALCO!K1095="", "",TOTALCO!K1095)</f>
        <v/>
      </c>
      <c r="L566" s="12">
        <f ca="1">IF(TOTALCO!L1095="", "",TOTALCO!L1095)</f>
        <v>0</v>
      </c>
      <c r="M566" s="12" t="str">
        <f>IF(TOTALCO!M1095="", "",TOTALCO!M1095)</f>
        <v/>
      </c>
      <c r="N566" s="12">
        <f ca="1">IF(TOTALCO!N1095="", "",TOTALCO!N1095)</f>
        <v>0</v>
      </c>
      <c r="O566" s="12">
        <f ca="1">IF(TOTALCO!O1095="", "",TOTALCO!O1095)</f>
        <v>0</v>
      </c>
      <c r="P566" s="12">
        <f ca="1">IF(TOTALCO!P1095="", "",TOTALCO!P1095)</f>
        <v>0</v>
      </c>
      <c r="Q566" s="12"/>
      <c r="R566" s="13"/>
    </row>
    <row r="567" spans="1:18" ht="15" x14ac:dyDescent="0.2">
      <c r="A567" s="382">
        <f>IF(TOTALCO!A1096="", "",TOTALCO!A1096)</f>
        <v>33</v>
      </c>
      <c r="B567" s="4" t="str">
        <f>IF(TOTALCO!B1096="", "",TOTALCO!B1096)</f>
        <v xml:space="preserve">    928 ALLOCATED</v>
      </c>
      <c r="C567" s="4" t="str">
        <f>IF(TOTALCO!C1096="", "",TOTALCO!C1096)</f>
        <v>ENERGY</v>
      </c>
      <c r="D567" s="12">
        <f ca="1">IF(TOTALCO!D1096="", "",TOTALCO!D1096)</f>
        <v>463890.93999999994</v>
      </c>
      <c r="E567" s="12" t="str">
        <f>IF(TOTALCO!E1096="", "",TOTALCO!E1096)</f>
        <v/>
      </c>
      <c r="F567" s="12">
        <f ca="1">IF(TOTALCO!F1096="", "",TOTALCO!F1096)</f>
        <v>402456.41479973914</v>
      </c>
      <c r="G567" s="12" t="str">
        <f>IF(TOTALCO!G1096="", "",TOTALCO!G1096)</f>
        <v/>
      </c>
      <c r="H567" s="12">
        <f ca="1">IF(TOTALCO!H1096="", "",TOTALCO!H1096)</f>
        <v>21279.63304969337</v>
      </c>
      <c r="I567" s="12">
        <f ca="1">IF(TOTALCO!I1096="", "",TOTALCO!I1096)</f>
        <v>40154.89215056743</v>
      </c>
      <c r="J567" s="12" t="str">
        <f>IF(TOTALCO!J1096="", "",TOTALCO!J1096)</f>
        <v/>
      </c>
      <c r="K567" s="12" t="str">
        <f>IF(TOTALCO!K1096="", "",TOTALCO!K1096)</f>
        <v/>
      </c>
      <c r="L567" s="12">
        <f ca="1">IF(TOTALCO!L1096="", "",TOTALCO!L1096)</f>
        <v>2.2123505157083159</v>
      </c>
      <c r="M567" s="12" t="str">
        <f>IF(TOTALCO!M1096="", "",TOTALCO!M1096)</f>
        <v/>
      </c>
      <c r="N567" s="12">
        <f ca="1">IF(TOTALCO!N1096="", "",TOTALCO!N1096)</f>
        <v>40152.679800051723</v>
      </c>
      <c r="O567" s="12">
        <f ca="1">IF(TOTALCO!O1096="", "",TOTALCO!O1096)</f>
        <v>13107.704264684922</v>
      </c>
      <c r="P567" s="12">
        <f ca="1">IF(TOTALCO!P1096="", "",TOTALCO!P1096)</f>
        <v>27044.975535366801</v>
      </c>
      <c r="Q567" s="12"/>
      <c r="R567" s="13"/>
    </row>
    <row r="568" spans="1:18" ht="15" x14ac:dyDescent="0.2">
      <c r="A568" s="382">
        <f>IF(TOTALCO!A1097="", "",TOTALCO!A1097)</f>
        <v>34</v>
      </c>
      <c r="B568" s="4" t="str">
        <f>IF(TOTALCO!B1097="", "",TOTALCO!B1097)</f>
        <v xml:space="preserve">      TOTAL ACCOUNT 928</v>
      </c>
      <c r="C568" s="4" t="str">
        <f>IF(TOTALCO!C1097="", "",TOTALCO!C1097)</f>
        <v/>
      </c>
      <c r="D568" s="12">
        <f ca="1">IF(TOTALCO!D1097="", "",TOTALCO!D1097)</f>
        <v>1800750.59</v>
      </c>
      <c r="E568" s="12" t="str">
        <f>IF(TOTALCO!E1097="", "",TOTALCO!E1097)</f>
        <v/>
      </c>
      <c r="F568" s="12">
        <f ca="1">IF(TOTALCO!F1097="", "",TOTALCO!F1097)</f>
        <v>1496158.2047997392</v>
      </c>
      <c r="G568" s="12" t="str">
        <f>IF(TOTALCO!G1097="", "",TOTALCO!G1097)</f>
        <v/>
      </c>
      <c r="H568" s="12">
        <f ca="1">IF(TOTALCO!H1097="", "",TOTALCO!H1097)</f>
        <v>246397.92304969337</v>
      </c>
      <c r="I568" s="12">
        <f ca="1">IF(TOTALCO!I1097="", "",TOTALCO!I1097)</f>
        <v>58194.462150567429</v>
      </c>
      <c r="J568" s="12" t="str">
        <f>IF(TOTALCO!J1097="", "",TOTALCO!J1097)</f>
        <v/>
      </c>
      <c r="K568" s="12" t="str">
        <f>IF(TOTALCO!K1097="", "",TOTALCO!K1097)</f>
        <v/>
      </c>
      <c r="L568" s="12">
        <f ca="1">IF(TOTALCO!L1097="", "",TOTALCO!L1097)</f>
        <v>2.2123505157083159</v>
      </c>
      <c r="M568" s="12" t="str">
        <f>IF(TOTALCO!M1097="", "",TOTALCO!M1097)</f>
        <v/>
      </c>
      <c r="N568" s="12">
        <f ca="1">IF(TOTALCO!N1097="", "",TOTALCO!N1097)</f>
        <v>58192.249800051723</v>
      </c>
      <c r="O568" s="12">
        <f ca="1">IF(TOTALCO!O1097="", "",TOTALCO!O1097)</f>
        <v>18951.935126870783</v>
      </c>
      <c r="P568" s="12">
        <f ca="1">IF(TOTALCO!P1097="", "",TOTALCO!P1097)</f>
        <v>39240.314673180939</v>
      </c>
      <c r="Q568" s="12"/>
      <c r="R568" s="13"/>
    </row>
    <row r="569" spans="1:18" ht="15" x14ac:dyDescent="0.2">
      <c r="A569" s="382" t="str">
        <f>IF(TOTALCO!A1098="", "",TOTALCO!A1098)</f>
        <v/>
      </c>
      <c r="B569" s="4" t="str">
        <f>IF(TOTALCO!B1098="", "",TOTALCO!B1098)</f>
        <v/>
      </c>
      <c r="C569" s="4" t="str">
        <f>IF(TOTALCO!C1098="", "",TOTALCO!C1098)</f>
        <v/>
      </c>
      <c r="D569" s="12" t="str">
        <f>IF(TOTALCO!D1098="", "",TOTALCO!D1098)</f>
        <v/>
      </c>
      <c r="E569" s="12" t="str">
        <f>IF(TOTALCO!E1098="", "",TOTALCO!E1098)</f>
        <v/>
      </c>
      <c r="F569" s="12" t="str">
        <f>IF(TOTALCO!F1098="", "",TOTALCO!F1098)</f>
        <v/>
      </c>
      <c r="G569" s="12" t="str">
        <f>IF(TOTALCO!G1098="", "",TOTALCO!G1098)</f>
        <v/>
      </c>
      <c r="H569" s="12" t="str">
        <f>IF(TOTALCO!H1098="", "",TOTALCO!H1098)</f>
        <v/>
      </c>
      <c r="I569" s="12" t="str">
        <f>IF(TOTALCO!I1098="", "",TOTALCO!I1098)</f>
        <v/>
      </c>
      <c r="J569" s="12" t="str">
        <f>IF(TOTALCO!J1098="", "",TOTALCO!J1098)</f>
        <v/>
      </c>
      <c r="K569" s="12" t="str">
        <f>IF(TOTALCO!K1098="", "",TOTALCO!K1098)</f>
        <v/>
      </c>
      <c r="L569" s="12" t="str">
        <f>IF(TOTALCO!L1098="", "",TOTALCO!L1098)</f>
        <v/>
      </c>
      <c r="M569" s="12" t="str">
        <f>IF(TOTALCO!M1098="", "",TOTALCO!M1098)</f>
        <v/>
      </c>
      <c r="N569" s="12" t="str">
        <f>IF(TOTALCO!N1098="", "",TOTALCO!N1098)</f>
        <v/>
      </c>
      <c r="O569" s="12" t="str">
        <f>IF(TOTALCO!O1098="", "",TOTALCO!O1098)</f>
        <v/>
      </c>
      <c r="P569" s="12" t="str">
        <f>IF(TOTALCO!P1098="", "",TOTALCO!P1098)</f>
        <v/>
      </c>
      <c r="Q569" s="12"/>
      <c r="R569" s="13"/>
    </row>
    <row r="570" spans="1:18" ht="15" x14ac:dyDescent="0.2">
      <c r="A570" s="382">
        <f>IF(TOTALCO!A1099="", "",TOTALCO!A1099)</f>
        <v>35</v>
      </c>
      <c r="B570" s="4" t="str">
        <f>IF(TOTALCO!B1099="", "",TOTALCO!B1099)</f>
        <v xml:space="preserve">  927-FRANCHISE NJ VA</v>
      </c>
      <c r="C570" s="4" t="str">
        <f>IF(TOTALCO!C1099="", "",TOTALCO!C1099)</f>
        <v>REVNJVA</v>
      </c>
      <c r="D570" s="12">
        <f ca="1">IF(TOTALCO!D1099="", "",TOTALCO!D1099)</f>
        <v>3751.98</v>
      </c>
      <c r="E570" s="12" t="str">
        <f>IF(TOTALCO!E1099="", "",TOTALCO!E1099)</f>
        <v/>
      </c>
      <c r="F570" s="12">
        <f ca="1">IF(TOTALCO!F1099="", "",TOTALCO!F1099)</f>
        <v>0</v>
      </c>
      <c r="G570" s="12" t="str">
        <f>IF(TOTALCO!G1099="", "",TOTALCO!G1099)</f>
        <v/>
      </c>
      <c r="H570" s="12">
        <f ca="1">IF(TOTALCO!H1099="", "",TOTALCO!H1099)</f>
        <v>3751.98</v>
      </c>
      <c r="I570" s="12">
        <f ca="1">IF(TOTALCO!I1099="", "",TOTALCO!I1099)</f>
        <v>0</v>
      </c>
      <c r="J570" s="12" t="str">
        <f>IF(TOTALCO!J1099="", "",TOTALCO!J1099)</f>
        <v/>
      </c>
      <c r="K570" s="12" t="str">
        <f>IF(TOTALCO!K1099="", "",TOTALCO!K1099)</f>
        <v/>
      </c>
      <c r="L570" s="12">
        <f ca="1">IF(TOTALCO!L1099="", "",TOTALCO!L1099)</f>
        <v>0</v>
      </c>
      <c r="M570" s="12" t="str">
        <f>IF(TOTALCO!M1099="", "",TOTALCO!M1099)</f>
        <v/>
      </c>
      <c r="N570" s="12">
        <f ca="1">IF(TOTALCO!N1099="", "",TOTALCO!N1099)</f>
        <v>0</v>
      </c>
      <c r="O570" s="12">
        <f ca="1">IF(TOTALCO!O1099="", "",TOTALCO!O1099)</f>
        <v>0</v>
      </c>
      <c r="P570" s="12">
        <f ca="1">IF(TOTALCO!P1099="", "",TOTALCO!P1099)</f>
        <v>0</v>
      </c>
      <c r="Q570" s="12"/>
      <c r="R570" s="13"/>
    </row>
    <row r="571" spans="1:18" ht="15" x14ac:dyDescent="0.2">
      <c r="A571" s="382" t="str">
        <f>IF(TOTALCO!A1100="", "",TOTALCO!A1100)</f>
        <v/>
      </c>
      <c r="B571" s="4" t="str">
        <f>IF(TOTALCO!B1100="", "",TOTALCO!B1100)</f>
        <v/>
      </c>
      <c r="C571" s="4" t="str">
        <f>IF(TOTALCO!C1100="", "",TOTALCO!C1100)</f>
        <v/>
      </c>
      <c r="D571" s="12" t="str">
        <f>IF(TOTALCO!D1100="", "",TOTALCO!D1100)</f>
        <v/>
      </c>
      <c r="E571" s="12" t="str">
        <f>IF(TOTALCO!E1100="", "",TOTALCO!E1100)</f>
        <v/>
      </c>
      <c r="F571" s="12" t="str">
        <f>IF(TOTALCO!F1100="", "",TOTALCO!F1100)</f>
        <v/>
      </c>
      <c r="G571" s="12" t="str">
        <f>IF(TOTALCO!G1100="", "",TOTALCO!G1100)</f>
        <v/>
      </c>
      <c r="H571" s="12" t="str">
        <f>IF(TOTALCO!H1100="", "",TOTALCO!H1100)</f>
        <v/>
      </c>
      <c r="I571" s="12" t="str">
        <f>IF(TOTALCO!I1100="", "",TOTALCO!I1100)</f>
        <v/>
      </c>
      <c r="J571" s="12" t="str">
        <f>IF(TOTALCO!J1100="", "",TOTALCO!J1100)</f>
        <v/>
      </c>
      <c r="K571" s="12" t="str">
        <f>IF(TOTALCO!K1100="", "",TOTALCO!K1100)</f>
        <v/>
      </c>
      <c r="L571" s="12" t="str">
        <f>IF(TOTALCO!L1100="", "",TOTALCO!L1100)</f>
        <v/>
      </c>
      <c r="M571" s="12" t="str">
        <f>IF(TOTALCO!M1100="", "",TOTALCO!M1100)</f>
        <v/>
      </c>
      <c r="N571" s="12" t="str">
        <f>IF(TOTALCO!N1100="", "",TOTALCO!N1100)</f>
        <v/>
      </c>
      <c r="O571" s="12" t="str">
        <f>IF(TOTALCO!O1100="", "",TOTALCO!O1100)</f>
        <v/>
      </c>
      <c r="P571" s="12" t="str">
        <f>IF(TOTALCO!P1100="", "",TOTALCO!P1100)</f>
        <v/>
      </c>
      <c r="Q571" s="12"/>
      <c r="R571" s="13"/>
    </row>
    <row r="572" spans="1:18" ht="15" x14ac:dyDescent="0.2">
      <c r="A572" s="382">
        <f>IF(TOTALCO!A1101="", "",TOTALCO!A1101)</f>
        <v>36</v>
      </c>
      <c r="B572" s="4" t="str">
        <f>IF(TOTALCO!B1101="", "",TOTALCO!B1101)</f>
        <v xml:space="preserve">  930-ASSOC DUES &amp; ADVERTISING</v>
      </c>
      <c r="C572" s="4" t="str">
        <f>IF(TOTALCO!C1101="", "",TOTALCO!C1101)</f>
        <v>ENERGY1</v>
      </c>
      <c r="D572" s="12">
        <f ca="1">IF(TOTALCO!D1101="", "",TOTALCO!D1101)</f>
        <v>1396664.09</v>
      </c>
      <c r="E572" s="12" t="str">
        <f>IF(TOTALCO!E1101="", "",TOTALCO!E1101)</f>
        <v/>
      </c>
      <c r="F572" s="12">
        <f ca="1">IF(TOTALCO!F1101="", "",TOTALCO!F1101)</f>
        <v>1326517.9832373534</v>
      </c>
      <c r="G572" s="12" t="str">
        <f>IF(TOTALCO!G1101="", "",TOTALCO!G1101)</f>
        <v/>
      </c>
      <c r="H572" s="12">
        <f ca="1">IF(TOTALCO!H1101="", "",TOTALCO!H1101)</f>
        <v>70138.814736388886</v>
      </c>
      <c r="I572" s="12">
        <f ca="1">IF(TOTALCO!I1101="", "",TOTALCO!I1101)</f>
        <v>7.2920262577298507</v>
      </c>
      <c r="J572" s="12" t="str">
        <f>IF(TOTALCO!J1101="", "",TOTALCO!J1101)</f>
        <v/>
      </c>
      <c r="K572" s="12" t="str">
        <f>IF(TOTALCO!K1101="", "",TOTALCO!K1101)</f>
        <v/>
      </c>
      <c r="L572" s="12">
        <f ca="1">IF(TOTALCO!L1101="", "",TOTALCO!L1101)</f>
        <v>7.2920262577298507</v>
      </c>
      <c r="M572" s="12" t="str">
        <f>IF(TOTALCO!M1101="", "",TOTALCO!M1101)</f>
        <v/>
      </c>
      <c r="N572" s="12">
        <f ca="1">IF(TOTALCO!N1101="", "",TOTALCO!N1101)</f>
        <v>0</v>
      </c>
      <c r="O572" s="12">
        <f ca="1">IF(TOTALCO!O1101="", "",TOTALCO!O1101)</f>
        <v>0</v>
      </c>
      <c r="P572" s="12">
        <f ca="1">IF(TOTALCO!P1101="", "",TOTALCO!P1101)</f>
        <v>0</v>
      </c>
      <c r="Q572" s="12"/>
      <c r="R572" s="13"/>
    </row>
    <row r="573" spans="1:18" ht="15" x14ac:dyDescent="0.2">
      <c r="A573" s="382" t="str">
        <f>IF(TOTALCO!A1102="", "",TOTALCO!A1102)</f>
        <v/>
      </c>
      <c r="B573" s="4" t="str">
        <f>IF(TOTALCO!B1102="", "",TOTALCO!B1102)</f>
        <v/>
      </c>
      <c r="C573" s="4" t="str">
        <f>IF(TOTALCO!C1102="", "",TOTALCO!C1102)</f>
        <v/>
      </c>
      <c r="D573" s="12" t="str">
        <f>IF(TOTALCO!D1102="", "",TOTALCO!D1102)</f>
        <v/>
      </c>
      <c r="E573" s="12" t="str">
        <f>IF(TOTALCO!E1102="", "",TOTALCO!E1102)</f>
        <v/>
      </c>
      <c r="F573" s="12" t="str">
        <f>IF(TOTALCO!F1102="", "",TOTALCO!F1102)</f>
        <v/>
      </c>
      <c r="G573" s="12" t="str">
        <f>IF(TOTALCO!G1102="", "",TOTALCO!G1102)</f>
        <v/>
      </c>
      <c r="H573" s="12" t="str">
        <f>IF(TOTALCO!H1102="", "",TOTALCO!H1102)</f>
        <v/>
      </c>
      <c r="I573" s="12" t="str">
        <f>IF(TOTALCO!I1102="", "",TOTALCO!I1102)</f>
        <v/>
      </c>
      <c r="J573" s="12" t="str">
        <f>IF(TOTALCO!J1102="", "",TOTALCO!J1102)</f>
        <v/>
      </c>
      <c r="K573" s="12" t="str">
        <f>IF(TOTALCO!K1102="", "",TOTALCO!K1102)</f>
        <v/>
      </c>
      <c r="L573" s="12" t="str">
        <f>IF(TOTALCO!L1102="", "",TOTALCO!L1102)</f>
        <v/>
      </c>
      <c r="M573" s="12" t="str">
        <f>IF(TOTALCO!M1102="", "",TOTALCO!M1102)</f>
        <v/>
      </c>
      <c r="N573" s="12" t="str">
        <f>IF(TOTALCO!N1102="", "",TOTALCO!N1102)</f>
        <v/>
      </c>
      <c r="O573" s="12" t="str">
        <f>IF(TOTALCO!O1102="", "",TOTALCO!O1102)</f>
        <v/>
      </c>
      <c r="P573" s="12" t="str">
        <f>IF(TOTALCO!P1102="", "",TOTALCO!P1102)</f>
        <v/>
      </c>
      <c r="Q573" s="12"/>
      <c r="R573" s="13"/>
    </row>
    <row r="574" spans="1:18" ht="15" x14ac:dyDescent="0.2">
      <c r="A574" s="382">
        <f>IF(TOTALCO!A1103="", "",TOTALCO!A1103)</f>
        <v>37</v>
      </c>
      <c r="B574" s="4" t="str">
        <f>IF(TOTALCO!B1103="", "",TOTALCO!B1103)</f>
        <v>TOTAL ADMINISTRATIVE &amp; GEN</v>
      </c>
      <c r="C574" s="4" t="str">
        <f>IF(TOTALCO!C1103="", "",TOTALCO!C1103)</f>
        <v/>
      </c>
      <c r="D574" s="12">
        <f ca="1">IF(TOTALCO!D1103="", "",TOTALCO!D1103)</f>
        <v>103626522.50999999</v>
      </c>
      <c r="E574" s="12" t="str">
        <f>IF(TOTALCO!E1103="", "",TOTALCO!E1103)</f>
        <v/>
      </c>
      <c r="F574" s="12">
        <f ca="1">IF(TOTALCO!F1103="", "",TOTALCO!F1103)</f>
        <v>93031575.562712044</v>
      </c>
      <c r="G574" s="12" t="str">
        <f>IF(TOTALCO!G1103="", "",TOTALCO!G1103)</f>
        <v/>
      </c>
      <c r="H574" s="12">
        <f ca="1">IF(TOTALCO!H1103="", "",TOTALCO!H1103)</f>
        <v>5878223.4390048729</v>
      </c>
      <c r="I574" s="12">
        <f ca="1">IF(TOTALCO!I1103="", "",TOTALCO!I1103)</f>
        <v>4716723.5082830722</v>
      </c>
      <c r="J574" s="12" t="str">
        <f>IF(TOTALCO!J1103="", "",TOTALCO!J1103)</f>
        <v/>
      </c>
      <c r="K574" s="12" t="str">
        <f>IF(TOTALCO!K1103="", "",TOTALCO!K1103)</f>
        <v/>
      </c>
      <c r="L574" s="12">
        <f ca="1">IF(TOTALCO!L1103="", "",TOTALCO!L1103)</f>
        <v>3118.0683717124462</v>
      </c>
      <c r="M574" s="12" t="str">
        <f>IF(TOTALCO!M1103="", "",TOTALCO!M1103)</f>
        <v/>
      </c>
      <c r="N574" s="12">
        <f ca="1">IF(TOTALCO!N1103="", "",TOTALCO!N1103)</f>
        <v>4713605.4399113599</v>
      </c>
      <c r="O574" s="12">
        <f ca="1">IF(TOTALCO!O1103="", "",TOTALCO!O1103)</f>
        <v>1529124.9274605478</v>
      </c>
      <c r="P574" s="12">
        <f ca="1">IF(TOTALCO!P1103="", "",TOTALCO!P1103)</f>
        <v>3184480.5124508124</v>
      </c>
      <c r="Q574" s="12"/>
      <c r="R574" s="13"/>
    </row>
    <row r="575" spans="1:18" ht="15" x14ac:dyDescent="0.2">
      <c r="A575" s="382" t="str">
        <f>IF(TOTALCO!A1104="", "",TOTALCO!A1104)</f>
        <v/>
      </c>
      <c r="B575" s="4" t="str">
        <f>IF(TOTALCO!B1104="", "",TOTALCO!B1104)</f>
        <v/>
      </c>
      <c r="C575" s="4" t="str">
        <f>IF(TOTALCO!C1104="", "",TOTALCO!C1104)</f>
        <v/>
      </c>
      <c r="D575" s="12" t="str">
        <f>IF(TOTALCO!D1104="", "",TOTALCO!D1104)</f>
        <v/>
      </c>
      <c r="E575" s="12" t="str">
        <f>IF(TOTALCO!E1104="", "",TOTALCO!E1104)</f>
        <v/>
      </c>
      <c r="F575" s="12" t="str">
        <f>IF(TOTALCO!F1104="", "",TOTALCO!F1104)</f>
        <v/>
      </c>
      <c r="G575" s="12" t="str">
        <f>IF(TOTALCO!G1104="", "",TOTALCO!G1104)</f>
        <v/>
      </c>
      <c r="H575" s="12" t="str">
        <f>IF(TOTALCO!H1104="", "",TOTALCO!H1104)</f>
        <v/>
      </c>
      <c r="I575" s="12" t="str">
        <f>IF(TOTALCO!I1104="", "",TOTALCO!I1104)</f>
        <v/>
      </c>
      <c r="J575" s="12" t="str">
        <f>IF(TOTALCO!J1104="", "",TOTALCO!J1104)</f>
        <v/>
      </c>
      <c r="K575" s="12" t="str">
        <f>IF(TOTALCO!K1104="", "",TOTALCO!K1104)</f>
        <v/>
      </c>
      <c r="L575" s="12" t="str">
        <f>IF(TOTALCO!L1104="", "",TOTALCO!L1104)</f>
        <v/>
      </c>
      <c r="M575" s="12" t="str">
        <f>IF(TOTALCO!M1104="", "",TOTALCO!M1104)</f>
        <v/>
      </c>
      <c r="N575" s="12" t="str">
        <f>IF(TOTALCO!N1104="", "",TOTALCO!N1104)</f>
        <v/>
      </c>
      <c r="O575" s="12" t="str">
        <f>IF(TOTALCO!O1104="", "",TOTALCO!O1104)</f>
        <v/>
      </c>
      <c r="P575" s="12" t="str">
        <f>IF(TOTALCO!P1104="", "",TOTALCO!P1104)</f>
        <v/>
      </c>
      <c r="Q575" s="12"/>
      <c r="R575" s="13"/>
    </row>
    <row r="576" spans="1:18" ht="15" x14ac:dyDescent="0.2">
      <c r="A576" s="382">
        <f>IF(TOTALCO!A1105="", "",TOTALCO!A1105)</f>
        <v>38</v>
      </c>
      <c r="B576" s="4" t="str">
        <f>IF(TOTALCO!B1105="", "",TOTALCO!B1105)</f>
        <v>TOTAL OPERATION &amp; MAINTENANCE</v>
      </c>
      <c r="C576" s="4" t="str">
        <f>IF(TOTALCO!C1105="", "",TOTALCO!C1105)</f>
        <v/>
      </c>
      <c r="D576" s="12">
        <f ca="1">IF(TOTALCO!D1105="", "",TOTALCO!D1105)</f>
        <v>980861389.39999998</v>
      </c>
      <c r="E576" s="12" t="str">
        <f>IF(TOTALCO!E1105="", "",TOTALCO!E1105)</f>
        <v/>
      </c>
      <c r="F576" s="12">
        <f ca="1">IF(TOTALCO!F1105="", "",TOTALCO!F1105)</f>
        <v>858787982.80655313</v>
      </c>
      <c r="G576" s="12" t="str">
        <f>IF(TOTALCO!G1105="", "",TOTALCO!G1105)</f>
        <v/>
      </c>
      <c r="H576" s="12">
        <f ca="1">IF(TOTALCO!H1105="", "",TOTALCO!H1105)</f>
        <v>49298743.593609117</v>
      </c>
      <c r="I576" s="12">
        <f ca="1">IF(TOTALCO!I1105="", "",TOTALCO!I1105)</f>
        <v>72774662.999837756</v>
      </c>
      <c r="J576" s="12" t="str">
        <f>IF(TOTALCO!J1105="", "",TOTALCO!J1105)</f>
        <v/>
      </c>
      <c r="K576" s="12" t="str">
        <f>IF(TOTALCO!K1105="", "",TOTALCO!K1105)</f>
        <v/>
      </c>
      <c r="L576" s="12">
        <f ca="1">IF(TOTALCO!L1105="", "",TOTALCO!L1105)</f>
        <v>14249.990768725833</v>
      </c>
      <c r="M576" s="12" t="str">
        <f>IF(TOTALCO!M1105="", "",TOTALCO!M1105)</f>
        <v/>
      </c>
      <c r="N576" s="12">
        <f ca="1">IF(TOTALCO!N1105="", "",TOTALCO!N1105)</f>
        <v>72760413.009069026</v>
      </c>
      <c r="O576" s="12">
        <f ca="1">IF(TOTALCO!O1105="", "",TOTALCO!O1105)</f>
        <v>23657671.477011081</v>
      </c>
      <c r="P576" s="12">
        <f ca="1">IF(TOTALCO!P1105="", "",TOTALCO!P1105)</f>
        <v>49102741.532057948</v>
      </c>
      <c r="Q576" s="12"/>
      <c r="R576" s="13"/>
    </row>
    <row r="577" spans="1:18" ht="15" x14ac:dyDescent="0.2">
      <c r="A577" s="382"/>
      <c r="B577" s="4"/>
      <c r="C577" s="4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3"/>
    </row>
    <row r="578" spans="1:18" ht="15" x14ac:dyDescent="0.2">
      <c r="A578" s="382"/>
      <c r="B578" s="4"/>
      <c r="C578" s="4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3"/>
    </row>
    <row r="579" spans="1:18" ht="15" x14ac:dyDescent="0.2">
      <c r="A579" s="382"/>
      <c r="B579" s="4"/>
      <c r="C579" s="4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3"/>
    </row>
    <row r="580" spans="1:18" ht="15" x14ac:dyDescent="0.2">
      <c r="A580" s="382" t="str">
        <f>IF(TOTALCO!A1109="", "",TOTALCO!A1109)</f>
        <v/>
      </c>
      <c r="B580" s="4" t="str">
        <f>IF(TOTALCO!B1109="", "",TOTALCO!B1109)</f>
        <v>DEPRECIATION &amp; AMORT EXPENSE</v>
      </c>
      <c r="C580" s="4" t="str">
        <f>IF(TOTALCO!C1109="", "",TOTALCO!C1109)</f>
        <v/>
      </c>
      <c r="D580" s="12" t="str">
        <f>IF(TOTALCO!D1109="", "",TOTALCO!D1109)</f>
        <v/>
      </c>
      <c r="E580" s="12" t="str">
        <f>IF(TOTALCO!E1109="", "",TOTALCO!E1109)</f>
        <v/>
      </c>
      <c r="F580" s="12" t="str">
        <f>IF(TOTALCO!F1109="", "",TOTALCO!F1109)</f>
        <v/>
      </c>
      <c r="G580" s="12" t="str">
        <f>IF(TOTALCO!G1109="", "",TOTALCO!G1109)</f>
        <v/>
      </c>
      <c r="H580" s="12" t="str">
        <f>IF(TOTALCO!H1109="", "",TOTALCO!H1109)</f>
        <v/>
      </c>
      <c r="I580" s="12" t="str">
        <f>IF(TOTALCO!I1109="", "",TOTALCO!I1109)</f>
        <v/>
      </c>
      <c r="J580" s="12" t="str">
        <f>IF(TOTALCO!J1109="", "",TOTALCO!J1109)</f>
        <v/>
      </c>
      <c r="K580" s="12" t="str">
        <f>IF(TOTALCO!K1109="", "",TOTALCO!K1109)</f>
        <v/>
      </c>
      <c r="L580" s="12" t="str">
        <f>IF(TOTALCO!L1109="", "",TOTALCO!L1109)</f>
        <v/>
      </c>
      <c r="M580" s="12" t="str">
        <f>IF(TOTALCO!M1109="", "",TOTALCO!M1109)</f>
        <v/>
      </c>
      <c r="N580" s="12" t="str">
        <f>IF(TOTALCO!N1109="", "",TOTALCO!N1109)</f>
        <v/>
      </c>
      <c r="O580" s="12" t="str">
        <f>IF(TOTALCO!O1109="", "",TOTALCO!O1109)</f>
        <v/>
      </c>
      <c r="P580" s="12" t="str">
        <f>IF(TOTALCO!P1109="", "",TOTALCO!P1109)</f>
        <v/>
      </c>
      <c r="Q580" s="12"/>
      <c r="R580" s="13"/>
    </row>
    <row r="581" spans="1:18" ht="15" x14ac:dyDescent="0.2">
      <c r="A581" s="382" t="str">
        <f>IF(TOTALCO!A1110="", "",TOTALCO!A1110)</f>
        <v/>
      </c>
      <c r="B581" s="4" t="str">
        <f>IF(TOTALCO!B1110="", "",TOTALCO!B1110)</f>
        <v/>
      </c>
      <c r="C581" s="4" t="str">
        <f>IF(TOTALCO!C1110="", "",TOTALCO!C1110)</f>
        <v/>
      </c>
      <c r="D581" s="12" t="str">
        <f>IF(TOTALCO!D1110="", "",TOTALCO!D1110)</f>
        <v/>
      </c>
      <c r="E581" s="12" t="str">
        <f>IF(TOTALCO!E1110="", "",TOTALCO!E1110)</f>
        <v/>
      </c>
      <c r="F581" s="12" t="str">
        <f>IF(TOTALCO!F1110="", "",TOTALCO!F1110)</f>
        <v/>
      </c>
      <c r="G581" s="12" t="str">
        <f>IF(TOTALCO!G1110="", "",TOTALCO!G1110)</f>
        <v/>
      </c>
      <c r="H581" s="12" t="str">
        <f>IF(TOTALCO!H1110="", "",TOTALCO!H1110)</f>
        <v/>
      </c>
      <c r="I581" s="12" t="str">
        <f>IF(TOTALCO!I1110="", "",TOTALCO!I1110)</f>
        <v/>
      </c>
      <c r="J581" s="12" t="str">
        <f>IF(TOTALCO!J1110="", "",TOTALCO!J1110)</f>
        <v/>
      </c>
      <c r="K581" s="12" t="str">
        <f>IF(TOTALCO!K1110="", "",TOTALCO!K1110)</f>
        <v/>
      </c>
      <c r="L581" s="12" t="str">
        <f>IF(TOTALCO!L1110="", "",TOTALCO!L1110)</f>
        <v/>
      </c>
      <c r="M581" s="12" t="str">
        <f>IF(TOTALCO!M1110="", "",TOTALCO!M1110)</f>
        <v/>
      </c>
      <c r="N581" s="12" t="str">
        <f>IF(TOTALCO!N1110="", "",TOTALCO!N1110)</f>
        <v/>
      </c>
      <c r="O581" s="12" t="str">
        <f>IF(TOTALCO!O1110="", "",TOTALCO!O1110)</f>
        <v/>
      </c>
      <c r="P581" s="12" t="str">
        <f>IF(TOTALCO!P1110="", "",TOTALCO!P1110)</f>
        <v/>
      </c>
      <c r="Q581" s="12"/>
      <c r="R581" s="13"/>
    </row>
    <row r="582" spans="1:18" ht="15" x14ac:dyDescent="0.2">
      <c r="A582" s="382" t="str">
        <f>IF(TOTALCO!A1111="", "",TOTALCO!A1111)</f>
        <v/>
      </c>
      <c r="B582" s="4" t="str">
        <f>IF(TOTALCO!B1111="", "",TOTALCO!B1111)</f>
        <v>DEPRECIATION EXPENSE</v>
      </c>
      <c r="C582" s="4" t="str">
        <f>IF(TOTALCO!C1111="", "",TOTALCO!C1111)</f>
        <v/>
      </c>
      <c r="D582" s="12" t="str">
        <f>IF(TOTALCO!D1111="", "",TOTALCO!D1111)</f>
        <v/>
      </c>
      <c r="E582" s="12" t="str">
        <f>IF(TOTALCO!E1111="", "",TOTALCO!E1111)</f>
        <v/>
      </c>
      <c r="F582" s="12" t="str">
        <f>IF(TOTALCO!F1111="", "",TOTALCO!F1111)</f>
        <v/>
      </c>
      <c r="G582" s="12" t="str">
        <f>IF(TOTALCO!G1111="", "",TOTALCO!G1111)</f>
        <v/>
      </c>
      <c r="H582" s="12" t="str">
        <f>IF(TOTALCO!H1111="", "",TOTALCO!H1111)</f>
        <v/>
      </c>
      <c r="I582" s="12" t="str">
        <f>IF(TOTALCO!I1111="", "",TOTALCO!I1111)</f>
        <v/>
      </c>
      <c r="J582" s="12" t="str">
        <f>IF(TOTALCO!J1111="", "",TOTALCO!J1111)</f>
        <v/>
      </c>
      <c r="K582" s="12" t="str">
        <f>IF(TOTALCO!K1111="", "",TOTALCO!K1111)</f>
        <v/>
      </c>
      <c r="L582" s="12" t="str">
        <f>IF(TOTALCO!L1111="", "",TOTALCO!L1111)</f>
        <v/>
      </c>
      <c r="M582" s="12" t="str">
        <f>IF(TOTALCO!M1111="", "",TOTALCO!M1111)</f>
        <v/>
      </c>
      <c r="N582" s="12" t="str">
        <f>IF(TOTALCO!N1111="", "",TOTALCO!N1111)</f>
        <v/>
      </c>
      <c r="O582" s="12" t="str">
        <f>IF(TOTALCO!O1111="", "",TOTALCO!O1111)</f>
        <v/>
      </c>
      <c r="P582" s="12" t="str">
        <f>IF(TOTALCO!P1111="", "",TOTALCO!P1111)</f>
        <v/>
      </c>
      <c r="Q582" s="12"/>
      <c r="R582" s="13"/>
    </row>
    <row r="583" spans="1:18" ht="15" x14ac:dyDescent="0.2">
      <c r="A583" s="382" t="str">
        <f>IF(TOTALCO!A1112="", "",TOTALCO!A1112)</f>
        <v/>
      </c>
      <c r="B583" s="4" t="str">
        <f>IF(TOTALCO!B1112="", "",TOTALCO!B1112)</f>
        <v/>
      </c>
      <c r="C583" s="4" t="str">
        <f>IF(TOTALCO!C1112="", "",TOTALCO!C1112)</f>
        <v/>
      </c>
      <c r="D583" s="12" t="str">
        <f>IF(TOTALCO!D1112="", "",TOTALCO!D1112)</f>
        <v/>
      </c>
      <c r="E583" s="12" t="str">
        <f>IF(TOTALCO!E1112="", "",TOTALCO!E1112)</f>
        <v/>
      </c>
      <c r="F583" s="12" t="str">
        <f>IF(TOTALCO!F1112="", "",TOTALCO!F1112)</f>
        <v/>
      </c>
      <c r="G583" s="12" t="str">
        <f>IF(TOTALCO!G1112="", "",TOTALCO!G1112)</f>
        <v/>
      </c>
      <c r="H583" s="12" t="str">
        <f>IF(TOTALCO!H1112="", "",TOTALCO!H1112)</f>
        <v/>
      </c>
      <c r="I583" s="12" t="str">
        <f>IF(TOTALCO!I1112="", "",TOTALCO!I1112)</f>
        <v/>
      </c>
      <c r="J583" s="12" t="str">
        <f>IF(TOTALCO!J1112="", "",TOTALCO!J1112)</f>
        <v/>
      </c>
      <c r="K583" s="12" t="str">
        <f>IF(TOTALCO!K1112="", "",TOTALCO!K1112)</f>
        <v/>
      </c>
      <c r="L583" s="12" t="str">
        <f>IF(TOTALCO!L1112="", "",TOTALCO!L1112)</f>
        <v/>
      </c>
      <c r="M583" s="12" t="str">
        <f>IF(TOTALCO!M1112="", "",TOTALCO!M1112)</f>
        <v/>
      </c>
      <c r="N583" s="12" t="str">
        <f>IF(TOTALCO!N1112="", "",TOTALCO!N1112)</f>
        <v/>
      </c>
      <c r="O583" s="12" t="str">
        <f>IF(TOTALCO!O1112="", "",TOTALCO!O1112)</f>
        <v/>
      </c>
      <c r="P583" s="12" t="str">
        <f>IF(TOTALCO!P1112="", "",TOTALCO!P1112)</f>
        <v/>
      </c>
      <c r="Q583" s="12"/>
      <c r="R583" s="13"/>
    </row>
    <row r="584" spans="1:18" ht="15" x14ac:dyDescent="0.2">
      <c r="A584" s="382" t="str">
        <f>IF(TOTALCO!A1113="", "",TOTALCO!A1113)</f>
        <v/>
      </c>
      <c r="B584" s="4" t="str">
        <f>IF(TOTALCO!B1113="", "",TOTALCO!B1113)</f>
        <v xml:space="preserve"> PRODUCTION PLANT</v>
      </c>
      <c r="C584" s="4" t="str">
        <f>IF(TOTALCO!C1113="", "",TOTALCO!C1113)</f>
        <v/>
      </c>
      <c r="D584" s="12" t="str">
        <f>IF(TOTALCO!D1113="", "",TOTALCO!D1113)</f>
        <v/>
      </c>
      <c r="E584" s="12" t="str">
        <f>IF(TOTALCO!E1113="", "",TOTALCO!E1113)</f>
        <v/>
      </c>
      <c r="F584" s="12" t="str">
        <f>IF(TOTALCO!F1113="", "",TOTALCO!F1113)</f>
        <v/>
      </c>
      <c r="G584" s="12" t="str">
        <f>IF(TOTALCO!G1113="", "",TOTALCO!G1113)</f>
        <v/>
      </c>
      <c r="H584" s="12" t="str">
        <f>IF(TOTALCO!H1113="", "",TOTALCO!H1113)</f>
        <v/>
      </c>
      <c r="I584" s="12" t="str">
        <f>IF(TOTALCO!I1113="", "",TOTALCO!I1113)</f>
        <v/>
      </c>
      <c r="J584" s="12" t="str">
        <f>IF(TOTALCO!J1113="", "",TOTALCO!J1113)</f>
        <v/>
      </c>
      <c r="K584" s="12" t="str">
        <f>IF(TOTALCO!K1113="", "",TOTALCO!K1113)</f>
        <v/>
      </c>
      <c r="L584" s="12" t="str">
        <f>IF(TOTALCO!L1113="", "",TOTALCO!L1113)</f>
        <v/>
      </c>
      <c r="M584" s="12" t="str">
        <f>IF(TOTALCO!M1113="", "",TOTALCO!M1113)</f>
        <v/>
      </c>
      <c r="N584" s="12" t="str">
        <f>IF(TOTALCO!N1113="", "",TOTALCO!N1113)</f>
        <v/>
      </c>
      <c r="O584" s="12" t="str">
        <f>IF(TOTALCO!O1113="", "",TOTALCO!O1113)</f>
        <v/>
      </c>
      <c r="P584" s="12" t="str">
        <f>IF(TOTALCO!P1113="", "",TOTALCO!P1113)</f>
        <v/>
      </c>
      <c r="Q584" s="12"/>
      <c r="R584" s="13"/>
    </row>
    <row r="585" spans="1:18" ht="15" x14ac:dyDescent="0.2">
      <c r="A585" s="382" t="str">
        <f>IF(TOTALCO!A1114="", "",TOTALCO!A1114)</f>
        <v/>
      </c>
      <c r="B585" s="4" t="str">
        <f>IF(TOTALCO!B1114="", "",TOTALCO!B1114)</f>
        <v xml:space="preserve">  STEAM PRODUCTION PLANT</v>
      </c>
      <c r="C585" s="4" t="str">
        <f>IF(TOTALCO!C1114="", "",TOTALCO!C1114)</f>
        <v/>
      </c>
      <c r="D585" s="12" t="str">
        <f>IF(TOTALCO!D1114="", "",TOTALCO!D1114)</f>
        <v/>
      </c>
      <c r="E585" s="12" t="str">
        <f>IF(TOTALCO!E1114="", "",TOTALCO!E1114)</f>
        <v/>
      </c>
      <c r="F585" s="12" t="str">
        <f>IF(TOTALCO!F1114="", "",TOTALCO!F1114)</f>
        <v/>
      </c>
      <c r="G585" s="12" t="str">
        <f>IF(TOTALCO!G1114="", "",TOTALCO!G1114)</f>
        <v/>
      </c>
      <c r="H585" s="12" t="str">
        <f>IF(TOTALCO!H1114="", "",TOTALCO!H1114)</f>
        <v/>
      </c>
      <c r="I585" s="12" t="str">
        <f>IF(TOTALCO!I1114="", "",TOTALCO!I1114)</f>
        <v/>
      </c>
      <c r="J585" s="12" t="str">
        <f>IF(TOTALCO!J1114="", "",TOTALCO!J1114)</f>
        <v/>
      </c>
      <c r="K585" s="12" t="str">
        <f>IF(TOTALCO!K1114="", "",TOTALCO!K1114)</f>
        <v/>
      </c>
      <c r="L585" s="12" t="str">
        <f>IF(TOTALCO!L1114="", "",TOTALCO!L1114)</f>
        <v/>
      </c>
      <c r="M585" s="12" t="str">
        <f>IF(TOTALCO!M1114="", "",TOTALCO!M1114)</f>
        <v/>
      </c>
      <c r="N585" s="12" t="str">
        <f>IF(TOTALCO!N1114="", "",TOTALCO!N1114)</f>
        <v/>
      </c>
      <c r="O585" s="12" t="str">
        <f>IF(TOTALCO!O1114="", "",TOTALCO!O1114)</f>
        <v/>
      </c>
      <c r="P585" s="12" t="str">
        <f>IF(TOTALCO!P1114="", "",TOTALCO!P1114)</f>
        <v/>
      </c>
      <c r="Q585" s="12"/>
      <c r="R585" s="13"/>
    </row>
    <row r="586" spans="1:18" ht="15" x14ac:dyDescent="0.2">
      <c r="A586" s="382">
        <f>IF(TOTALCO!A1115="", "",TOTALCO!A1115)</f>
        <v>1</v>
      </c>
      <c r="B586" s="4" t="str">
        <f>IF(TOTALCO!B1115="", "",TOTALCO!B1115)</f>
        <v xml:space="preserve">    SYSTEM</v>
      </c>
      <c r="C586" s="4" t="str">
        <f>IF(TOTALCO!C1115="", "",TOTALCO!C1115)</f>
        <v>STMSYS</v>
      </c>
      <c r="D586" s="12">
        <f ca="1">IF(TOTALCO!D1115="", "",TOTALCO!D1115)</f>
        <v>113654364.03</v>
      </c>
      <c r="E586" s="12" t="str">
        <f>IF(TOTALCO!E1115="", "",TOTALCO!E1115)</f>
        <v/>
      </c>
      <c r="F586" s="12">
        <f ca="1">IF(TOTALCO!F1115="", "",TOTALCO!F1115)</f>
        <v>98366735.202722415</v>
      </c>
      <c r="G586" s="12" t="str">
        <f>IF(TOTALCO!G1115="", "",TOTALCO!G1115)</f>
        <v/>
      </c>
      <c r="H586" s="12">
        <f ca="1">IF(TOTALCO!H1115="", "",TOTALCO!H1115)</f>
        <v>5776786.3598219603</v>
      </c>
      <c r="I586" s="12">
        <f ca="1">IF(TOTALCO!I1115="", "",TOTALCO!I1115)</f>
        <v>9510842.4674556181</v>
      </c>
      <c r="J586" s="12" t="str">
        <f>IF(TOTALCO!J1115="", "",TOTALCO!J1115)</f>
        <v/>
      </c>
      <c r="K586" s="12" t="str">
        <f>IF(TOTALCO!K1115="", "",TOTALCO!K1115)</f>
        <v/>
      </c>
      <c r="L586" s="12">
        <f ca="1">IF(TOTALCO!L1115="", "",TOTALCO!L1115)</f>
        <v>869.73597708852162</v>
      </c>
      <c r="M586" s="12" t="str">
        <f>IF(TOTALCO!M1115="", "",TOTALCO!M1115)</f>
        <v/>
      </c>
      <c r="N586" s="12">
        <f ca="1">IF(TOTALCO!N1115="", "",TOTALCO!N1115)</f>
        <v>9509972.7314785291</v>
      </c>
      <c r="O586" s="12">
        <f ca="1">IF(TOTALCO!O1115="", "",TOTALCO!O1115)</f>
        <v>2967352.7818309446</v>
      </c>
      <c r="P586" s="12">
        <f ca="1">IF(TOTALCO!P1115="", "",TOTALCO!P1115)</f>
        <v>6542619.9496475849</v>
      </c>
      <c r="Q586" s="12"/>
      <c r="R586" s="13"/>
    </row>
    <row r="587" spans="1:18" ht="15" x14ac:dyDescent="0.2">
      <c r="A587" s="382">
        <f>IF(TOTALCO!A1116="", "",TOTALCO!A1116)</f>
        <v>2</v>
      </c>
      <c r="B587" s="4" t="str">
        <f>IF(TOTALCO!B1116="", "",TOTALCO!B1116)</f>
        <v xml:space="preserve">    FERC-AFUDC PRE</v>
      </c>
      <c r="C587" s="4" t="str">
        <f>IF(TOTALCO!C1116="", "",TOTALCO!C1116)</f>
        <v>DEMFERC</v>
      </c>
      <c r="D587" s="12">
        <f ca="1">IF(TOTALCO!D1116="", "",TOTALCO!D1116)</f>
        <v>422037.5</v>
      </c>
      <c r="E587" s="12" t="str">
        <f>IF(TOTALCO!E1116="", "",TOTALCO!E1116)</f>
        <v/>
      </c>
      <c r="F587" s="12">
        <f ca="1">IF(TOTALCO!F1116="", "",TOTALCO!F1116)</f>
        <v>0</v>
      </c>
      <c r="G587" s="12" t="str">
        <f>IF(TOTALCO!G1116="", "",TOTALCO!G1116)</f>
        <v/>
      </c>
      <c r="H587" s="12">
        <f ca="1">IF(TOTALCO!H1116="", "",TOTALCO!H1116)</f>
        <v>159485.76534582849</v>
      </c>
      <c r="I587" s="12">
        <f ca="1">IF(TOTALCO!I1116="", "",TOTALCO!I1116)</f>
        <v>262551.73465417151</v>
      </c>
      <c r="J587" s="12" t="str">
        <f>IF(TOTALCO!J1116="", "",TOTALCO!J1116)</f>
        <v/>
      </c>
      <c r="K587" s="12" t="str">
        <f>IF(TOTALCO!K1116="", "",TOTALCO!K1116)</f>
        <v/>
      </c>
      <c r="L587" s="12">
        <f ca="1">IF(TOTALCO!L1116="", "",TOTALCO!L1116)</f>
        <v>0</v>
      </c>
      <c r="M587" s="12" t="str">
        <f>IF(TOTALCO!M1116="", "",TOTALCO!M1116)</f>
        <v/>
      </c>
      <c r="N587" s="12">
        <f ca="1">IF(TOTALCO!N1116="", "",TOTALCO!N1116)</f>
        <v>262551.73465417151</v>
      </c>
      <c r="O587" s="12">
        <f ca="1">IF(TOTALCO!O1116="", "",TOTALCO!O1116)</f>
        <v>81922.802745983339</v>
      </c>
      <c r="P587" s="12">
        <f ca="1">IF(TOTALCO!P1116="", "",TOTALCO!P1116)</f>
        <v>180628.93190818815</v>
      </c>
      <c r="Q587" s="12"/>
      <c r="R587" s="13"/>
    </row>
    <row r="588" spans="1:18" ht="15" x14ac:dyDescent="0.2">
      <c r="A588" s="382">
        <f>IF(TOTALCO!A1117="", "",TOTALCO!A1117)</f>
        <v>3</v>
      </c>
      <c r="B588" s="4" t="str">
        <f>IF(TOTALCO!B1117="", "",TOTALCO!B1117)</f>
        <v xml:space="preserve">    FERC-AFUDC POST</v>
      </c>
      <c r="C588" s="4" t="str">
        <f>IF(TOTALCO!C1117="", "",TOTALCO!C1117)</f>
        <v>DEMFERCP</v>
      </c>
      <c r="D588" s="12">
        <f ca="1">IF(TOTALCO!D1117="", "",TOTALCO!D1117)</f>
        <v>755124</v>
      </c>
      <c r="E588" s="12" t="str">
        <f>IF(TOTALCO!E1117="", "",TOTALCO!E1117)</f>
        <v/>
      </c>
      <c r="F588" s="12">
        <f ca="1">IF(TOTALCO!F1117="", "",TOTALCO!F1117)</f>
        <v>0</v>
      </c>
      <c r="G588" s="12" t="str">
        <f>IF(TOTALCO!G1117="", "",TOTALCO!G1117)</f>
        <v/>
      </c>
      <c r="H588" s="12">
        <f ca="1">IF(TOTALCO!H1117="", "",TOTALCO!H1117)</f>
        <v>0</v>
      </c>
      <c r="I588" s="12">
        <f ca="1">IF(TOTALCO!I1117="", "",TOTALCO!I1117)</f>
        <v>755124</v>
      </c>
      <c r="J588" s="12" t="str">
        <f>IF(TOTALCO!J1117="", "",TOTALCO!J1117)</f>
        <v/>
      </c>
      <c r="K588" s="12" t="str">
        <f>IF(TOTALCO!K1117="", "",TOTALCO!K1117)</f>
        <v/>
      </c>
      <c r="L588" s="12">
        <f ca="1">IF(TOTALCO!L1117="", "",TOTALCO!L1117)</f>
        <v>0</v>
      </c>
      <c r="M588" s="12" t="str">
        <f>IF(TOTALCO!M1117="", "",TOTALCO!M1117)</f>
        <v/>
      </c>
      <c r="N588" s="12">
        <f ca="1">IF(TOTALCO!N1117="", "",TOTALCO!N1117)</f>
        <v>755124</v>
      </c>
      <c r="O588" s="12">
        <f ca="1">IF(TOTALCO!O1117="", "",TOTALCO!O1117)</f>
        <v>235617.84721110787</v>
      </c>
      <c r="P588" s="12">
        <f ca="1">IF(TOTALCO!P1117="", "",TOTALCO!P1117)</f>
        <v>519506.1527888921</v>
      </c>
      <c r="Q588" s="12"/>
      <c r="R588" s="13"/>
    </row>
    <row r="589" spans="1:18" ht="15" x14ac:dyDescent="0.2">
      <c r="A589" s="382">
        <f>IF(TOTALCO!A1118="", "",TOTALCO!A1118)</f>
        <v>4</v>
      </c>
      <c r="B589" s="4" t="str">
        <f>IF(TOTALCO!B1118="", "",TOTALCO!B1118)</f>
        <v xml:space="preserve">     TOTAL STEAM PROD PLT</v>
      </c>
      <c r="C589" s="4" t="str">
        <f>IF(TOTALCO!C1118="", "",TOTALCO!C1118)</f>
        <v/>
      </c>
      <c r="D589" s="12">
        <f ca="1">IF(TOTALCO!D1118="", "",TOTALCO!D1118)</f>
        <v>114831525.53</v>
      </c>
      <c r="E589" s="12" t="str">
        <f>IF(TOTALCO!E1118="", "",TOTALCO!E1118)</f>
        <v/>
      </c>
      <c r="F589" s="12">
        <f ca="1">IF(TOTALCO!F1118="", "",TOTALCO!F1118)</f>
        <v>98366735.202722415</v>
      </c>
      <c r="G589" s="12" t="str">
        <f>IF(TOTALCO!G1118="", "",TOTALCO!G1118)</f>
        <v/>
      </c>
      <c r="H589" s="12">
        <f ca="1">IF(TOTALCO!H1118="", "",TOTALCO!H1118)</f>
        <v>5936272.1251677889</v>
      </c>
      <c r="I589" s="12">
        <f ca="1">IF(TOTALCO!I1118="", "",TOTALCO!I1118)</f>
        <v>10528518.202109791</v>
      </c>
      <c r="J589" s="12" t="str">
        <f>IF(TOTALCO!J1118="", "",TOTALCO!J1118)</f>
        <v/>
      </c>
      <c r="K589" s="12" t="str">
        <f>IF(TOTALCO!K1118="", "",TOTALCO!K1118)</f>
        <v/>
      </c>
      <c r="L589" s="12">
        <f ca="1">IF(TOTALCO!L1118="", "",TOTALCO!L1118)</f>
        <v>869.73597708852162</v>
      </c>
      <c r="M589" s="12" t="str">
        <f>IF(TOTALCO!M1118="", "",TOTALCO!M1118)</f>
        <v/>
      </c>
      <c r="N589" s="12">
        <f ca="1">IF(TOTALCO!N1118="", "",TOTALCO!N1118)</f>
        <v>10527648.466132702</v>
      </c>
      <c r="O589" s="12">
        <f ca="1">IF(TOTALCO!O1118="", "",TOTALCO!O1118)</f>
        <v>3284893.4317880361</v>
      </c>
      <c r="P589" s="12">
        <f ca="1">IF(TOTALCO!P1118="", "",TOTALCO!P1118)</f>
        <v>7242755.0343446657</v>
      </c>
      <c r="Q589" s="12"/>
      <c r="R589" s="13"/>
    </row>
    <row r="590" spans="1:18" ht="15" x14ac:dyDescent="0.2">
      <c r="A590" s="382" t="str">
        <f>IF(TOTALCO!A1119="", "",TOTALCO!A1119)</f>
        <v/>
      </c>
      <c r="B590" s="4" t="str">
        <f>IF(TOTALCO!B1119="", "",TOTALCO!B1119)</f>
        <v/>
      </c>
      <c r="C590" s="4" t="str">
        <f>IF(TOTALCO!C1119="", "",TOTALCO!C1119)</f>
        <v/>
      </c>
      <c r="D590" s="12" t="str">
        <f>IF(TOTALCO!D1119="", "",TOTALCO!D1119)</f>
        <v/>
      </c>
      <c r="E590" s="12" t="str">
        <f>IF(TOTALCO!E1119="", "",TOTALCO!E1119)</f>
        <v/>
      </c>
      <c r="F590" s="12" t="str">
        <f>IF(TOTALCO!F1119="", "",TOTALCO!F1119)</f>
        <v/>
      </c>
      <c r="G590" s="12" t="str">
        <f>IF(TOTALCO!G1119="", "",TOTALCO!G1119)</f>
        <v/>
      </c>
      <c r="H590" s="12" t="str">
        <f>IF(TOTALCO!H1119="", "",TOTALCO!H1119)</f>
        <v/>
      </c>
      <c r="I590" s="12" t="str">
        <f>IF(TOTALCO!I1119="", "",TOTALCO!I1119)</f>
        <v/>
      </c>
      <c r="J590" s="12" t="str">
        <f>IF(TOTALCO!J1119="", "",TOTALCO!J1119)</f>
        <v/>
      </c>
      <c r="K590" s="12" t="str">
        <f>IF(TOTALCO!K1119="", "",TOTALCO!K1119)</f>
        <v/>
      </c>
      <c r="L590" s="12" t="str">
        <f>IF(TOTALCO!L1119="", "",TOTALCO!L1119)</f>
        <v/>
      </c>
      <c r="M590" s="12" t="str">
        <f>IF(TOTALCO!M1119="", "",TOTALCO!M1119)</f>
        <v/>
      </c>
      <c r="N590" s="12" t="str">
        <f>IF(TOTALCO!N1119="", "",TOTALCO!N1119)</f>
        <v/>
      </c>
      <c r="O590" s="12" t="str">
        <f>IF(TOTALCO!O1119="", "",TOTALCO!O1119)</f>
        <v/>
      </c>
      <c r="P590" s="12" t="str">
        <f>IF(TOTALCO!P1119="", "",TOTALCO!P1119)</f>
        <v/>
      </c>
      <c r="Q590" s="12"/>
      <c r="R590" s="13"/>
    </row>
    <row r="591" spans="1:18" ht="15" x14ac:dyDescent="0.2">
      <c r="A591" s="382" t="str">
        <f>IF(TOTALCO!A1120="", "",TOTALCO!A1120)</f>
        <v/>
      </c>
      <c r="B591" s="4" t="str">
        <f>IF(TOTALCO!B1120="", "",TOTALCO!B1120)</f>
        <v xml:space="preserve">  HYDRAULIC PRODUCTION PLANT</v>
      </c>
      <c r="C591" s="4" t="str">
        <f>IF(TOTALCO!C1120="", "",TOTALCO!C1120)</f>
        <v/>
      </c>
      <c r="D591" s="12" t="str">
        <f>IF(TOTALCO!D1120="", "",TOTALCO!D1120)</f>
        <v/>
      </c>
      <c r="E591" s="12" t="str">
        <f>IF(TOTALCO!E1120="", "",TOTALCO!E1120)</f>
        <v/>
      </c>
      <c r="F591" s="12" t="str">
        <f>IF(TOTALCO!F1120="", "",TOTALCO!F1120)</f>
        <v/>
      </c>
      <c r="G591" s="12" t="str">
        <f>IF(TOTALCO!G1120="", "",TOTALCO!G1120)</f>
        <v/>
      </c>
      <c r="H591" s="12" t="str">
        <f>IF(TOTALCO!H1120="", "",TOTALCO!H1120)</f>
        <v/>
      </c>
      <c r="I591" s="12" t="str">
        <f>IF(TOTALCO!I1120="", "",TOTALCO!I1120)</f>
        <v/>
      </c>
      <c r="J591" s="12" t="str">
        <f>IF(TOTALCO!J1120="", "",TOTALCO!J1120)</f>
        <v/>
      </c>
      <c r="K591" s="12" t="str">
        <f>IF(TOTALCO!K1120="", "",TOTALCO!K1120)</f>
        <v/>
      </c>
      <c r="L591" s="12" t="str">
        <f>IF(TOTALCO!L1120="", "",TOTALCO!L1120)</f>
        <v/>
      </c>
      <c r="M591" s="12" t="str">
        <f>IF(TOTALCO!M1120="", "",TOTALCO!M1120)</f>
        <v/>
      </c>
      <c r="N591" s="12" t="str">
        <f>IF(TOTALCO!N1120="", "",TOTALCO!N1120)</f>
        <v/>
      </c>
      <c r="O591" s="12" t="str">
        <f>IF(TOTALCO!O1120="", "",TOTALCO!O1120)</f>
        <v/>
      </c>
      <c r="P591" s="12" t="str">
        <f>IF(TOTALCO!P1120="", "",TOTALCO!P1120)</f>
        <v/>
      </c>
      <c r="Q591" s="12"/>
      <c r="R591" s="13"/>
    </row>
    <row r="592" spans="1:18" ht="15" x14ac:dyDescent="0.2">
      <c r="A592" s="382">
        <f>IF(TOTALCO!A1121="", "",TOTALCO!A1121)</f>
        <v>5</v>
      </c>
      <c r="B592" s="4" t="str">
        <f>IF(TOTALCO!B1121="", "",TOTALCO!B1121)</f>
        <v xml:space="preserve">    SYSTEM</v>
      </c>
      <c r="C592" s="4" t="str">
        <f>IF(TOTALCO!C1121="", "",TOTALCO!C1121)</f>
        <v>HYDSYS</v>
      </c>
      <c r="D592" s="12">
        <f ca="1">IF(TOTALCO!D1121="", "",TOTALCO!D1121)</f>
        <v>150127.51</v>
      </c>
      <c r="E592" s="12" t="str">
        <f>IF(TOTALCO!E1121="", "",TOTALCO!E1121)</f>
        <v/>
      </c>
      <c r="F592" s="12">
        <f ca="1">IF(TOTALCO!F1121="", "",TOTALCO!F1121)</f>
        <v>129933.88462334844</v>
      </c>
      <c r="G592" s="12" t="str">
        <f>IF(TOTALCO!G1121="", "",TOTALCO!G1121)</f>
        <v/>
      </c>
      <c r="H592" s="12">
        <f ca="1">IF(TOTALCO!H1121="", "",TOTALCO!H1121)</f>
        <v>7630.6313391812746</v>
      </c>
      <c r="I592" s="12">
        <f ca="1">IF(TOTALCO!I1121="", "",TOTALCO!I1121)</f>
        <v>12562.994037470293</v>
      </c>
      <c r="J592" s="12" t="str">
        <f>IF(TOTALCO!J1121="", "",TOTALCO!J1121)</f>
        <v/>
      </c>
      <c r="K592" s="12" t="str">
        <f>IF(TOTALCO!K1121="", "",TOTALCO!K1121)</f>
        <v/>
      </c>
      <c r="L592" s="12">
        <f ca="1">IF(TOTALCO!L1121="", "",TOTALCO!L1121)</f>
        <v>1.1488454289643595</v>
      </c>
      <c r="M592" s="12" t="str">
        <f>IF(TOTALCO!M1121="", "",TOTALCO!M1121)</f>
        <v/>
      </c>
      <c r="N592" s="12">
        <f ca="1">IF(TOTALCO!N1121="", "",TOTALCO!N1121)</f>
        <v>12561.845192041328</v>
      </c>
      <c r="O592" s="12">
        <f ca="1">IF(TOTALCO!O1121="", "",TOTALCO!O1121)</f>
        <v>3919.6144224630443</v>
      </c>
      <c r="P592" s="12">
        <f ca="1">IF(TOTALCO!P1121="", "",TOTALCO!P1121)</f>
        <v>8642.2307695782838</v>
      </c>
      <c r="Q592" s="12"/>
      <c r="R592" s="13"/>
    </row>
    <row r="593" spans="1:18" ht="15" x14ac:dyDescent="0.2">
      <c r="A593" s="382">
        <f>IF(TOTALCO!A1122="", "",TOTALCO!A1122)</f>
        <v>6</v>
      </c>
      <c r="B593" s="4" t="str">
        <f>IF(TOTALCO!B1122="", "",TOTALCO!B1122)</f>
        <v xml:space="preserve">    FERC-AFUDC PRE</v>
      </c>
      <c r="C593" s="4" t="str">
        <f>IF(TOTALCO!C1122="", "",TOTALCO!C1122)</f>
        <v>DEMFERC</v>
      </c>
      <c r="D593" s="12">
        <f ca="1">IF(TOTALCO!D1122="", "",TOTALCO!D1122)</f>
        <v>6</v>
      </c>
      <c r="E593" s="12" t="str">
        <f>IF(TOTALCO!E1122="", "",TOTALCO!E1122)</f>
        <v/>
      </c>
      <c r="F593" s="12">
        <f ca="1">IF(TOTALCO!F1122="", "",TOTALCO!F1122)</f>
        <v>0</v>
      </c>
      <c r="G593" s="12" t="str">
        <f>IF(TOTALCO!G1122="", "",TOTALCO!G1122)</f>
        <v/>
      </c>
      <c r="H593" s="12">
        <f ca="1">IF(TOTALCO!H1122="", "",TOTALCO!H1122)</f>
        <v>2.2673686392203796</v>
      </c>
      <c r="I593" s="12">
        <f ca="1">IF(TOTALCO!I1122="", "",TOTALCO!I1122)</f>
        <v>3.73263136077962</v>
      </c>
      <c r="J593" s="12" t="str">
        <f>IF(TOTALCO!J1122="", "",TOTALCO!J1122)</f>
        <v/>
      </c>
      <c r="K593" s="12" t="str">
        <f>IF(TOTALCO!K1122="", "",TOTALCO!K1122)</f>
        <v/>
      </c>
      <c r="L593" s="12">
        <f ca="1">IF(TOTALCO!L1122="", "",TOTALCO!L1122)</f>
        <v>0</v>
      </c>
      <c r="M593" s="12" t="str">
        <f>IF(TOTALCO!M1122="", "",TOTALCO!M1122)</f>
        <v/>
      </c>
      <c r="N593" s="12">
        <f ca="1">IF(TOTALCO!N1122="", "",TOTALCO!N1122)</f>
        <v>3.73263136077962</v>
      </c>
      <c r="O593" s="12">
        <f ca="1">IF(TOTALCO!O1122="", "",TOTALCO!O1122)</f>
        <v>1.1646756898993573</v>
      </c>
      <c r="P593" s="12">
        <f ca="1">IF(TOTALCO!P1122="", "",TOTALCO!P1122)</f>
        <v>2.5679556708802629</v>
      </c>
      <c r="Q593" s="12"/>
      <c r="R593" s="13"/>
    </row>
    <row r="594" spans="1:18" ht="15" x14ac:dyDescent="0.2">
      <c r="A594" s="382">
        <f>IF(TOTALCO!A1123="", "",TOTALCO!A1123)</f>
        <v>7</v>
      </c>
      <c r="B594" s="4" t="str">
        <f>IF(TOTALCO!B1123="", "",TOTALCO!B1123)</f>
        <v xml:space="preserve">    FERC-AFUDC POST</v>
      </c>
      <c r="C594" s="4" t="str">
        <f>IF(TOTALCO!C1123="", "",TOTALCO!C1123)</f>
        <v>DEMFERCP</v>
      </c>
      <c r="D594" s="12">
        <f ca="1">IF(TOTALCO!D1123="", "",TOTALCO!D1123)</f>
        <v>413.99999999999994</v>
      </c>
      <c r="E594" s="12" t="str">
        <f>IF(TOTALCO!E1123="", "",TOTALCO!E1123)</f>
        <v/>
      </c>
      <c r="F594" s="12">
        <f ca="1">IF(TOTALCO!F1123="", "",TOTALCO!F1123)</f>
        <v>0</v>
      </c>
      <c r="G594" s="12" t="str">
        <f>IF(TOTALCO!G1123="", "",TOTALCO!G1123)</f>
        <v/>
      </c>
      <c r="H594" s="12">
        <f ca="1">IF(TOTALCO!H1123="", "",TOTALCO!H1123)</f>
        <v>0</v>
      </c>
      <c r="I594" s="12">
        <f ca="1">IF(TOTALCO!I1123="", "",TOTALCO!I1123)</f>
        <v>413.99999999999994</v>
      </c>
      <c r="J594" s="12" t="str">
        <f>IF(TOTALCO!J1123="", "",TOTALCO!J1123)</f>
        <v/>
      </c>
      <c r="K594" s="12" t="str">
        <f>IF(TOTALCO!K1123="", "",TOTALCO!K1123)</f>
        <v/>
      </c>
      <c r="L594" s="12">
        <f ca="1">IF(TOTALCO!L1123="", "",TOTALCO!L1123)</f>
        <v>0</v>
      </c>
      <c r="M594" s="12" t="str">
        <f>IF(TOTALCO!M1123="", "",TOTALCO!M1123)</f>
        <v/>
      </c>
      <c r="N594" s="12">
        <f ca="1">IF(TOTALCO!N1123="", "",TOTALCO!N1123)</f>
        <v>413.99999999999994</v>
      </c>
      <c r="O594" s="12">
        <f ca="1">IF(TOTALCO!O1123="", "",TOTALCO!O1123)</f>
        <v>129.17850412038109</v>
      </c>
      <c r="P594" s="12">
        <f ca="1">IF(TOTALCO!P1123="", "",TOTALCO!P1123)</f>
        <v>284.82149587961885</v>
      </c>
      <c r="Q594" s="12"/>
      <c r="R594" s="13"/>
    </row>
    <row r="595" spans="1:18" ht="15" x14ac:dyDescent="0.2">
      <c r="A595" s="382">
        <f>IF(TOTALCO!A1124="", "",TOTALCO!A1124)</f>
        <v>8</v>
      </c>
      <c r="B595" s="4" t="str">
        <f>IF(TOTALCO!B1124="", "",TOTALCO!B1124)</f>
        <v xml:space="preserve">     TOTAL HYDRO PROD PLT</v>
      </c>
      <c r="C595" s="4" t="str">
        <f>IF(TOTALCO!C1124="", "",TOTALCO!C1124)</f>
        <v/>
      </c>
      <c r="D595" s="12">
        <f ca="1">IF(TOTALCO!D1124="", "",TOTALCO!D1124)</f>
        <v>150547.51</v>
      </c>
      <c r="E595" s="12" t="str">
        <f>IF(TOTALCO!E1124="", "",TOTALCO!E1124)</f>
        <v/>
      </c>
      <c r="F595" s="12">
        <f ca="1">IF(TOTALCO!F1124="", "",TOTALCO!F1124)</f>
        <v>129933.88462334844</v>
      </c>
      <c r="G595" s="12" t="str">
        <f>IF(TOTALCO!G1124="", "",TOTALCO!G1124)</f>
        <v/>
      </c>
      <c r="H595" s="12">
        <f ca="1">IF(TOTALCO!H1124="", "",TOTALCO!H1124)</f>
        <v>7632.8987078204946</v>
      </c>
      <c r="I595" s="12">
        <f ca="1">IF(TOTALCO!I1124="", "",TOTALCO!I1124)</f>
        <v>12980.726668831072</v>
      </c>
      <c r="J595" s="12" t="str">
        <f>IF(TOTALCO!J1124="", "",TOTALCO!J1124)</f>
        <v/>
      </c>
      <c r="K595" s="12" t="str">
        <f>IF(TOTALCO!K1124="", "",TOTALCO!K1124)</f>
        <v/>
      </c>
      <c r="L595" s="12">
        <f ca="1">IF(TOTALCO!L1124="", "",TOTALCO!L1124)</f>
        <v>1.1488454289643595</v>
      </c>
      <c r="M595" s="12" t="str">
        <f>IF(TOTALCO!M1124="", "",TOTALCO!M1124)</f>
        <v/>
      </c>
      <c r="N595" s="12">
        <f ca="1">IF(TOTALCO!N1124="", "",TOTALCO!N1124)</f>
        <v>12979.577823402107</v>
      </c>
      <c r="O595" s="12">
        <f ca="1">IF(TOTALCO!O1124="", "",TOTALCO!O1124)</f>
        <v>4049.9576022733249</v>
      </c>
      <c r="P595" s="12">
        <f ca="1">IF(TOTALCO!P1124="", "",TOTALCO!P1124)</f>
        <v>8929.6202211287818</v>
      </c>
      <c r="Q595" s="12"/>
      <c r="R595" s="13"/>
    </row>
    <row r="596" spans="1:18" ht="15" x14ac:dyDescent="0.2">
      <c r="A596" s="382" t="str">
        <f>IF(TOTALCO!A1125="", "",TOTALCO!A1125)</f>
        <v/>
      </c>
      <c r="B596" s="4" t="str">
        <f>IF(TOTALCO!B1125="", "",TOTALCO!B1125)</f>
        <v/>
      </c>
      <c r="C596" s="4" t="str">
        <f>IF(TOTALCO!C1125="", "",TOTALCO!C1125)</f>
        <v/>
      </c>
      <c r="D596" s="12" t="str">
        <f>IF(TOTALCO!D1125="", "",TOTALCO!D1125)</f>
        <v/>
      </c>
      <c r="E596" s="12" t="str">
        <f>IF(TOTALCO!E1125="", "",TOTALCO!E1125)</f>
        <v/>
      </c>
      <c r="F596" s="12" t="str">
        <f>IF(TOTALCO!F1125="", "",TOTALCO!F1125)</f>
        <v/>
      </c>
      <c r="G596" s="12" t="str">
        <f>IF(TOTALCO!G1125="", "",TOTALCO!G1125)</f>
        <v/>
      </c>
      <c r="H596" s="12" t="str">
        <f>IF(TOTALCO!H1125="", "",TOTALCO!H1125)</f>
        <v/>
      </c>
      <c r="I596" s="12" t="str">
        <f>IF(TOTALCO!I1125="", "",TOTALCO!I1125)</f>
        <v/>
      </c>
      <c r="J596" s="12" t="str">
        <f>IF(TOTALCO!J1125="", "",TOTALCO!J1125)</f>
        <v/>
      </c>
      <c r="K596" s="12" t="str">
        <f>IF(TOTALCO!K1125="", "",TOTALCO!K1125)</f>
        <v/>
      </c>
      <c r="L596" s="12" t="str">
        <f>IF(TOTALCO!L1125="", "",TOTALCO!L1125)</f>
        <v/>
      </c>
      <c r="M596" s="12" t="str">
        <f>IF(TOTALCO!M1125="", "",TOTALCO!M1125)</f>
        <v/>
      </c>
      <c r="N596" s="12" t="str">
        <f>IF(TOTALCO!N1125="", "",TOTALCO!N1125)</f>
        <v/>
      </c>
      <c r="O596" s="12" t="str">
        <f>IF(TOTALCO!O1125="", "",TOTALCO!O1125)</f>
        <v/>
      </c>
      <c r="P596" s="12" t="str">
        <f>IF(TOTALCO!P1125="", "",TOTALCO!P1125)</f>
        <v/>
      </c>
      <c r="Q596" s="12"/>
      <c r="R596" s="13"/>
    </row>
    <row r="597" spans="1:18" ht="15" x14ac:dyDescent="0.2">
      <c r="A597" s="382" t="str">
        <f>IF(TOTALCO!A1126="", "",TOTALCO!A1126)</f>
        <v/>
      </c>
      <c r="B597" s="4" t="str">
        <f>IF(TOTALCO!B1126="", "",TOTALCO!B1126)</f>
        <v xml:space="preserve">  OTHER PRODUCTION PLANT</v>
      </c>
      <c r="C597" s="4" t="str">
        <f>IF(TOTALCO!C1126="", "",TOTALCO!C1126)</f>
        <v/>
      </c>
      <c r="D597" s="12" t="str">
        <f>IF(TOTALCO!D1126="", "",TOTALCO!D1126)</f>
        <v/>
      </c>
      <c r="E597" s="12" t="str">
        <f>IF(TOTALCO!E1126="", "",TOTALCO!E1126)</f>
        <v/>
      </c>
      <c r="F597" s="12" t="str">
        <f>IF(TOTALCO!F1126="", "",TOTALCO!F1126)</f>
        <v/>
      </c>
      <c r="G597" s="12" t="str">
        <f>IF(TOTALCO!G1126="", "",TOTALCO!G1126)</f>
        <v/>
      </c>
      <c r="H597" s="12" t="str">
        <f>IF(TOTALCO!H1126="", "",TOTALCO!H1126)</f>
        <v/>
      </c>
      <c r="I597" s="12" t="str">
        <f>IF(TOTALCO!I1126="", "",TOTALCO!I1126)</f>
        <v/>
      </c>
      <c r="J597" s="12" t="str">
        <f>IF(TOTALCO!J1126="", "",TOTALCO!J1126)</f>
        <v/>
      </c>
      <c r="K597" s="12" t="str">
        <f>IF(TOTALCO!K1126="", "",TOTALCO!K1126)</f>
        <v/>
      </c>
      <c r="L597" s="12" t="str">
        <f>IF(TOTALCO!L1126="", "",TOTALCO!L1126)</f>
        <v/>
      </c>
      <c r="M597" s="12" t="str">
        <f>IF(TOTALCO!M1126="", "",TOTALCO!M1126)</f>
        <v/>
      </c>
      <c r="N597" s="12" t="str">
        <f>IF(TOTALCO!N1126="", "",TOTALCO!N1126)</f>
        <v/>
      </c>
      <c r="O597" s="12" t="str">
        <f>IF(TOTALCO!O1126="", "",TOTALCO!O1126)</f>
        <v/>
      </c>
      <c r="P597" s="12" t="str">
        <f>IF(TOTALCO!P1126="", "",TOTALCO!P1126)</f>
        <v/>
      </c>
      <c r="Q597" s="12"/>
      <c r="R597" s="13"/>
    </row>
    <row r="598" spans="1:18" ht="15" x14ac:dyDescent="0.2">
      <c r="A598" s="382">
        <f>IF(TOTALCO!A1127="", "",TOTALCO!A1127)</f>
        <v>9</v>
      </c>
      <c r="B598" s="4" t="str">
        <f>IF(TOTALCO!B1127="", "",TOTALCO!B1127)</f>
        <v xml:space="preserve">    SYSTEM</v>
      </c>
      <c r="C598" s="4" t="str">
        <f>IF(TOTALCO!C1127="", "",TOTALCO!C1127)</f>
        <v>OTHSYS</v>
      </c>
      <c r="D598" s="12">
        <f ca="1">IF(TOTALCO!D1127="", "",TOTALCO!D1127)</f>
        <v>17257381.289999999</v>
      </c>
      <c r="E598" s="12" t="str">
        <f>IF(TOTALCO!E1127="", "",TOTALCO!E1127)</f>
        <v/>
      </c>
      <c r="F598" s="12">
        <f ca="1">IF(TOTALCO!F1127="", "",TOTALCO!F1127)</f>
        <v>14936093.920667784</v>
      </c>
      <c r="G598" s="12" t="str">
        <f>IF(TOTALCO!G1127="", "",TOTALCO!G1127)</f>
        <v/>
      </c>
      <c r="H598" s="12">
        <f ca="1">IF(TOTALCO!H1127="", "",TOTALCO!H1127)</f>
        <v>877152.45862450229</v>
      </c>
      <c r="I598" s="12">
        <f ca="1">IF(TOTALCO!I1127="", "",TOTALCO!I1127)</f>
        <v>1444134.9107077138</v>
      </c>
      <c r="J598" s="12" t="str">
        <f>IF(TOTALCO!J1127="", "",TOTALCO!J1127)</f>
        <v/>
      </c>
      <c r="K598" s="12" t="str">
        <f>IF(TOTALCO!K1127="", "",TOTALCO!K1127)</f>
        <v/>
      </c>
      <c r="L598" s="12">
        <f ca="1">IF(TOTALCO!L1127="", "",TOTALCO!L1127)</f>
        <v>132.0614963300967</v>
      </c>
      <c r="M598" s="12" t="str">
        <f>IF(TOTALCO!M1127="", "",TOTALCO!M1127)</f>
        <v/>
      </c>
      <c r="N598" s="12">
        <f ca="1">IF(TOTALCO!N1127="", "",TOTALCO!N1127)</f>
        <v>1444002.8492113836</v>
      </c>
      <c r="O598" s="12">
        <f ca="1">IF(TOTALCO!O1127="", "",TOTALCO!O1127)</f>
        <v>450565.52658621926</v>
      </c>
      <c r="P598" s="12">
        <f ca="1">IF(TOTALCO!P1127="", "",TOTALCO!P1127)</f>
        <v>993437.32262516429</v>
      </c>
      <c r="Q598" s="12"/>
      <c r="R598" s="13"/>
    </row>
    <row r="599" spans="1:18" ht="15" x14ac:dyDescent="0.2">
      <c r="A599" s="382">
        <f>IF(TOTALCO!A1128="", "",TOTALCO!A1128)</f>
        <v>10</v>
      </c>
      <c r="B599" s="4" t="str">
        <f>IF(TOTALCO!B1128="", "",TOTALCO!B1128)</f>
        <v xml:space="preserve">    FERC-AFUDC PRE</v>
      </c>
      <c r="C599" s="4" t="str">
        <f>IF(TOTALCO!C1128="", "",TOTALCO!C1128)</f>
        <v>DEMFERC</v>
      </c>
      <c r="D599" s="12">
        <f ca="1">IF(TOTALCO!D1128="", "",TOTALCO!D1128)</f>
        <v>59</v>
      </c>
      <c r="E599" s="12" t="str">
        <f>IF(TOTALCO!E1128="", "",TOTALCO!E1128)</f>
        <v/>
      </c>
      <c r="F599" s="12">
        <f ca="1">IF(TOTALCO!F1128="", "",TOTALCO!F1128)</f>
        <v>0</v>
      </c>
      <c r="G599" s="12" t="str">
        <f>IF(TOTALCO!G1128="", "",TOTALCO!G1128)</f>
        <v/>
      </c>
      <c r="H599" s="12">
        <f ca="1">IF(TOTALCO!H1128="", "",TOTALCO!H1128)</f>
        <v>22.295791619000401</v>
      </c>
      <c r="I599" s="12">
        <f ca="1">IF(TOTALCO!I1128="", "",TOTALCO!I1128)</f>
        <v>36.704208380999603</v>
      </c>
      <c r="J599" s="12" t="str">
        <f>IF(TOTALCO!J1128="", "",TOTALCO!J1128)</f>
        <v/>
      </c>
      <c r="K599" s="12" t="str">
        <f>IF(TOTALCO!K1128="", "",TOTALCO!K1128)</f>
        <v/>
      </c>
      <c r="L599" s="12">
        <f ca="1">IF(TOTALCO!L1128="", "",TOTALCO!L1128)</f>
        <v>0</v>
      </c>
      <c r="M599" s="12" t="str">
        <f>IF(TOTALCO!M1128="", "",TOTALCO!M1128)</f>
        <v/>
      </c>
      <c r="N599" s="12">
        <f ca="1">IF(TOTALCO!N1128="", "",TOTALCO!N1128)</f>
        <v>36.704208380999603</v>
      </c>
      <c r="O599" s="12">
        <f ca="1">IF(TOTALCO!O1128="", "",TOTALCO!O1128)</f>
        <v>11.452644284010347</v>
      </c>
      <c r="P599" s="12">
        <f ca="1">IF(TOTALCO!P1128="", "",TOTALCO!P1128)</f>
        <v>25.251564096989252</v>
      </c>
      <c r="Q599" s="12"/>
      <c r="R599" s="13"/>
    </row>
    <row r="600" spans="1:18" ht="15" x14ac:dyDescent="0.2">
      <c r="A600" s="382">
        <f>IF(TOTALCO!A1129="", "",TOTALCO!A1129)</f>
        <v>11</v>
      </c>
      <c r="B600" s="4" t="str">
        <f>IF(TOTALCO!B1129="", "",TOTALCO!B1129)</f>
        <v xml:space="preserve">    FERC-AFUDC POST</v>
      </c>
      <c r="C600" s="4" t="str">
        <f>IF(TOTALCO!C1129="", "",TOTALCO!C1129)</f>
        <v>DEMFERCP</v>
      </c>
      <c r="D600" s="12">
        <f ca="1">IF(TOTALCO!D1129="", "",TOTALCO!D1129)</f>
        <v>69979</v>
      </c>
      <c r="E600" s="12" t="str">
        <f>IF(TOTALCO!E1129="", "",TOTALCO!E1129)</f>
        <v/>
      </c>
      <c r="F600" s="12">
        <f ca="1">IF(TOTALCO!F1129="", "",TOTALCO!F1129)</f>
        <v>0</v>
      </c>
      <c r="G600" s="12" t="str">
        <f>IF(TOTALCO!G1129="", "",TOTALCO!G1129)</f>
        <v/>
      </c>
      <c r="H600" s="12">
        <f ca="1">IF(TOTALCO!H1129="", "",TOTALCO!H1129)</f>
        <v>0</v>
      </c>
      <c r="I600" s="12">
        <f ca="1">IF(TOTALCO!I1129="", "",TOTALCO!I1129)</f>
        <v>69979</v>
      </c>
      <c r="J600" s="12" t="str">
        <f>IF(TOTALCO!J1129="", "",TOTALCO!J1129)</f>
        <v/>
      </c>
      <c r="K600" s="12" t="str">
        <f>IF(TOTALCO!K1129="", "",TOTALCO!K1129)</f>
        <v/>
      </c>
      <c r="L600" s="12">
        <f ca="1">IF(TOTALCO!L1129="", "",TOTALCO!L1129)</f>
        <v>0</v>
      </c>
      <c r="M600" s="12" t="str">
        <f>IF(TOTALCO!M1129="", "",TOTALCO!M1129)</f>
        <v/>
      </c>
      <c r="N600" s="12">
        <f ca="1">IF(TOTALCO!N1129="", "",TOTALCO!N1129)</f>
        <v>69979</v>
      </c>
      <c r="O600" s="12">
        <f ca="1">IF(TOTALCO!O1129="", "",TOTALCO!O1129)</f>
        <v>21835.223526183934</v>
      </c>
      <c r="P600" s="12">
        <f ca="1">IF(TOTALCO!P1129="", "",TOTALCO!P1129)</f>
        <v>48143.776473816062</v>
      </c>
      <c r="Q600" s="12"/>
      <c r="R600" s="13"/>
    </row>
    <row r="601" spans="1:18" ht="15" x14ac:dyDescent="0.2">
      <c r="A601" s="382">
        <f>IF(TOTALCO!A1130="", "",TOTALCO!A1130)</f>
        <v>12</v>
      </c>
      <c r="B601" s="4" t="str">
        <f>IF(TOTALCO!B1130="", "",TOTALCO!B1130)</f>
        <v xml:space="preserve">     TOTAL OTHER PROD PLT</v>
      </c>
      <c r="C601" s="4" t="str">
        <f>IF(TOTALCO!C1130="", "",TOTALCO!C1130)</f>
        <v/>
      </c>
      <c r="D601" s="12">
        <f ca="1">IF(TOTALCO!D1130="", "",TOTALCO!D1130)</f>
        <v>17327419.289999999</v>
      </c>
      <c r="E601" s="12" t="str">
        <f>IF(TOTALCO!E1130="", "",TOTALCO!E1130)</f>
        <v/>
      </c>
      <c r="F601" s="12">
        <f ca="1">IF(TOTALCO!F1130="", "",TOTALCO!F1130)</f>
        <v>14936093.920667784</v>
      </c>
      <c r="G601" s="12" t="str">
        <f>IF(TOTALCO!G1130="", "",TOTALCO!G1130)</f>
        <v/>
      </c>
      <c r="H601" s="12">
        <f ca="1">IF(TOTALCO!H1130="", "",TOTALCO!H1130)</f>
        <v>877174.75441612129</v>
      </c>
      <c r="I601" s="12">
        <f ca="1">IF(TOTALCO!I1130="", "",TOTALCO!I1130)</f>
        <v>1514150.6149160948</v>
      </c>
      <c r="J601" s="12" t="str">
        <f>IF(TOTALCO!J1130="", "",TOTALCO!J1130)</f>
        <v/>
      </c>
      <c r="K601" s="12" t="str">
        <f>IF(TOTALCO!K1130="", "",TOTALCO!K1130)</f>
        <v/>
      </c>
      <c r="L601" s="12">
        <f ca="1">IF(TOTALCO!L1130="", "",TOTALCO!L1130)</f>
        <v>132.0614963300967</v>
      </c>
      <c r="M601" s="12" t="str">
        <f>IF(TOTALCO!M1130="", "",TOTALCO!M1130)</f>
        <v/>
      </c>
      <c r="N601" s="12">
        <f ca="1">IF(TOTALCO!N1130="", "",TOTALCO!N1130)</f>
        <v>1514018.5534197646</v>
      </c>
      <c r="O601" s="12">
        <f ca="1">IF(TOTALCO!O1130="", "",TOTALCO!O1130)</f>
        <v>472412.20275668718</v>
      </c>
      <c r="P601" s="12">
        <f ca="1">IF(TOTALCO!P1130="", "",TOTALCO!P1130)</f>
        <v>1041606.3506630773</v>
      </c>
      <c r="Q601" s="12"/>
      <c r="R601" s="13"/>
    </row>
    <row r="602" spans="1:18" ht="15" x14ac:dyDescent="0.2">
      <c r="A602" s="382" t="str">
        <f>IF(TOTALCO!A1131="", "",TOTALCO!A1131)</f>
        <v/>
      </c>
      <c r="B602" s="4" t="str">
        <f>IF(TOTALCO!B1131="", "",TOTALCO!B1131)</f>
        <v/>
      </c>
      <c r="C602" s="4" t="str">
        <f>IF(TOTALCO!C1131="", "",TOTALCO!C1131)</f>
        <v/>
      </c>
      <c r="D602" s="12" t="str">
        <f>IF(TOTALCO!D1131="", "",TOTALCO!D1131)</f>
        <v/>
      </c>
      <c r="E602" s="12" t="str">
        <f>IF(TOTALCO!E1131="", "",TOTALCO!E1131)</f>
        <v/>
      </c>
      <c r="F602" s="12" t="str">
        <f>IF(TOTALCO!F1131="", "",TOTALCO!F1131)</f>
        <v/>
      </c>
      <c r="G602" s="12" t="str">
        <f>IF(TOTALCO!G1131="", "",TOTALCO!G1131)</f>
        <v/>
      </c>
      <c r="H602" s="12" t="str">
        <f>IF(TOTALCO!H1131="", "",TOTALCO!H1131)</f>
        <v/>
      </c>
      <c r="I602" s="12" t="str">
        <f>IF(TOTALCO!I1131="", "",TOTALCO!I1131)</f>
        <v/>
      </c>
      <c r="J602" s="12" t="str">
        <f>IF(TOTALCO!J1131="", "",TOTALCO!J1131)</f>
        <v/>
      </c>
      <c r="K602" s="12" t="str">
        <f>IF(TOTALCO!K1131="", "",TOTALCO!K1131)</f>
        <v/>
      </c>
      <c r="L602" s="12" t="str">
        <f>IF(TOTALCO!L1131="", "",TOTALCO!L1131)</f>
        <v/>
      </c>
      <c r="M602" s="12" t="str">
        <f>IF(TOTALCO!M1131="", "",TOTALCO!M1131)</f>
        <v/>
      </c>
      <c r="N602" s="12" t="str">
        <f>IF(TOTALCO!N1131="", "",TOTALCO!N1131)</f>
        <v/>
      </c>
      <c r="O602" s="12" t="str">
        <f>IF(TOTALCO!O1131="", "",TOTALCO!O1131)</f>
        <v/>
      </c>
      <c r="P602" s="12" t="str">
        <f>IF(TOTALCO!P1131="", "",TOTALCO!P1131)</f>
        <v/>
      </c>
      <c r="Q602" s="12"/>
      <c r="R602" s="13"/>
    </row>
    <row r="603" spans="1:18" ht="15" x14ac:dyDescent="0.2">
      <c r="A603" s="382">
        <f>IF(TOTALCO!A1132="", "",TOTALCO!A1132)</f>
        <v>13</v>
      </c>
      <c r="B603" s="4" t="str">
        <f>IF(TOTALCO!B1132="", "",TOTALCO!B1132)</f>
        <v xml:space="preserve"> TOTAL PRODUCTION PLANT</v>
      </c>
      <c r="C603" s="4" t="str">
        <f>IF(TOTALCO!C1132="", "",TOTALCO!C1132)</f>
        <v/>
      </c>
      <c r="D603" s="12">
        <f ca="1">IF(TOTALCO!D1132="", "",TOTALCO!D1132)</f>
        <v>132309492.33</v>
      </c>
      <c r="E603" s="12" t="str">
        <f>IF(TOTALCO!E1132="", "",TOTALCO!E1132)</f>
        <v/>
      </c>
      <c r="F603" s="12">
        <f ca="1">IF(TOTALCO!F1132="", "",TOTALCO!F1132)</f>
        <v>113432763.00801355</v>
      </c>
      <c r="G603" s="12" t="str">
        <f>IF(TOTALCO!G1132="", "",TOTALCO!G1132)</f>
        <v/>
      </c>
      <c r="H603" s="12">
        <f ca="1">IF(TOTALCO!H1132="", "",TOTALCO!H1132)</f>
        <v>6821079.7782917302</v>
      </c>
      <c r="I603" s="12">
        <f ca="1">IF(TOTALCO!I1132="", "",TOTALCO!I1132)</f>
        <v>12055649.543694716</v>
      </c>
      <c r="J603" s="12" t="str">
        <f>IF(TOTALCO!J1132="", "",TOTALCO!J1132)</f>
        <v/>
      </c>
      <c r="K603" s="12" t="str">
        <f>IF(TOTALCO!K1132="", "",TOTALCO!K1132)</f>
        <v/>
      </c>
      <c r="L603" s="12">
        <f ca="1">IF(TOTALCO!L1132="", "",TOTALCO!L1132)</f>
        <v>1002.9463188475827</v>
      </c>
      <c r="M603" s="12" t="str">
        <f>IF(TOTALCO!M1132="", "",TOTALCO!M1132)</f>
        <v/>
      </c>
      <c r="N603" s="12">
        <f ca="1">IF(TOTALCO!N1132="", "",TOTALCO!N1132)</f>
        <v>12054646.597375868</v>
      </c>
      <c r="O603" s="12">
        <f ca="1">IF(TOTALCO!O1132="", "",TOTALCO!O1132)</f>
        <v>3761355.5921469964</v>
      </c>
      <c r="P603" s="12">
        <f ca="1">IF(TOTALCO!P1132="", "",TOTALCO!P1132)</f>
        <v>8293291.0052288715</v>
      </c>
      <c r="Q603" s="12"/>
      <c r="R603" s="13"/>
    </row>
    <row r="604" spans="1:18" ht="15" x14ac:dyDescent="0.2">
      <c r="A604" s="382" t="str">
        <f>IF(TOTALCO!A1133="", "",TOTALCO!A1133)</f>
        <v/>
      </c>
      <c r="B604" s="4" t="str">
        <f>IF(TOTALCO!B1133="", "",TOTALCO!B1133)</f>
        <v/>
      </c>
      <c r="C604" s="4" t="str">
        <f>IF(TOTALCO!C1133="", "",TOTALCO!C1133)</f>
        <v/>
      </c>
      <c r="D604" s="12" t="str">
        <f>IF(TOTALCO!D1133="", "",TOTALCO!D1133)</f>
        <v/>
      </c>
      <c r="E604" s="12" t="str">
        <f>IF(TOTALCO!E1133="", "",TOTALCO!E1133)</f>
        <v/>
      </c>
      <c r="F604" s="12" t="str">
        <f>IF(TOTALCO!F1133="", "",TOTALCO!F1133)</f>
        <v/>
      </c>
      <c r="G604" s="12" t="str">
        <f>IF(TOTALCO!G1133="", "",TOTALCO!G1133)</f>
        <v/>
      </c>
      <c r="H604" s="12" t="str">
        <f>IF(TOTALCO!H1133="", "",TOTALCO!H1133)</f>
        <v/>
      </c>
      <c r="I604" s="12" t="str">
        <f>IF(TOTALCO!I1133="", "",TOTALCO!I1133)</f>
        <v/>
      </c>
      <c r="J604" s="12" t="str">
        <f>IF(TOTALCO!J1133="", "",TOTALCO!J1133)</f>
        <v/>
      </c>
      <c r="K604" s="12" t="str">
        <f>IF(TOTALCO!K1133="", "",TOTALCO!K1133)</f>
        <v/>
      </c>
      <c r="L604" s="12" t="str">
        <f>IF(TOTALCO!L1133="", "",TOTALCO!L1133)</f>
        <v/>
      </c>
      <c r="M604" s="12" t="str">
        <f>IF(TOTALCO!M1133="", "",TOTALCO!M1133)</f>
        <v/>
      </c>
      <c r="N604" s="12" t="str">
        <f>IF(TOTALCO!N1133="", "",TOTALCO!N1133)</f>
        <v/>
      </c>
      <c r="O604" s="12" t="str">
        <f>IF(TOTALCO!O1133="", "",TOTALCO!O1133)</f>
        <v/>
      </c>
      <c r="P604" s="12" t="str">
        <f>IF(TOTALCO!P1133="", "",TOTALCO!P1133)</f>
        <v/>
      </c>
      <c r="Q604" s="12"/>
      <c r="R604" s="13"/>
    </row>
    <row r="605" spans="1:18" ht="15" x14ac:dyDescent="0.2">
      <c r="A605" s="382" t="str">
        <f>IF(TOTALCO!A1134="", "",TOTALCO!A1134)</f>
        <v/>
      </c>
      <c r="B605" s="4" t="str">
        <f>IF(TOTALCO!B1134="", "",TOTALCO!B1134)</f>
        <v xml:space="preserve"> TRANSMISSION PLANT</v>
      </c>
      <c r="C605" s="4" t="str">
        <f>IF(TOTALCO!C1134="", "",TOTALCO!C1134)</f>
        <v/>
      </c>
      <c r="D605" s="12" t="str">
        <f>IF(TOTALCO!D1134="", "",TOTALCO!D1134)</f>
        <v/>
      </c>
      <c r="E605" s="12" t="str">
        <f>IF(TOTALCO!E1134="", "",TOTALCO!E1134)</f>
        <v/>
      </c>
      <c r="F605" s="12" t="str">
        <f>IF(TOTALCO!F1134="", "",TOTALCO!F1134)</f>
        <v/>
      </c>
      <c r="G605" s="12" t="str">
        <f>IF(TOTALCO!G1134="", "",TOTALCO!G1134)</f>
        <v/>
      </c>
      <c r="H605" s="12" t="str">
        <f>IF(TOTALCO!H1134="", "",TOTALCO!H1134)</f>
        <v/>
      </c>
      <c r="I605" s="12" t="str">
        <f>IF(TOTALCO!I1134="", "",TOTALCO!I1134)</f>
        <v/>
      </c>
      <c r="J605" s="12" t="str">
        <f>IF(TOTALCO!J1134="", "",TOTALCO!J1134)</f>
        <v/>
      </c>
      <c r="K605" s="12" t="str">
        <f>IF(TOTALCO!K1134="", "",TOTALCO!K1134)</f>
        <v/>
      </c>
      <c r="L605" s="12" t="str">
        <f>IF(TOTALCO!L1134="", "",TOTALCO!L1134)</f>
        <v/>
      </c>
      <c r="M605" s="12" t="str">
        <f>IF(TOTALCO!M1134="", "",TOTALCO!M1134)</f>
        <v/>
      </c>
      <c r="N605" s="12" t="str">
        <f>IF(TOTALCO!N1134="", "",TOTALCO!N1134)</f>
        <v/>
      </c>
      <c r="O605" s="12" t="str">
        <f>IF(TOTALCO!O1134="", "",TOTALCO!O1134)</f>
        <v/>
      </c>
      <c r="P605" s="12" t="str">
        <f>IF(TOTALCO!P1134="", "",TOTALCO!P1134)</f>
        <v/>
      </c>
      <c r="Q605" s="12"/>
      <c r="R605" s="13"/>
    </row>
    <row r="606" spans="1:18" ht="15" x14ac:dyDescent="0.2">
      <c r="A606" s="382">
        <f>IF(TOTALCO!A1135="", "",TOTALCO!A1135)</f>
        <v>14</v>
      </c>
      <c r="B606" s="4" t="str">
        <f>IF(TOTALCO!B1135="", "",TOTALCO!B1135)</f>
        <v xml:space="preserve">  KENTUCKY SYSTEM PROPERTY</v>
      </c>
      <c r="C606" s="4" t="str">
        <f>IF(TOTALCO!C1135="", "",TOTALCO!C1135)</f>
        <v>KYTRPLT</v>
      </c>
      <c r="D606" s="12">
        <f ca="1">IF(TOTALCO!D1135="", "",TOTALCO!D1135)</f>
        <v>10659467.670000002</v>
      </c>
      <c r="E606" s="12" t="str">
        <f>IF(TOTALCO!E1135="", "",TOTALCO!E1135)</f>
        <v/>
      </c>
      <c r="F606" s="12">
        <f ca="1">IF(TOTALCO!F1135="", "",TOTALCO!F1135)</f>
        <v>9156938.1887477003</v>
      </c>
      <c r="G606" s="12" t="str">
        <f>IF(TOTALCO!G1135="", "",TOTALCO!G1135)</f>
        <v/>
      </c>
      <c r="H606" s="12">
        <f ca="1">IF(TOTALCO!H1135="", "",TOTALCO!H1135)</f>
        <v>558454.49687392567</v>
      </c>
      <c r="I606" s="12">
        <f ca="1">IF(TOTALCO!I1135="", "",TOTALCO!I1135)</f>
        <v>944074.98437837441</v>
      </c>
      <c r="J606" s="12" t="str">
        <f>IF(TOTALCO!J1135="", "",TOTALCO!J1135)</f>
        <v/>
      </c>
      <c r="K606" s="12" t="str">
        <f>IF(TOTALCO!K1135="", "",TOTALCO!K1135)</f>
        <v/>
      </c>
      <c r="L606" s="12">
        <f ca="1">IF(TOTALCO!L1135="", "",TOTALCO!L1135)</f>
        <v>80.963534738817515</v>
      </c>
      <c r="M606" s="12" t="str">
        <f>IF(TOTALCO!M1135="", "",TOTALCO!M1135)</f>
        <v/>
      </c>
      <c r="N606" s="12">
        <f ca="1">IF(TOTALCO!N1135="", "",TOTALCO!N1135)</f>
        <v>943994.02084363555</v>
      </c>
      <c r="O606" s="12">
        <f ca="1">IF(TOTALCO!O1135="", "",TOTALCO!O1135)</f>
        <v>294550.08577576012</v>
      </c>
      <c r="P606" s="12">
        <f ca="1">IF(TOTALCO!P1135="", "",TOTALCO!P1135)</f>
        <v>649443.93506787543</v>
      </c>
      <c r="Q606" s="12"/>
      <c r="R606" s="13"/>
    </row>
    <row r="607" spans="1:18" ht="15" x14ac:dyDescent="0.2">
      <c r="A607" s="382">
        <f>IF(TOTALCO!A1136="", "",TOTALCO!A1136)</f>
        <v>15</v>
      </c>
      <c r="B607" s="4" t="str">
        <f>IF(TOTALCO!B1136="", "",TOTALCO!B1136)</f>
        <v xml:space="preserve">  VIRGINIA PROPERTY</v>
      </c>
      <c r="C607" s="4" t="str">
        <f>IF(TOTALCO!C1136="", "",TOTALCO!C1136)</f>
        <v>TRPLTVA</v>
      </c>
      <c r="D607" s="12">
        <f ca="1">IF(TOTALCO!D1136="", "",TOTALCO!D1136)</f>
        <v>937292.57</v>
      </c>
      <c r="E607" s="12" t="str">
        <f>IF(TOTALCO!E1136="", "",TOTALCO!E1136)</f>
        <v/>
      </c>
      <c r="F607" s="12">
        <f ca="1">IF(TOTALCO!F1136="", "",TOTALCO!F1136)</f>
        <v>133400.89352070799</v>
      </c>
      <c r="G607" s="12" t="str">
        <f>IF(TOTALCO!G1136="", "",TOTALCO!G1136)</f>
        <v/>
      </c>
      <c r="H607" s="12">
        <f ca="1">IF(TOTALCO!H1136="", "",TOTALCO!H1136)</f>
        <v>790912.88213294395</v>
      </c>
      <c r="I607" s="12">
        <f ca="1">IF(TOTALCO!I1136="", "",TOTALCO!I1136)</f>
        <v>12978.794346347986</v>
      </c>
      <c r="J607" s="12" t="str">
        <f>IF(TOTALCO!J1136="", "",TOTALCO!J1136)</f>
        <v/>
      </c>
      <c r="K607" s="12" t="str">
        <f>IF(TOTALCO!K1136="", "",TOTALCO!K1136)</f>
        <v/>
      </c>
      <c r="L607" s="12">
        <f ca="1">IF(TOTALCO!L1136="", "",TOTALCO!L1136)</f>
        <v>1.1794999217123932</v>
      </c>
      <c r="M607" s="12" t="str">
        <f>IF(TOTALCO!M1136="", "",TOTALCO!M1136)</f>
        <v/>
      </c>
      <c r="N607" s="12">
        <f ca="1">IF(TOTALCO!N1136="", "",TOTALCO!N1136)</f>
        <v>12977.614846426273</v>
      </c>
      <c r="O607" s="12">
        <f ca="1">IF(TOTALCO!O1136="", "",TOTALCO!O1136)</f>
        <v>4049.3451036516794</v>
      </c>
      <c r="P607" s="12">
        <f ca="1">IF(TOTALCO!P1136="", "",TOTALCO!P1136)</f>
        <v>8928.2697427745934</v>
      </c>
      <c r="Q607" s="12"/>
      <c r="R607" s="13"/>
    </row>
    <row r="608" spans="1:18" ht="15" x14ac:dyDescent="0.2">
      <c r="A608" s="382">
        <f>IF(TOTALCO!A1137="", "",TOTALCO!A1137)</f>
        <v>17</v>
      </c>
      <c r="B608" s="4" t="str">
        <f>IF(TOTALCO!B1137="", "",TOTALCO!B1137)</f>
        <v xml:space="preserve">  FERC-AFUDC PRE</v>
      </c>
      <c r="C608" s="4" t="str">
        <f>IF(TOTALCO!C1137="", "",TOTALCO!C1137)</f>
        <v>DEMFERCT</v>
      </c>
      <c r="D608" s="12">
        <f ca="1">IF(TOTALCO!D1137="", "",TOTALCO!D1137)</f>
        <v>56872.999999999993</v>
      </c>
      <c r="E608" s="12" t="str">
        <f>IF(TOTALCO!E1137="", "",TOTALCO!E1137)</f>
        <v/>
      </c>
      <c r="F608" s="12">
        <f ca="1">IF(TOTALCO!F1137="", "",TOTALCO!F1137)</f>
        <v>0</v>
      </c>
      <c r="G608" s="12" t="str">
        <f>IF(TOTALCO!G1137="", "",TOTALCO!G1137)</f>
        <v/>
      </c>
      <c r="H608" s="12">
        <f ca="1">IF(TOTALCO!H1137="", "",TOTALCO!H1137)</f>
        <v>21492.009436396773</v>
      </c>
      <c r="I608" s="12">
        <f ca="1">IF(TOTALCO!I1137="", "",TOTALCO!I1137)</f>
        <v>35380.99056360322</v>
      </c>
      <c r="J608" s="12" t="str">
        <f>IF(TOTALCO!J1137="", "",TOTALCO!J1137)</f>
        <v/>
      </c>
      <c r="K608" s="12" t="str">
        <f>IF(TOTALCO!K1137="", "",TOTALCO!K1137)</f>
        <v/>
      </c>
      <c r="L608" s="12">
        <f ca="1">IF(TOTALCO!L1137="", "",TOTALCO!L1137)</f>
        <v>0</v>
      </c>
      <c r="M608" s="12" t="str">
        <f>IF(TOTALCO!M1137="", "",TOTALCO!M1137)</f>
        <v/>
      </c>
      <c r="N608" s="12">
        <f ca="1">IF(TOTALCO!N1137="", "",TOTALCO!N1137)</f>
        <v>35380.99056360322</v>
      </c>
      <c r="O608" s="12">
        <f ca="1">IF(TOTALCO!O1137="", "",TOTALCO!O1137)</f>
        <v>11039.766751941024</v>
      </c>
      <c r="P608" s="12">
        <f ca="1">IF(TOTALCO!P1137="", "",TOTALCO!P1137)</f>
        <v>24341.223811662199</v>
      </c>
      <c r="Q608" s="12"/>
      <c r="R608" s="13"/>
    </row>
    <row r="609" spans="1:18" ht="15" x14ac:dyDescent="0.2">
      <c r="A609" s="382">
        <f>IF(TOTALCO!A1138="", "",TOTALCO!A1138)</f>
        <v>18</v>
      </c>
      <c r="B609" s="4" t="str">
        <f>IF(TOTALCO!B1138="", "",TOTALCO!B1138)</f>
        <v xml:space="preserve">  FERC-AFUDC POST</v>
      </c>
      <c r="C609" s="4" t="str">
        <f>IF(TOTALCO!C1138="", "",TOTALCO!C1138)</f>
        <v>DFERCTP</v>
      </c>
      <c r="D609" s="12">
        <f ca="1">IF(TOTALCO!D1138="", "",TOTALCO!D1138)</f>
        <v>25527.499999999996</v>
      </c>
      <c r="E609" s="12" t="str">
        <f>IF(TOTALCO!E1138="", "",TOTALCO!E1138)</f>
        <v/>
      </c>
      <c r="F609" s="12">
        <f ca="1">IF(TOTALCO!F1138="", "",TOTALCO!F1138)</f>
        <v>0</v>
      </c>
      <c r="G609" s="12" t="str">
        <f>IF(TOTALCO!G1138="", "",TOTALCO!G1138)</f>
        <v/>
      </c>
      <c r="H609" s="12">
        <f ca="1">IF(TOTALCO!H1138="", "",TOTALCO!H1138)</f>
        <v>0</v>
      </c>
      <c r="I609" s="12">
        <f ca="1">IF(TOTALCO!I1138="", "",TOTALCO!I1138)</f>
        <v>25527.499999999996</v>
      </c>
      <c r="J609" s="12" t="str">
        <f>IF(TOTALCO!J1138="", "",TOTALCO!J1138)</f>
        <v/>
      </c>
      <c r="K609" s="12" t="str">
        <f>IF(TOTALCO!K1138="", "",TOTALCO!K1138)</f>
        <v/>
      </c>
      <c r="L609" s="12">
        <f ca="1">IF(TOTALCO!L1138="", "",TOTALCO!L1138)</f>
        <v>0</v>
      </c>
      <c r="M609" s="12" t="str">
        <f>IF(TOTALCO!M1138="", "",TOTALCO!M1138)</f>
        <v/>
      </c>
      <c r="N609" s="12">
        <f ca="1">IF(TOTALCO!N1138="", "",TOTALCO!N1138)</f>
        <v>25527.499999999996</v>
      </c>
      <c r="O609" s="12">
        <f ca="1">IF(TOTALCO!O1138="", "",TOTALCO!O1138)</f>
        <v>7965.2276906594898</v>
      </c>
      <c r="P609" s="12">
        <f ca="1">IF(TOTALCO!P1138="", "",TOTALCO!P1138)</f>
        <v>17562.272309340507</v>
      </c>
      <c r="Q609" s="12"/>
      <c r="R609" s="13"/>
    </row>
    <row r="610" spans="1:18" ht="15" x14ac:dyDescent="0.2">
      <c r="A610" s="382">
        <f>IF(TOTALCO!A1139="", "",TOTALCO!A1139)</f>
        <v>19</v>
      </c>
      <c r="B610" s="4" t="str">
        <f>IF(TOTALCO!B1139="", "",TOTALCO!B1139)</f>
        <v xml:space="preserve"> TOTAL TRANSMISSION PLANT</v>
      </c>
      <c r="C610" s="4" t="str">
        <f>IF(TOTALCO!C1139="", "",TOTALCO!C1139)</f>
        <v/>
      </c>
      <c r="D610" s="12">
        <f ca="1">IF(TOTALCO!D1139="", "",TOTALCO!D1139)</f>
        <v>11679160.74</v>
      </c>
      <c r="E610" s="12" t="str">
        <f>IF(TOTALCO!E1139="", "",TOTALCO!E1139)</f>
        <v/>
      </c>
      <c r="F610" s="12">
        <f ca="1">IF(TOTALCO!F1139="", "",TOTALCO!F1139)</f>
        <v>9290339.0822684076</v>
      </c>
      <c r="G610" s="12" t="str">
        <f>IF(TOTALCO!G1139="", "",TOTALCO!G1139)</f>
        <v/>
      </c>
      <c r="H610" s="12">
        <f ca="1">IF(TOTALCO!H1139="", "",TOTALCO!H1139)</f>
        <v>1370859.3884432665</v>
      </c>
      <c r="I610" s="12">
        <f ca="1">IF(TOTALCO!I1139="", "",TOTALCO!I1139)</f>
        <v>1017962.2692883254</v>
      </c>
      <c r="J610" s="12" t="str">
        <f>IF(TOTALCO!J1139="", "",TOTALCO!J1139)</f>
        <v/>
      </c>
      <c r="K610" s="12" t="str">
        <f>IF(TOTALCO!K1139="", "",TOTALCO!K1139)</f>
        <v/>
      </c>
      <c r="L610" s="12">
        <f ca="1">IF(TOTALCO!L1139="", "",TOTALCO!L1139)</f>
        <v>82.143034660529906</v>
      </c>
      <c r="M610" s="12" t="str">
        <f>IF(TOTALCO!M1139="", "",TOTALCO!M1139)</f>
        <v/>
      </c>
      <c r="N610" s="12">
        <f ca="1">IF(TOTALCO!N1139="", "",TOTALCO!N1139)</f>
        <v>1017880.126253665</v>
      </c>
      <c r="O610" s="12">
        <f ca="1">IF(TOTALCO!O1139="", "",TOTALCO!O1139)</f>
        <v>317604.42532201228</v>
      </c>
      <c r="P610" s="12">
        <f ca="1">IF(TOTALCO!P1139="", "",TOTALCO!P1139)</f>
        <v>700275.70093165268</v>
      </c>
      <c r="Q610" s="12"/>
      <c r="R610" s="13"/>
    </row>
    <row r="611" spans="1:18" ht="15" x14ac:dyDescent="0.2">
      <c r="A611" s="382" t="str">
        <f>IF(TOTALCO!A1140="", "",TOTALCO!A1140)</f>
        <v/>
      </c>
      <c r="B611" s="4" t="str">
        <f>IF(TOTALCO!B1140="", "",TOTALCO!B1140)</f>
        <v/>
      </c>
      <c r="C611" s="4" t="str">
        <f>IF(TOTALCO!C1140="", "",TOTALCO!C1140)</f>
        <v/>
      </c>
      <c r="D611" s="12" t="str">
        <f>IF(TOTALCO!D1140="", "",TOTALCO!D1140)</f>
        <v/>
      </c>
      <c r="E611" s="12" t="str">
        <f>IF(TOTALCO!E1140="", "",TOTALCO!E1140)</f>
        <v/>
      </c>
      <c r="F611" s="12" t="str">
        <f>IF(TOTALCO!F1140="", "",TOTALCO!F1140)</f>
        <v/>
      </c>
      <c r="G611" s="12" t="str">
        <f>IF(TOTALCO!G1140="", "",TOTALCO!G1140)</f>
        <v/>
      </c>
      <c r="H611" s="12" t="str">
        <f>IF(TOTALCO!H1140="", "",TOTALCO!H1140)</f>
        <v/>
      </c>
      <c r="I611" s="12" t="str">
        <f>IF(TOTALCO!I1140="", "",TOTALCO!I1140)</f>
        <v/>
      </c>
      <c r="J611" s="12" t="str">
        <f>IF(TOTALCO!J1140="", "",TOTALCO!J1140)</f>
        <v/>
      </c>
      <c r="K611" s="12" t="str">
        <f>IF(TOTALCO!K1140="", "",TOTALCO!K1140)</f>
        <v/>
      </c>
      <c r="L611" s="12" t="str">
        <f>IF(TOTALCO!L1140="", "",TOTALCO!L1140)</f>
        <v/>
      </c>
      <c r="M611" s="12" t="str">
        <f>IF(TOTALCO!M1140="", "",TOTALCO!M1140)</f>
        <v/>
      </c>
      <c r="N611" s="12" t="str">
        <f>IF(TOTALCO!N1140="", "",TOTALCO!N1140)</f>
        <v/>
      </c>
      <c r="O611" s="12" t="str">
        <f>IF(TOTALCO!O1140="", "",TOTALCO!O1140)</f>
        <v/>
      </c>
      <c r="P611" s="12" t="str">
        <f>IF(TOTALCO!P1140="", "",TOTALCO!P1140)</f>
        <v/>
      </c>
      <c r="Q611" s="12"/>
      <c r="R611" s="13"/>
    </row>
    <row r="612" spans="1:18" ht="15" x14ac:dyDescent="0.2">
      <c r="A612" s="382" t="str">
        <f>IF(TOTALCO!A1141="", "",TOTALCO!A1141)</f>
        <v/>
      </c>
      <c r="B612" s="4" t="str">
        <f>IF(TOTALCO!B1141="", "",TOTALCO!B1141)</f>
        <v xml:space="preserve"> DISTRIBUTION PLANT</v>
      </c>
      <c r="C612" s="4" t="str">
        <f>IF(TOTALCO!C1141="", "",TOTALCO!C1141)</f>
        <v/>
      </c>
      <c r="D612" s="12" t="str">
        <f>IF(TOTALCO!D1141="", "",TOTALCO!D1141)</f>
        <v/>
      </c>
      <c r="E612" s="12" t="str">
        <f>IF(TOTALCO!E1141="", "",TOTALCO!E1141)</f>
        <v/>
      </c>
      <c r="F612" s="12" t="str">
        <f>IF(TOTALCO!F1141="", "",TOTALCO!F1141)</f>
        <v/>
      </c>
      <c r="G612" s="12" t="str">
        <f>IF(TOTALCO!G1141="", "",TOTALCO!G1141)</f>
        <v/>
      </c>
      <c r="H612" s="12" t="str">
        <f>IF(TOTALCO!H1141="", "",TOTALCO!H1141)</f>
        <v/>
      </c>
      <c r="I612" s="12" t="str">
        <f>IF(TOTALCO!I1141="", "",TOTALCO!I1141)</f>
        <v/>
      </c>
      <c r="J612" s="12" t="str">
        <f>IF(TOTALCO!J1141="", "",TOTALCO!J1141)</f>
        <v/>
      </c>
      <c r="K612" s="12" t="str">
        <f>IF(TOTALCO!K1141="", "",TOTALCO!K1141)</f>
        <v/>
      </c>
      <c r="L612" s="12" t="str">
        <f>IF(TOTALCO!L1141="", "",TOTALCO!L1141)</f>
        <v/>
      </c>
      <c r="M612" s="12" t="str">
        <f>IF(TOTALCO!M1141="", "",TOTALCO!M1141)</f>
        <v/>
      </c>
      <c r="N612" s="12" t="str">
        <f>IF(TOTALCO!N1141="", "",TOTALCO!N1141)</f>
        <v/>
      </c>
      <c r="O612" s="12" t="str">
        <f>IF(TOTALCO!O1141="", "",TOTALCO!O1141)</f>
        <v/>
      </c>
      <c r="P612" s="12" t="str">
        <f>IF(TOTALCO!P1141="", "",TOTALCO!P1141)</f>
        <v/>
      </c>
      <c r="Q612" s="12"/>
      <c r="R612" s="13"/>
    </row>
    <row r="613" spans="1:18" ht="15" x14ac:dyDescent="0.2">
      <c r="A613" s="382">
        <f>IF(TOTALCO!A1142="", "",TOTALCO!A1142)</f>
        <v>20</v>
      </c>
      <c r="B613" s="4" t="str">
        <f>IF(TOTALCO!B1142="", "",TOTALCO!B1142)</f>
        <v xml:space="preserve">   DISTRIBUTION-KENTUCKY</v>
      </c>
      <c r="C613" s="4" t="str">
        <f>IF(TOTALCO!C1142="", "",TOTALCO!C1142)</f>
        <v>KYDIST</v>
      </c>
      <c r="D613" s="12">
        <f ca="1">IF(TOTALCO!D1142="", "",TOTALCO!D1142)</f>
        <v>32848142.370000005</v>
      </c>
      <c r="E613" s="12" t="str">
        <f>IF(TOTALCO!E1142="", "",TOTALCO!E1142)</f>
        <v/>
      </c>
      <c r="F613" s="12">
        <f ca="1">IF(TOTALCO!F1142="", "",TOTALCO!F1142)</f>
        <v>32743234.033906706</v>
      </c>
      <c r="G613" s="12" t="str">
        <f>IF(TOTALCO!G1142="", "",TOTALCO!G1142)</f>
        <v/>
      </c>
      <c r="H613" s="12">
        <f ca="1">IF(TOTALCO!H1142="", "",TOTALCO!H1142)</f>
        <v>0</v>
      </c>
      <c r="I613" s="12">
        <f ca="1">IF(TOTALCO!I1142="", "",TOTALCO!I1142)</f>
        <v>104908.33609329831</v>
      </c>
      <c r="J613" s="12" t="str">
        <f>IF(TOTALCO!J1142="", "",TOTALCO!J1142)</f>
        <v/>
      </c>
      <c r="K613" s="12" t="str">
        <f>IF(TOTALCO!K1142="", "",TOTALCO!K1142)</f>
        <v/>
      </c>
      <c r="L613" s="12">
        <f ca="1">IF(TOTALCO!L1142="", "",TOTALCO!L1142)</f>
        <v>0</v>
      </c>
      <c r="M613" s="12" t="str">
        <f>IF(TOTALCO!M1142="", "",TOTALCO!M1142)</f>
        <v/>
      </c>
      <c r="N613" s="12">
        <f ca="1">IF(TOTALCO!N1142="", "",TOTALCO!N1142)</f>
        <v>104908.33609329831</v>
      </c>
      <c r="O613" s="12">
        <f ca="1">IF(TOTALCO!O1142="", "",TOTALCO!O1142)</f>
        <v>90152.054576849579</v>
      </c>
      <c r="P613" s="12">
        <f ca="1">IF(TOTALCO!P1142="", "",TOTALCO!P1142)</f>
        <v>14756.281516448727</v>
      </c>
      <c r="Q613" s="12"/>
      <c r="R613" s="13"/>
    </row>
    <row r="614" spans="1:18" ht="15" x14ac:dyDescent="0.2">
      <c r="A614" s="382">
        <f>IF(TOTALCO!A1143="", "",TOTALCO!A1143)</f>
        <v>21</v>
      </c>
      <c r="B614" s="4" t="str">
        <f>IF(TOTALCO!B1143="", "",TOTALCO!B1143)</f>
        <v xml:space="preserve">   DISTRIBUTION-VIRGINIA</v>
      </c>
      <c r="C614" s="4" t="str">
        <f>IF(TOTALCO!C1143="", "",TOTALCO!C1143)</f>
        <v>VADIST</v>
      </c>
      <c r="D614" s="12">
        <f ca="1">IF(TOTALCO!D1143="", "",TOTALCO!D1143)</f>
        <v>1439882.38</v>
      </c>
      <c r="E614" s="12" t="str">
        <f>IF(TOTALCO!E1143="", "",TOTALCO!E1143)</f>
        <v/>
      </c>
      <c r="F614" s="12">
        <f ca="1">IF(TOTALCO!F1143="", "",TOTALCO!F1143)</f>
        <v>0</v>
      </c>
      <c r="G614" s="12" t="str">
        <f>IF(TOTALCO!G1143="", "",TOTALCO!G1143)</f>
        <v/>
      </c>
      <c r="H614" s="12">
        <f ca="1">IF(TOTALCO!H1143="", "",TOTALCO!H1143)</f>
        <v>1439882.38</v>
      </c>
      <c r="I614" s="12">
        <f ca="1">IF(TOTALCO!I1143="", "",TOTALCO!I1143)</f>
        <v>0</v>
      </c>
      <c r="J614" s="12" t="str">
        <f>IF(TOTALCO!J1143="", "",TOTALCO!J1143)</f>
        <v/>
      </c>
      <c r="K614" s="12" t="str">
        <f>IF(TOTALCO!K1143="", "",TOTALCO!K1143)</f>
        <v/>
      </c>
      <c r="L614" s="12">
        <f ca="1">IF(TOTALCO!L1143="", "",TOTALCO!L1143)</f>
        <v>0</v>
      </c>
      <c r="M614" s="12" t="str">
        <f>IF(TOTALCO!M1143="", "",TOTALCO!M1143)</f>
        <v/>
      </c>
      <c r="N614" s="12">
        <f ca="1">IF(TOTALCO!N1143="", "",TOTALCO!N1143)</f>
        <v>0</v>
      </c>
      <c r="O614" s="12">
        <f ca="1">IF(TOTALCO!O1143="", "",TOTALCO!O1143)</f>
        <v>0</v>
      </c>
      <c r="P614" s="12">
        <f ca="1">IF(TOTALCO!P1143="", "",TOTALCO!P1143)</f>
        <v>0</v>
      </c>
      <c r="Q614" s="12"/>
      <c r="R614" s="13"/>
    </row>
    <row r="615" spans="1:18" ht="15" x14ac:dyDescent="0.2">
      <c r="A615" s="382">
        <f>IF(TOTALCO!A1144="", "",TOTALCO!A1144)</f>
        <v>22</v>
      </c>
      <c r="B615" s="4" t="str">
        <f>IF(TOTALCO!B1144="", "",TOTALCO!B1144)</f>
        <v xml:space="preserve">   DISTRIBUTION-TENNESSEE</v>
      </c>
      <c r="C615" s="4" t="str">
        <f>IF(TOTALCO!C1144="", "",TOTALCO!C1144)</f>
        <v>TNDIST</v>
      </c>
      <c r="D615" s="12">
        <f ca="1">IF(TOTALCO!D1144="", "",TOTALCO!D1144)</f>
        <v>2258.17</v>
      </c>
      <c r="E615" s="12" t="str">
        <f>IF(TOTALCO!E1144="", "",TOTALCO!E1144)</f>
        <v/>
      </c>
      <c r="F615" s="12">
        <f ca="1">IF(TOTALCO!F1144="", "",TOTALCO!F1144)</f>
        <v>0</v>
      </c>
      <c r="G615" s="12" t="str">
        <f>IF(TOTALCO!G1144="", "",TOTALCO!G1144)</f>
        <v/>
      </c>
      <c r="H615" s="12">
        <f ca="1">IF(TOTALCO!H1144="", "",TOTALCO!H1144)</f>
        <v>0</v>
      </c>
      <c r="I615" s="12">
        <f ca="1">IF(TOTALCO!I1144="", "",TOTALCO!I1144)</f>
        <v>2258.17</v>
      </c>
      <c r="J615" s="12" t="str">
        <f>IF(TOTALCO!J1144="", "",TOTALCO!J1144)</f>
        <v/>
      </c>
      <c r="K615" s="12" t="str">
        <f>IF(TOTALCO!K1144="", "",TOTALCO!K1144)</f>
        <v/>
      </c>
      <c r="L615" s="12">
        <f ca="1">IF(TOTALCO!L1144="", "",TOTALCO!L1144)</f>
        <v>2258.17</v>
      </c>
      <c r="M615" s="12" t="str">
        <f>IF(TOTALCO!M1144="", "",TOTALCO!M1144)</f>
        <v/>
      </c>
      <c r="N615" s="12">
        <f ca="1">IF(TOTALCO!N1144="", "",TOTALCO!N1144)</f>
        <v>0</v>
      </c>
      <c r="O615" s="12">
        <f ca="1">IF(TOTALCO!O1144="", "",TOTALCO!O1144)</f>
        <v>0</v>
      </c>
      <c r="P615" s="12">
        <f ca="1">IF(TOTALCO!P1144="", "",TOTALCO!P1144)</f>
        <v>0</v>
      </c>
      <c r="Q615" s="12"/>
      <c r="R615" s="13"/>
    </row>
    <row r="616" spans="1:18" ht="15" x14ac:dyDescent="0.2">
      <c r="A616" s="382">
        <f>IF(TOTALCO!A1145="", "",TOTALCO!A1145)</f>
        <v>23</v>
      </c>
      <c r="B616" s="4" t="str">
        <f>IF(TOTALCO!B1145="", "",TOTALCO!B1145)</f>
        <v xml:space="preserve"> TOTAL DISTRIBUTION PLANT</v>
      </c>
      <c r="C616" s="4" t="str">
        <f>IF(TOTALCO!C1145="", "",TOTALCO!C1145)</f>
        <v/>
      </c>
      <c r="D616" s="12">
        <f ca="1">IF(TOTALCO!D1145="", "",TOTALCO!D1145)</f>
        <v>34290282.920000009</v>
      </c>
      <c r="E616" s="12" t="str">
        <f>IF(TOTALCO!E1145="", "",TOTALCO!E1145)</f>
        <v/>
      </c>
      <c r="F616" s="12">
        <f ca="1">IF(TOTALCO!F1145="", "",TOTALCO!F1145)</f>
        <v>32743234.033906706</v>
      </c>
      <c r="G616" s="12" t="str">
        <f>IF(TOTALCO!G1145="", "",TOTALCO!G1145)</f>
        <v/>
      </c>
      <c r="H616" s="12">
        <f ca="1">IF(TOTALCO!H1145="", "",TOTALCO!H1145)</f>
        <v>1439882.38</v>
      </c>
      <c r="I616" s="12">
        <f ca="1">IF(TOTALCO!I1145="", "",TOTALCO!I1145)</f>
        <v>107166.5060932983</v>
      </c>
      <c r="J616" s="12" t="str">
        <f>IF(TOTALCO!J1145="", "",TOTALCO!J1145)</f>
        <v/>
      </c>
      <c r="K616" s="12" t="str">
        <f>IF(TOTALCO!K1145="", "",TOTALCO!K1145)</f>
        <v/>
      </c>
      <c r="L616" s="12">
        <f ca="1">IF(TOTALCO!L1145="", "",TOTALCO!L1145)</f>
        <v>2258.17</v>
      </c>
      <c r="M616" s="12" t="str">
        <f>IF(TOTALCO!M1145="", "",TOTALCO!M1145)</f>
        <v/>
      </c>
      <c r="N616" s="12">
        <f ca="1">IF(TOTALCO!N1145="", "",TOTALCO!N1145)</f>
        <v>104908.33609329831</v>
      </c>
      <c r="O616" s="12">
        <f ca="1">IF(TOTALCO!O1145="", "",TOTALCO!O1145)</f>
        <v>90152.054576849579</v>
      </c>
      <c r="P616" s="12">
        <f ca="1">IF(TOTALCO!P1145="", "",TOTALCO!P1145)</f>
        <v>14756.281516448727</v>
      </c>
      <c r="Q616" s="12"/>
      <c r="R616" s="13"/>
    </row>
    <row r="617" spans="1:18" ht="15" x14ac:dyDescent="0.2">
      <c r="A617" s="382" t="str">
        <f>IF(TOTALCO!A1146="", "",TOTALCO!A1146)</f>
        <v/>
      </c>
      <c r="B617" s="4" t="str">
        <f>IF(TOTALCO!B1146="", "",TOTALCO!B1146)</f>
        <v/>
      </c>
      <c r="C617" s="4" t="str">
        <f>IF(TOTALCO!C1146="", "",TOTALCO!C1146)</f>
        <v/>
      </c>
      <c r="D617" s="12" t="str">
        <f>IF(TOTALCO!D1146="", "",TOTALCO!D1146)</f>
        <v/>
      </c>
      <c r="E617" s="12" t="str">
        <f>IF(TOTALCO!E1146="", "",TOTALCO!E1146)</f>
        <v/>
      </c>
      <c r="F617" s="12" t="str">
        <f>IF(TOTALCO!F1146="", "",TOTALCO!F1146)</f>
        <v/>
      </c>
      <c r="G617" s="12" t="str">
        <f>IF(TOTALCO!G1146="", "",TOTALCO!G1146)</f>
        <v/>
      </c>
      <c r="H617" s="12" t="str">
        <f>IF(TOTALCO!H1146="", "",TOTALCO!H1146)</f>
        <v/>
      </c>
      <c r="I617" s="12" t="str">
        <f>IF(TOTALCO!I1146="", "",TOTALCO!I1146)</f>
        <v/>
      </c>
      <c r="J617" s="12" t="str">
        <f>IF(TOTALCO!J1146="", "",TOTALCO!J1146)</f>
        <v/>
      </c>
      <c r="K617" s="12" t="str">
        <f>IF(TOTALCO!K1146="", "",TOTALCO!K1146)</f>
        <v/>
      </c>
      <c r="L617" s="12" t="str">
        <f>IF(TOTALCO!L1146="", "",TOTALCO!L1146)</f>
        <v/>
      </c>
      <c r="M617" s="12" t="str">
        <f>IF(TOTALCO!M1146="", "",TOTALCO!M1146)</f>
        <v/>
      </c>
      <c r="N617" s="12" t="str">
        <f>IF(TOTALCO!N1146="", "",TOTALCO!N1146)</f>
        <v/>
      </c>
      <c r="O617" s="12" t="str">
        <f>IF(TOTALCO!O1146="", "",TOTALCO!O1146)</f>
        <v/>
      </c>
      <c r="P617" s="12" t="str">
        <f>IF(TOTALCO!P1146="", "",TOTALCO!P1146)</f>
        <v/>
      </c>
      <c r="Q617" s="12"/>
      <c r="R617" s="13"/>
    </row>
    <row r="618" spans="1:18" ht="15" x14ac:dyDescent="0.2">
      <c r="A618" s="382">
        <f>IF(TOTALCO!A1147="", "",TOTALCO!A1147)</f>
        <v>24</v>
      </c>
      <c r="B618" s="4" t="str">
        <f>IF(TOTALCO!B1147="", "",TOTALCO!B1147)</f>
        <v xml:space="preserve"> GENERAL PLANT</v>
      </c>
      <c r="C618" s="4" t="str">
        <f>IF(TOTALCO!C1147="", "",TOTALCO!C1147)</f>
        <v>GENPLT</v>
      </c>
      <c r="D618" s="12">
        <f ca="1">IF(TOTALCO!D1147="", "",TOTALCO!D1147)</f>
        <v>6408657.6599999992</v>
      </c>
      <c r="E618" s="12" t="str">
        <f>IF(TOTALCO!E1147="", "",TOTALCO!E1147)</f>
        <v/>
      </c>
      <c r="F618" s="12">
        <f ca="1">IF(TOTALCO!F1147="", "",TOTALCO!F1147)</f>
        <v>5699724.4260474555</v>
      </c>
      <c r="G618" s="12" t="str">
        <f>IF(TOTALCO!G1147="", "",TOTALCO!G1147)</f>
        <v/>
      </c>
      <c r="H618" s="12">
        <f ca="1">IF(TOTALCO!H1147="", "",TOTALCO!H1147)</f>
        <v>351149.48903322767</v>
      </c>
      <c r="I618" s="12">
        <f ca="1">IF(TOTALCO!I1147="", "",TOTALCO!I1147)</f>
        <v>357783.74491931632</v>
      </c>
      <c r="J618" s="12" t="str">
        <f>IF(TOTALCO!J1147="", "",TOTALCO!J1147)</f>
        <v/>
      </c>
      <c r="K618" s="12" t="str">
        <f>IF(TOTALCO!K1147="", "",TOTALCO!K1147)</f>
        <v/>
      </c>
      <c r="L618" s="12">
        <f ca="1">IF(TOTALCO!L1147="", "",TOTALCO!L1147)</f>
        <v>196.73701544464225</v>
      </c>
      <c r="M618" s="12" t="str">
        <f>IF(TOTALCO!M1147="", "",TOTALCO!M1147)</f>
        <v/>
      </c>
      <c r="N618" s="12">
        <f ca="1">IF(TOTALCO!N1147="", "",TOTALCO!N1147)</f>
        <v>357587.00790387165</v>
      </c>
      <c r="O618" s="12">
        <f ca="1">IF(TOTALCO!O1147="", "",TOTALCO!O1147)</f>
        <v>116166.63208117895</v>
      </c>
      <c r="P618" s="12">
        <f ca="1">IF(TOTALCO!P1147="", "",TOTALCO!P1147)</f>
        <v>241420.3758226927</v>
      </c>
      <c r="Q618" s="12"/>
      <c r="R618" s="13"/>
    </row>
    <row r="619" spans="1:18" ht="15" x14ac:dyDescent="0.2">
      <c r="A619" s="382" t="str">
        <f>IF(TOTALCO!A1148="", "",TOTALCO!A1148)</f>
        <v/>
      </c>
      <c r="B619" s="4" t="str">
        <f>IF(TOTALCO!B1148="", "",TOTALCO!B1148)</f>
        <v/>
      </c>
      <c r="C619" s="4" t="str">
        <f>IF(TOTALCO!C1148="", "",TOTALCO!C1148)</f>
        <v/>
      </c>
      <c r="D619" s="12" t="str">
        <f>IF(TOTALCO!D1148="", "",TOTALCO!D1148)</f>
        <v/>
      </c>
      <c r="E619" s="12" t="str">
        <f>IF(TOTALCO!E1148="", "",TOTALCO!E1148)</f>
        <v/>
      </c>
      <c r="F619" s="12" t="str">
        <f>IF(TOTALCO!F1148="", "",TOTALCO!F1148)</f>
        <v/>
      </c>
      <c r="G619" s="12" t="str">
        <f>IF(TOTALCO!G1148="", "",TOTALCO!G1148)</f>
        <v/>
      </c>
      <c r="H619" s="12" t="str">
        <f>IF(TOTALCO!H1148="", "",TOTALCO!H1148)</f>
        <v/>
      </c>
      <c r="I619" s="12" t="str">
        <f>IF(TOTALCO!I1148="", "",TOTALCO!I1148)</f>
        <v/>
      </c>
      <c r="J619" s="12" t="str">
        <f>IF(TOTALCO!J1148="", "",TOTALCO!J1148)</f>
        <v/>
      </c>
      <c r="K619" s="12" t="str">
        <f>IF(TOTALCO!K1148="", "",TOTALCO!K1148)</f>
        <v/>
      </c>
      <c r="L619" s="12" t="str">
        <f>IF(TOTALCO!L1148="", "",TOTALCO!L1148)</f>
        <v/>
      </c>
      <c r="M619" s="12" t="str">
        <f>IF(TOTALCO!M1148="", "",TOTALCO!M1148)</f>
        <v/>
      </c>
      <c r="N619" s="12" t="str">
        <f>IF(TOTALCO!N1148="", "",TOTALCO!N1148)</f>
        <v/>
      </c>
      <c r="O619" s="12" t="str">
        <f>IF(TOTALCO!O1148="", "",TOTALCO!O1148)</f>
        <v/>
      </c>
      <c r="P619" s="12" t="str">
        <f>IF(TOTALCO!P1148="", "",TOTALCO!P1148)</f>
        <v/>
      </c>
      <c r="Q619" s="12"/>
      <c r="R619" s="13"/>
    </row>
    <row r="620" spans="1:18" ht="15" x14ac:dyDescent="0.2">
      <c r="A620" s="382">
        <f>IF(TOTALCO!A1149="", "",TOTALCO!A1149)</f>
        <v>25</v>
      </c>
      <c r="B620" s="4" t="str">
        <f>IF(TOTALCO!B1149="", "",TOTALCO!B1149)</f>
        <v xml:space="preserve"> INTANGIBLE PLANT-SOFTWARE</v>
      </c>
      <c r="C620" s="4" t="str">
        <f>IF(TOTALCO!C1149="", "",TOTALCO!C1149)</f>
        <v>PLT303TOT</v>
      </c>
      <c r="D620" s="12">
        <f ca="1">IF(TOTALCO!D1149="", "",TOTALCO!D1149)</f>
        <v>7505149.4400000013</v>
      </c>
      <c r="E620" s="12" t="str">
        <f>IF(TOTALCO!E1149="", "",TOTALCO!E1149)</f>
        <v/>
      </c>
      <c r="F620" s="12">
        <f ca="1">IF(TOTALCO!F1149="", "",TOTALCO!F1149)</f>
        <v>6534688.0920223221</v>
      </c>
      <c r="G620" s="12" t="str">
        <f>IF(TOTALCO!G1149="", "",TOTALCO!G1149)</f>
        <v/>
      </c>
      <c r="H620" s="12">
        <f ca="1">IF(TOTALCO!H1149="", "",TOTALCO!H1149)</f>
        <v>445764.85214159515</v>
      </c>
      <c r="I620" s="12">
        <f ca="1">IF(TOTALCO!I1149="", "",TOTALCO!I1149)</f>
        <v>524696.49583608343</v>
      </c>
      <c r="J620" s="12" t="str">
        <f>IF(TOTALCO!J1149="", "",TOTALCO!J1149)</f>
        <v/>
      </c>
      <c r="K620" s="12" t="str">
        <f>IF(TOTALCO!K1149="", "",TOTALCO!K1149)</f>
        <v/>
      </c>
      <c r="L620" s="12">
        <f ca="1">IF(TOTALCO!L1149="", "",TOTALCO!L1149)</f>
        <v>236.65505629880028</v>
      </c>
      <c r="M620" s="12" t="str">
        <f>IF(TOTALCO!M1149="", "",TOTALCO!M1149)</f>
        <v/>
      </c>
      <c r="N620" s="12">
        <f ca="1">IF(TOTALCO!N1149="", "",TOTALCO!N1149)</f>
        <v>524459.8407797846</v>
      </c>
      <c r="O620" s="12">
        <f ca="1">IF(TOTALCO!O1149="", "",TOTALCO!O1149)</f>
        <v>166521.86764483288</v>
      </c>
      <c r="P620" s="12">
        <f ca="1">IF(TOTALCO!P1149="", "",TOTALCO!P1149)</f>
        <v>357937.97313495172</v>
      </c>
      <c r="Q620" s="12"/>
      <c r="R620" s="13"/>
    </row>
    <row r="621" spans="1:18" ht="15" x14ac:dyDescent="0.2">
      <c r="A621" s="382" t="str">
        <f>IF(TOTALCO!A1150="", "",TOTALCO!A1150)</f>
        <v/>
      </c>
      <c r="B621" s="4" t="str">
        <f>IF(TOTALCO!B1150="", "",TOTALCO!B1150)</f>
        <v/>
      </c>
      <c r="C621" s="4" t="str">
        <f>IF(TOTALCO!C1150="", "",TOTALCO!C1150)</f>
        <v/>
      </c>
      <c r="D621" s="12" t="str">
        <f>IF(TOTALCO!D1150="", "",TOTALCO!D1150)</f>
        <v/>
      </c>
      <c r="E621" s="12" t="str">
        <f>IF(TOTALCO!E1150="", "",TOTALCO!E1150)</f>
        <v/>
      </c>
      <c r="F621" s="12" t="str">
        <f>IF(TOTALCO!F1150="", "",TOTALCO!F1150)</f>
        <v/>
      </c>
      <c r="G621" s="12" t="str">
        <f>IF(TOTALCO!G1150="", "",TOTALCO!G1150)</f>
        <v/>
      </c>
      <c r="H621" s="12" t="str">
        <f>IF(TOTALCO!H1150="", "",TOTALCO!H1150)</f>
        <v/>
      </c>
      <c r="I621" s="12" t="str">
        <f>IF(TOTALCO!I1150="", "",TOTALCO!I1150)</f>
        <v/>
      </c>
      <c r="J621" s="12" t="str">
        <f>IF(TOTALCO!J1150="", "",TOTALCO!J1150)</f>
        <v/>
      </c>
      <c r="K621" s="12" t="str">
        <f>IF(TOTALCO!K1150="", "",TOTALCO!K1150)</f>
        <v/>
      </c>
      <c r="L621" s="12" t="str">
        <f>IF(TOTALCO!L1150="", "",TOTALCO!L1150)</f>
        <v/>
      </c>
      <c r="M621" s="12" t="str">
        <f>IF(TOTALCO!M1150="", "",TOTALCO!M1150)</f>
        <v/>
      </c>
      <c r="N621" s="12" t="str">
        <f>IF(TOTALCO!N1150="", "",TOTALCO!N1150)</f>
        <v/>
      </c>
      <c r="O621" s="12" t="str">
        <f>IF(TOTALCO!O1150="", "",TOTALCO!O1150)</f>
        <v/>
      </c>
      <c r="P621" s="12" t="str">
        <f>IF(TOTALCO!P1150="", "",TOTALCO!P1150)</f>
        <v/>
      </c>
      <c r="Q621" s="12"/>
      <c r="R621" s="13"/>
    </row>
    <row r="622" spans="1:18" ht="15" x14ac:dyDescent="0.2">
      <c r="A622" s="382">
        <f>IF(TOTALCO!A1151="", "",TOTALCO!A1151)</f>
        <v>26</v>
      </c>
      <c r="B622" s="4" t="str">
        <f>IF(TOTALCO!B1151="", "",TOTALCO!B1151)</f>
        <v xml:space="preserve"> INTANGIBLE PLANT-FRANCHISES</v>
      </c>
      <c r="C622" s="4" t="str">
        <f>IF(TOTALCO!C1151="", "",TOTALCO!C1151)</f>
        <v>PLT302TOT</v>
      </c>
      <c r="D622" s="12">
        <f ca="1">IF(TOTALCO!D1151="", "",TOTALCO!D1151)</f>
        <v>0</v>
      </c>
      <c r="E622" s="12" t="str">
        <f>IF(TOTALCO!E1151="", "",TOTALCO!E1151)</f>
        <v/>
      </c>
      <c r="F622" s="12">
        <f ca="1">IF(TOTALCO!F1151="", "",TOTALCO!F1151)</f>
        <v>0</v>
      </c>
      <c r="G622" s="12" t="str">
        <f>IF(TOTALCO!G1151="", "",TOTALCO!G1151)</f>
        <v/>
      </c>
      <c r="H622" s="12">
        <f ca="1">IF(TOTALCO!H1151="", "",TOTALCO!H1151)</f>
        <v>0</v>
      </c>
      <c r="I622" s="12">
        <f ca="1">IF(TOTALCO!I1151="", "",TOTALCO!I1151)</f>
        <v>0</v>
      </c>
      <c r="J622" s="12" t="str">
        <f>IF(TOTALCO!J1151="", "",TOTALCO!J1151)</f>
        <v/>
      </c>
      <c r="K622" s="12" t="str">
        <f>IF(TOTALCO!K1151="", "",TOTALCO!K1151)</f>
        <v/>
      </c>
      <c r="L622" s="12">
        <f ca="1">IF(TOTALCO!L1151="", "",TOTALCO!L1151)</f>
        <v>0</v>
      </c>
      <c r="M622" s="12" t="str">
        <f>IF(TOTALCO!M1151="", "",TOTALCO!M1151)</f>
        <v/>
      </c>
      <c r="N622" s="12">
        <f ca="1">IF(TOTALCO!N1151="", "",TOTALCO!N1151)</f>
        <v>0</v>
      </c>
      <c r="O622" s="12">
        <f ca="1">IF(TOTALCO!O1151="", "",TOTALCO!O1151)</f>
        <v>0</v>
      </c>
      <c r="P622" s="12">
        <f ca="1">IF(TOTALCO!P1151="", "",TOTALCO!P1151)</f>
        <v>0</v>
      </c>
      <c r="Q622" s="12"/>
      <c r="R622" s="13"/>
    </row>
    <row r="623" spans="1:18" ht="15" x14ac:dyDescent="0.2">
      <c r="A623" s="382" t="str">
        <f>IF(TOTALCO!A1152="", "",TOTALCO!A1152)</f>
        <v/>
      </c>
      <c r="B623" s="4" t="str">
        <f>IF(TOTALCO!B1152="", "",TOTALCO!B1152)</f>
        <v/>
      </c>
      <c r="C623" s="4" t="str">
        <f>IF(TOTALCO!C1152="", "",TOTALCO!C1152)</f>
        <v/>
      </c>
      <c r="D623" s="12" t="str">
        <f>IF(TOTALCO!D1152="", "",TOTALCO!D1152)</f>
        <v/>
      </c>
      <c r="E623" s="12" t="str">
        <f>IF(TOTALCO!E1152="", "",TOTALCO!E1152)</f>
        <v/>
      </c>
      <c r="F623" s="12" t="str">
        <f>IF(TOTALCO!F1152="", "",TOTALCO!F1152)</f>
        <v/>
      </c>
      <c r="G623" s="12" t="str">
        <f>IF(TOTALCO!G1152="", "",TOTALCO!G1152)</f>
        <v/>
      </c>
      <c r="H623" s="12" t="str">
        <f>IF(TOTALCO!H1152="", "",TOTALCO!H1152)</f>
        <v/>
      </c>
      <c r="I623" s="12" t="str">
        <f>IF(TOTALCO!I1152="", "",TOTALCO!I1152)</f>
        <v/>
      </c>
      <c r="J623" s="12" t="str">
        <f>IF(TOTALCO!J1152="", "",TOTALCO!J1152)</f>
        <v/>
      </c>
      <c r="K623" s="12" t="str">
        <f>IF(TOTALCO!K1152="", "",TOTALCO!K1152)</f>
        <v/>
      </c>
      <c r="L623" s="12" t="str">
        <f>IF(TOTALCO!L1152="", "",TOTALCO!L1152)</f>
        <v/>
      </c>
      <c r="M623" s="12" t="str">
        <f>IF(TOTALCO!M1152="", "",TOTALCO!M1152)</f>
        <v/>
      </c>
      <c r="N623" s="12" t="str">
        <f>IF(TOTALCO!N1152="", "",TOTALCO!N1152)</f>
        <v/>
      </c>
      <c r="O623" s="12" t="str">
        <f>IF(TOTALCO!O1152="", "",TOTALCO!O1152)</f>
        <v/>
      </c>
      <c r="P623" s="12" t="str">
        <f>IF(TOTALCO!P1152="", "",TOTALCO!P1152)</f>
        <v/>
      </c>
      <c r="Q623" s="12"/>
      <c r="R623" s="13"/>
    </row>
    <row r="624" spans="1:18" ht="15" x14ac:dyDescent="0.2">
      <c r="A624" s="382">
        <f>IF(TOTALCO!A1153="", "",TOTALCO!A1153)</f>
        <v>27</v>
      </c>
      <c r="B624" s="4" t="str">
        <f>IF(TOTALCO!B1153="", "",TOTALCO!B1153)</f>
        <v>TOTAL DEPREC &amp; AMORT EXP</v>
      </c>
      <c r="C624" s="4" t="str">
        <f>IF(TOTALCO!C1153="", "",TOTALCO!C1153)</f>
        <v/>
      </c>
      <c r="D624" s="12">
        <f ca="1">IF(TOTALCO!D1153="", "",TOTALCO!D1153)</f>
        <v>192192743.09</v>
      </c>
      <c r="E624" s="12" t="str">
        <f>IF(TOTALCO!E1153="", "",TOTALCO!E1153)</f>
        <v/>
      </c>
      <c r="F624" s="12">
        <f ca="1">IF(TOTALCO!F1153="", "",TOTALCO!F1153)</f>
        <v>167700748.64225844</v>
      </c>
      <c r="G624" s="12" t="str">
        <f>IF(TOTALCO!G1153="", "",TOTALCO!G1153)</f>
        <v/>
      </c>
      <c r="H624" s="12">
        <f ca="1">IF(TOTALCO!H1153="", "",TOTALCO!H1153)</f>
        <v>10428735.887909818</v>
      </c>
      <c r="I624" s="12">
        <f ca="1">IF(TOTALCO!I1153="", "",TOTALCO!I1153)</f>
        <v>14063258.55983174</v>
      </c>
      <c r="J624" s="12" t="str">
        <f>IF(TOTALCO!J1153="", "",TOTALCO!J1153)</f>
        <v/>
      </c>
      <c r="K624" s="12" t="str">
        <f>IF(TOTALCO!K1153="", "",TOTALCO!K1153)</f>
        <v/>
      </c>
      <c r="L624" s="12">
        <f ca="1">IF(TOTALCO!L1153="", "",TOTALCO!L1153)</f>
        <v>3776.6514252515553</v>
      </c>
      <c r="M624" s="12" t="str">
        <f>IF(TOTALCO!M1153="", "",TOTALCO!M1153)</f>
        <v/>
      </c>
      <c r="N624" s="12">
        <f ca="1">IF(TOTALCO!N1153="", "",TOTALCO!N1153)</f>
        <v>14059481.908406489</v>
      </c>
      <c r="O624" s="12">
        <f ca="1">IF(TOTALCO!O1153="", "",TOTALCO!O1153)</f>
        <v>4451800.5717718694</v>
      </c>
      <c r="P624" s="12">
        <f ca="1">IF(TOTALCO!P1153="", "",TOTALCO!P1153)</f>
        <v>9607681.3366346192</v>
      </c>
      <c r="Q624" s="12"/>
      <c r="R624" s="13"/>
    </row>
    <row r="625" spans="1:18" ht="15" x14ac:dyDescent="0.2">
      <c r="A625" s="382" t="str">
        <f>IF(TOTALCO!A1155="", "",TOTALCO!A1155)</f>
        <v/>
      </c>
      <c r="B625" s="4" t="str">
        <f>IF(TOTALCO!B1155="", "",TOTALCO!B1155)</f>
        <v/>
      </c>
      <c r="C625" s="4" t="str">
        <f>IF(TOTALCO!C1155="", "",TOTALCO!C1155)</f>
        <v/>
      </c>
      <c r="D625" s="12" t="str">
        <f>IF(TOTALCO!D1155="", "",TOTALCO!D1155)</f>
        <v/>
      </c>
      <c r="E625" s="12" t="str">
        <f>IF(TOTALCO!E1155="", "",TOTALCO!E1155)</f>
        <v/>
      </c>
      <c r="F625" s="12" t="str">
        <f>IF(TOTALCO!F1155="", "",TOTALCO!F1155)</f>
        <v/>
      </c>
      <c r="G625" s="12" t="str">
        <f>IF(TOTALCO!G1155="", "",TOTALCO!G1155)</f>
        <v/>
      </c>
      <c r="H625" s="12" t="str">
        <f>IF(TOTALCO!H1155="", "",TOTALCO!H1155)</f>
        <v/>
      </c>
      <c r="I625" s="12" t="str">
        <f>IF(TOTALCO!I1155="", "",TOTALCO!I1155)</f>
        <v/>
      </c>
      <c r="J625" s="12" t="str">
        <f>IF(TOTALCO!J1155="", "",TOTALCO!J1155)</f>
        <v/>
      </c>
      <c r="K625" s="12" t="str">
        <f>IF(TOTALCO!K1155="", "",TOTALCO!K1155)</f>
        <v/>
      </c>
      <c r="L625" s="12" t="str">
        <f>IF(TOTALCO!L1155="", "",TOTALCO!L1155)</f>
        <v/>
      </c>
      <c r="M625" s="12" t="str">
        <f>IF(TOTALCO!M1155="", "",TOTALCO!M1155)</f>
        <v/>
      </c>
      <c r="N625" s="12" t="str">
        <f>IF(TOTALCO!N1155="", "",TOTALCO!N1155)</f>
        <v/>
      </c>
      <c r="O625" s="12" t="str">
        <f>IF(TOTALCO!O1155="", "",TOTALCO!O1155)</f>
        <v/>
      </c>
      <c r="P625" s="12" t="str">
        <f>IF(TOTALCO!P1155="", "",TOTALCO!P1155)</f>
        <v/>
      </c>
      <c r="Q625" s="12"/>
      <c r="R625" s="13"/>
    </row>
    <row r="626" spans="1:18" ht="15" x14ac:dyDescent="0.2">
      <c r="A626" s="382" t="str">
        <f>IF(TOTALCO!A1155="", "",TOTALCO!A1155)</f>
        <v/>
      </c>
      <c r="B626" s="4" t="str">
        <f>IF(TOTALCO!B1155="", "",TOTALCO!B1155)</f>
        <v/>
      </c>
      <c r="C626" s="4" t="str">
        <f>IF(TOTALCO!C1155="", "",TOTALCO!C1155)</f>
        <v/>
      </c>
      <c r="D626" s="12" t="str">
        <f>IF(TOTALCO!D1155="", "",TOTALCO!D1155)</f>
        <v/>
      </c>
      <c r="E626" s="12" t="str">
        <f>IF(TOTALCO!E1155="", "",TOTALCO!E1155)</f>
        <v/>
      </c>
      <c r="F626" s="12" t="str">
        <f>IF(TOTALCO!F1155="", "",TOTALCO!F1155)</f>
        <v/>
      </c>
      <c r="G626" s="12" t="str">
        <f>IF(TOTALCO!G1155="", "",TOTALCO!G1155)</f>
        <v/>
      </c>
      <c r="H626" s="12" t="str">
        <f>IF(TOTALCO!H1155="", "",TOTALCO!H1155)</f>
        <v/>
      </c>
      <c r="I626" s="12" t="str">
        <f>IF(TOTALCO!I1155="", "",TOTALCO!I1155)</f>
        <v/>
      </c>
      <c r="J626" s="12" t="str">
        <f>IF(TOTALCO!J1155="", "",TOTALCO!J1155)</f>
        <v/>
      </c>
      <c r="K626" s="12" t="str">
        <f>IF(TOTALCO!K1155="", "",TOTALCO!K1155)</f>
        <v/>
      </c>
      <c r="L626" s="12" t="str">
        <f>IF(TOTALCO!L1155="", "",TOTALCO!L1155)</f>
        <v/>
      </c>
      <c r="M626" s="12" t="str">
        <f>IF(TOTALCO!M1155="", "",TOTALCO!M1155)</f>
        <v/>
      </c>
      <c r="N626" s="12" t="str">
        <f>IF(TOTALCO!N1155="", "",TOTALCO!N1155)</f>
        <v/>
      </c>
      <c r="O626" s="12" t="str">
        <f>IF(TOTALCO!O1155="", "",TOTALCO!O1155)</f>
        <v/>
      </c>
      <c r="P626" s="12" t="str">
        <f>IF(TOTALCO!P1155="", "",TOTALCO!P1155)</f>
        <v/>
      </c>
      <c r="Q626" s="12"/>
      <c r="R626" s="13"/>
    </row>
    <row r="627" spans="1:18" ht="15" x14ac:dyDescent="0.2">
      <c r="A627" s="382" t="str">
        <f>IF(TOTALCO!A1156="", "",TOTALCO!A1156)</f>
        <v/>
      </c>
      <c r="B627" s="4" t="str">
        <f>IF(TOTALCO!B1156="", "",TOTALCO!B1156)</f>
        <v>REGULATORY CREDITS AND ACCRETION</v>
      </c>
      <c r="C627" s="4" t="str">
        <f>IF(TOTALCO!C1156="", "",TOTALCO!C1156)</f>
        <v/>
      </c>
      <c r="D627" s="12" t="str">
        <f>IF(TOTALCO!D1156="", "",TOTALCO!D1156)</f>
        <v/>
      </c>
      <c r="E627" s="12" t="str">
        <f>IF(TOTALCO!E1156="", "",TOTALCO!E1156)</f>
        <v/>
      </c>
      <c r="F627" s="12" t="str">
        <f>IF(TOTALCO!F1156="", "",TOTALCO!F1156)</f>
        <v/>
      </c>
      <c r="G627" s="12" t="str">
        <f>IF(TOTALCO!G1156="", "",TOTALCO!G1156)</f>
        <v/>
      </c>
      <c r="H627" s="12" t="str">
        <f>IF(TOTALCO!H1156="", "",TOTALCO!H1156)</f>
        <v/>
      </c>
      <c r="I627" s="12" t="str">
        <f>IF(TOTALCO!I1156="", "",TOTALCO!I1156)</f>
        <v/>
      </c>
      <c r="J627" s="12" t="str">
        <f>IF(TOTALCO!J1156="", "",TOTALCO!J1156)</f>
        <v/>
      </c>
      <c r="K627" s="12" t="str">
        <f>IF(TOTALCO!K1156="", "",TOTALCO!K1156)</f>
        <v/>
      </c>
      <c r="L627" s="12" t="str">
        <f>IF(TOTALCO!L1156="", "",TOTALCO!L1156)</f>
        <v/>
      </c>
      <c r="M627" s="12" t="str">
        <f>IF(TOTALCO!M1156="", "",TOTALCO!M1156)</f>
        <v/>
      </c>
      <c r="N627" s="12" t="str">
        <f>IF(TOTALCO!N1156="", "",TOTALCO!N1156)</f>
        <v/>
      </c>
      <c r="O627" s="12" t="str">
        <f>IF(TOTALCO!O1156="", "",TOTALCO!O1156)</f>
        <v/>
      </c>
      <c r="P627" s="12" t="str">
        <f>IF(TOTALCO!P1156="", "",TOTALCO!P1156)</f>
        <v/>
      </c>
      <c r="Q627" s="12"/>
      <c r="R627" s="13"/>
    </row>
    <row r="628" spans="1:18" ht="15" x14ac:dyDescent="0.2">
      <c r="A628" s="382" t="str">
        <f>IF(TOTALCO!A1157="", "",TOTALCO!A1157)</f>
        <v/>
      </c>
      <c r="B628" s="4" t="str">
        <f>IF(TOTALCO!B1157="", "",TOTALCO!B1157)</f>
        <v/>
      </c>
      <c r="C628" s="4" t="str">
        <f>IF(TOTALCO!C1157="", "",TOTALCO!C1157)</f>
        <v/>
      </c>
      <c r="D628" s="12" t="str">
        <f>IF(TOTALCO!D1157="", "",TOTALCO!D1157)</f>
        <v/>
      </c>
      <c r="E628" s="12" t="str">
        <f>IF(TOTALCO!E1157="", "",TOTALCO!E1157)</f>
        <v/>
      </c>
      <c r="F628" s="12" t="str">
        <f>IF(TOTALCO!F1157="", "",TOTALCO!F1157)</f>
        <v/>
      </c>
      <c r="G628" s="12" t="str">
        <f>IF(TOTALCO!G1157="", "",TOTALCO!G1157)</f>
        <v/>
      </c>
      <c r="H628" s="12" t="str">
        <f>IF(TOTALCO!H1157="", "",TOTALCO!H1157)</f>
        <v/>
      </c>
      <c r="I628" s="12" t="str">
        <f>IF(TOTALCO!I1157="", "",TOTALCO!I1157)</f>
        <v/>
      </c>
      <c r="J628" s="12" t="str">
        <f>IF(TOTALCO!J1157="", "",TOTALCO!J1157)</f>
        <v/>
      </c>
      <c r="K628" s="12" t="str">
        <f>IF(TOTALCO!K1157="", "",TOTALCO!K1157)</f>
        <v/>
      </c>
      <c r="L628" s="12" t="str">
        <f>IF(TOTALCO!L1157="", "",TOTALCO!L1157)</f>
        <v/>
      </c>
      <c r="M628" s="12" t="str">
        <f>IF(TOTALCO!M1157="", "",TOTALCO!M1157)</f>
        <v/>
      </c>
      <c r="N628" s="12" t="str">
        <f>IF(TOTALCO!N1157="", "",TOTALCO!N1157)</f>
        <v/>
      </c>
      <c r="O628" s="12" t="str">
        <f>IF(TOTALCO!O1157="", "",TOTALCO!O1157)</f>
        <v/>
      </c>
      <c r="P628" s="12" t="str">
        <f>IF(TOTALCO!P1157="", "",TOTALCO!P1157)</f>
        <v/>
      </c>
      <c r="Q628" s="12"/>
      <c r="R628" s="13"/>
    </row>
    <row r="629" spans="1:18" ht="15" x14ac:dyDescent="0.2">
      <c r="A629" s="382" t="str">
        <f>IF(TOTALCO!A1158="", "",TOTALCO!A1158)</f>
        <v/>
      </c>
      <c r="B629" s="4" t="str">
        <f>IF(TOTALCO!B1158="", "",TOTALCO!B1158)</f>
        <v>REGULATORY CREDITS</v>
      </c>
      <c r="C629" s="4" t="str">
        <f>IF(TOTALCO!C1158="", "",TOTALCO!C1158)</f>
        <v/>
      </c>
      <c r="D629" s="12" t="str">
        <f>IF(TOTALCO!D1158="", "",TOTALCO!D1158)</f>
        <v/>
      </c>
      <c r="E629" s="12" t="str">
        <f>IF(TOTALCO!E1158="", "",TOTALCO!E1158)</f>
        <v/>
      </c>
      <c r="F629" s="12" t="str">
        <f>IF(TOTALCO!F1158="", "",TOTALCO!F1158)</f>
        <v/>
      </c>
      <c r="G629" s="12" t="str">
        <f>IF(TOTALCO!G1158="", "",TOTALCO!G1158)</f>
        <v/>
      </c>
      <c r="H629" s="12" t="str">
        <f>IF(TOTALCO!H1158="", "",TOTALCO!H1158)</f>
        <v/>
      </c>
      <c r="I629" s="12" t="str">
        <f>IF(TOTALCO!I1158="", "",TOTALCO!I1158)</f>
        <v/>
      </c>
      <c r="J629" s="12" t="str">
        <f>IF(TOTALCO!J1158="", "",TOTALCO!J1158)</f>
        <v/>
      </c>
      <c r="K629" s="12" t="str">
        <f>IF(TOTALCO!K1158="", "",TOTALCO!K1158)</f>
        <v/>
      </c>
      <c r="L629" s="12" t="str">
        <f>IF(TOTALCO!L1158="", "",TOTALCO!L1158)</f>
        <v/>
      </c>
      <c r="M629" s="12" t="str">
        <f>IF(TOTALCO!M1158="", "",TOTALCO!M1158)</f>
        <v/>
      </c>
      <c r="N629" s="12" t="str">
        <f>IF(TOTALCO!N1158="", "",TOTALCO!N1158)</f>
        <v/>
      </c>
      <c r="O629" s="12" t="str">
        <f>IF(TOTALCO!O1158="", "",TOTALCO!O1158)</f>
        <v/>
      </c>
      <c r="P629" s="12" t="str">
        <f>IF(TOTALCO!P1158="", "",TOTALCO!P1158)</f>
        <v/>
      </c>
      <c r="Q629" s="12"/>
      <c r="R629" s="13"/>
    </row>
    <row r="630" spans="1:18" ht="15" x14ac:dyDescent="0.2">
      <c r="A630" s="382" t="str">
        <f>IF(TOTALCO!A1159="", "",TOTALCO!A1159)</f>
        <v/>
      </c>
      <c r="B630" s="4" t="str">
        <f>IF(TOTALCO!B1159="", "",TOTALCO!B1159)</f>
        <v/>
      </c>
      <c r="C630" s="4" t="str">
        <f>IF(TOTALCO!C1159="", "",TOTALCO!C1159)</f>
        <v/>
      </c>
      <c r="D630" s="12" t="str">
        <f>IF(TOTALCO!D1159="", "",TOTALCO!D1159)</f>
        <v/>
      </c>
      <c r="E630" s="12" t="str">
        <f>IF(TOTALCO!E1159="", "",TOTALCO!E1159)</f>
        <v/>
      </c>
      <c r="F630" s="12" t="str">
        <f>IF(TOTALCO!F1159="", "",TOTALCO!F1159)</f>
        <v/>
      </c>
      <c r="G630" s="12" t="str">
        <f>IF(TOTALCO!G1159="", "",TOTALCO!G1159)</f>
        <v/>
      </c>
      <c r="H630" s="12" t="str">
        <f>IF(TOTALCO!H1159="", "",TOTALCO!H1159)</f>
        <v/>
      </c>
      <c r="I630" s="12" t="str">
        <f>IF(TOTALCO!I1159="", "",TOTALCO!I1159)</f>
        <v/>
      </c>
      <c r="J630" s="12" t="str">
        <f>IF(TOTALCO!J1159="", "",TOTALCO!J1159)</f>
        <v/>
      </c>
      <c r="K630" s="12" t="str">
        <f>IF(TOTALCO!K1159="", "",TOTALCO!K1159)</f>
        <v/>
      </c>
      <c r="L630" s="12" t="str">
        <f>IF(TOTALCO!L1159="", "",TOTALCO!L1159)</f>
        <v/>
      </c>
      <c r="M630" s="12" t="str">
        <f>IF(TOTALCO!M1159="", "",TOTALCO!M1159)</f>
        <v/>
      </c>
      <c r="N630" s="12" t="str">
        <f>IF(TOTALCO!N1159="", "",TOTALCO!N1159)</f>
        <v/>
      </c>
      <c r="O630" s="12" t="str">
        <f>IF(TOTALCO!O1159="", "",TOTALCO!O1159)</f>
        <v/>
      </c>
      <c r="P630" s="12" t="str">
        <f>IF(TOTALCO!P1159="", "",TOTALCO!P1159)</f>
        <v/>
      </c>
      <c r="Q630" s="12"/>
      <c r="R630" s="13"/>
    </row>
    <row r="631" spans="1:18" ht="15" x14ac:dyDescent="0.2">
      <c r="A631" s="382" t="str">
        <f>IF(TOTALCO!A1160="", "",TOTALCO!A1160)</f>
        <v/>
      </c>
      <c r="B631" s="4" t="str">
        <f>IF(TOTALCO!B1160="", "",TOTALCO!B1160)</f>
        <v xml:space="preserve"> PRODUCTION PLANT</v>
      </c>
      <c r="C631" s="4" t="str">
        <f>IF(TOTALCO!C1160="", "",TOTALCO!C1160)</f>
        <v/>
      </c>
      <c r="D631" s="12" t="str">
        <f>IF(TOTALCO!D1160="", "",TOTALCO!D1160)</f>
        <v/>
      </c>
      <c r="E631" s="12" t="str">
        <f>IF(TOTALCO!E1160="", "",TOTALCO!E1160)</f>
        <v/>
      </c>
      <c r="F631" s="12" t="str">
        <f>IF(TOTALCO!F1160="", "",TOTALCO!F1160)</f>
        <v/>
      </c>
      <c r="G631" s="12" t="str">
        <f>IF(TOTALCO!G1160="", "",TOTALCO!G1160)</f>
        <v/>
      </c>
      <c r="H631" s="12" t="str">
        <f>IF(TOTALCO!H1160="", "",TOTALCO!H1160)</f>
        <v/>
      </c>
      <c r="I631" s="12" t="str">
        <f>IF(TOTALCO!I1160="", "",TOTALCO!I1160)</f>
        <v/>
      </c>
      <c r="J631" s="12" t="str">
        <f>IF(TOTALCO!J1160="", "",TOTALCO!J1160)</f>
        <v/>
      </c>
      <c r="K631" s="12" t="str">
        <f>IF(TOTALCO!K1160="", "",TOTALCO!K1160)</f>
        <v/>
      </c>
      <c r="L631" s="12" t="str">
        <f>IF(TOTALCO!L1160="", "",TOTALCO!L1160)</f>
        <v/>
      </c>
      <c r="M631" s="12" t="str">
        <f>IF(TOTALCO!M1160="", "",TOTALCO!M1160)</f>
        <v/>
      </c>
      <c r="N631" s="12" t="str">
        <f>IF(TOTALCO!N1160="", "",TOTALCO!N1160)</f>
        <v/>
      </c>
      <c r="O631" s="12" t="str">
        <f>IF(TOTALCO!O1160="", "",TOTALCO!O1160)</f>
        <v/>
      </c>
      <c r="P631" s="12" t="str">
        <f>IF(TOTALCO!P1160="", "",TOTALCO!P1160)</f>
        <v/>
      </c>
      <c r="Q631" s="12"/>
      <c r="R631" s="13"/>
    </row>
    <row r="632" spans="1:18" ht="15" x14ac:dyDescent="0.2">
      <c r="A632" s="382">
        <f>IF(TOTALCO!A1161="", "",TOTALCO!A1161)</f>
        <v>1</v>
      </c>
      <c r="B632" s="4" t="str">
        <f>IF(TOTALCO!B1161="", "",TOTALCO!B1161)</f>
        <v xml:space="preserve">  STEAM PRODUCTION PLANT</v>
      </c>
      <c r="C632" s="4" t="str">
        <f>IF(TOTALCO!C1161="", "",TOTALCO!C1161)</f>
        <v>STMSYS</v>
      </c>
      <c r="D632" s="12">
        <f ca="1">IF(TOTALCO!D1161="", "",TOTALCO!D1161)</f>
        <v>-5958724.4499999993</v>
      </c>
      <c r="E632" s="12" t="str">
        <f>IF(TOTALCO!E1161="", "",TOTALCO!E1161)</f>
        <v/>
      </c>
      <c r="F632" s="12">
        <f ca="1">IF(TOTALCO!F1161="", "",TOTALCO!F1161)</f>
        <v>-5157217.45593879</v>
      </c>
      <c r="G632" s="12" t="str">
        <f>IF(TOTALCO!G1161="", "",TOTALCO!G1161)</f>
        <v/>
      </c>
      <c r="H632" s="12">
        <f ca="1">IF(TOTALCO!H1161="", "",TOTALCO!H1161)</f>
        <v>-302868.07214557612</v>
      </c>
      <c r="I632" s="12">
        <f ca="1">IF(TOTALCO!I1161="", "",TOTALCO!I1161)</f>
        <v>-498638.92191563314</v>
      </c>
      <c r="J632" s="12" t="str">
        <f>IF(TOTALCO!J1161="", "",TOTALCO!J1161)</f>
        <v/>
      </c>
      <c r="K632" s="12" t="str">
        <f>IF(TOTALCO!K1161="", "",TOTALCO!K1161)</f>
        <v/>
      </c>
      <c r="L632" s="12">
        <f ca="1">IF(TOTALCO!L1161="", "",TOTALCO!L1161)</f>
        <v>-45.598926851185801</v>
      </c>
      <c r="M632" s="12" t="str">
        <f>IF(TOTALCO!M1161="", "",TOTALCO!M1161)</f>
        <v/>
      </c>
      <c r="N632" s="12">
        <f ca="1">IF(TOTALCO!N1161="", "",TOTALCO!N1161)</f>
        <v>-498593.32298878196</v>
      </c>
      <c r="O632" s="12">
        <f ca="1">IF(TOTALCO!O1161="", "",TOTALCO!O1161)</f>
        <v>-155573.76721763494</v>
      </c>
      <c r="P632" s="12">
        <f ca="1">IF(TOTALCO!P1161="", "",TOTALCO!P1161)</f>
        <v>-343019.55577114702</v>
      </c>
      <c r="Q632" s="12"/>
      <c r="R632" s="13"/>
    </row>
    <row r="633" spans="1:18" ht="15" x14ac:dyDescent="0.2">
      <c r="A633" s="382">
        <f>IF(TOTALCO!A1162="", "",TOTALCO!A1162)</f>
        <v>2</v>
      </c>
      <c r="B633" s="4" t="str">
        <f>IF(TOTALCO!B1162="", "",TOTALCO!B1162)</f>
        <v xml:space="preserve">  HYDRAULIC PRODUCTION PLANT</v>
      </c>
      <c r="C633" s="4" t="str">
        <f>IF(TOTALCO!C1162="", "",TOTALCO!C1162)</f>
        <v>HYDSYS</v>
      </c>
      <c r="D633" s="12">
        <f ca="1">IF(TOTALCO!D1162="", "",TOTALCO!D1162)</f>
        <v>0</v>
      </c>
      <c r="E633" s="12" t="str">
        <f>IF(TOTALCO!E1162="", "",TOTALCO!E1162)</f>
        <v/>
      </c>
      <c r="F633" s="12">
        <f ca="1">IF(TOTALCO!F1162="", "",TOTALCO!F1162)</f>
        <v>0</v>
      </c>
      <c r="G633" s="12" t="str">
        <f>IF(TOTALCO!G1162="", "",TOTALCO!G1162)</f>
        <v/>
      </c>
      <c r="H633" s="12">
        <f ca="1">IF(TOTALCO!H1162="", "",TOTALCO!H1162)</f>
        <v>0</v>
      </c>
      <c r="I633" s="12">
        <f ca="1">IF(TOTALCO!I1162="", "",TOTALCO!I1162)</f>
        <v>0</v>
      </c>
      <c r="J633" s="12" t="str">
        <f>IF(TOTALCO!J1162="", "",TOTALCO!J1162)</f>
        <v/>
      </c>
      <c r="K633" s="12" t="str">
        <f>IF(TOTALCO!K1162="", "",TOTALCO!K1162)</f>
        <v/>
      </c>
      <c r="L633" s="12">
        <f ca="1">IF(TOTALCO!L1162="", "",TOTALCO!L1162)</f>
        <v>0</v>
      </c>
      <c r="M633" s="12" t="str">
        <f>IF(TOTALCO!M1162="", "",TOTALCO!M1162)</f>
        <v/>
      </c>
      <c r="N633" s="12">
        <f ca="1">IF(TOTALCO!N1162="", "",TOTALCO!N1162)</f>
        <v>0</v>
      </c>
      <c r="O633" s="12">
        <f ca="1">IF(TOTALCO!O1162="", "",TOTALCO!O1162)</f>
        <v>0</v>
      </c>
      <c r="P633" s="12">
        <f ca="1">IF(TOTALCO!P1162="", "",TOTALCO!P1162)</f>
        <v>0</v>
      </c>
      <c r="Q633" s="12"/>
      <c r="R633" s="13"/>
    </row>
    <row r="634" spans="1:18" ht="15" x14ac:dyDescent="0.2">
      <c r="A634" s="382">
        <f>IF(TOTALCO!A1163="", "",TOTALCO!A1163)</f>
        <v>3</v>
      </c>
      <c r="B634" s="4" t="str">
        <f>IF(TOTALCO!B1163="", "",TOTALCO!B1163)</f>
        <v xml:space="preserve">  OTHER PRODUCTION PLANT</v>
      </c>
      <c r="C634" s="4" t="str">
        <f>IF(TOTALCO!C1163="", "",TOTALCO!C1163)</f>
        <v>OTHSYS</v>
      </c>
      <c r="D634" s="12">
        <f ca="1">IF(TOTALCO!D1163="", "",TOTALCO!D1163)</f>
        <v>0</v>
      </c>
      <c r="E634" s="12" t="str">
        <f>IF(TOTALCO!E1163="", "",TOTALCO!E1163)</f>
        <v/>
      </c>
      <c r="F634" s="12">
        <f ca="1">IF(TOTALCO!F1163="", "",TOTALCO!F1163)</f>
        <v>0</v>
      </c>
      <c r="G634" s="12" t="str">
        <f>IF(TOTALCO!G1163="", "",TOTALCO!G1163)</f>
        <v/>
      </c>
      <c r="H634" s="12">
        <f ca="1">IF(TOTALCO!H1163="", "",TOTALCO!H1163)</f>
        <v>0</v>
      </c>
      <c r="I634" s="12">
        <f ca="1">IF(TOTALCO!I1163="", "",TOTALCO!I1163)</f>
        <v>0</v>
      </c>
      <c r="J634" s="12" t="str">
        <f>IF(TOTALCO!J1163="", "",TOTALCO!J1163)</f>
        <v/>
      </c>
      <c r="K634" s="12" t="str">
        <f>IF(TOTALCO!K1163="", "",TOTALCO!K1163)</f>
        <v/>
      </c>
      <c r="L634" s="12">
        <f ca="1">IF(TOTALCO!L1163="", "",TOTALCO!L1163)</f>
        <v>0</v>
      </c>
      <c r="M634" s="12" t="str">
        <f>IF(TOTALCO!M1163="", "",TOTALCO!M1163)</f>
        <v/>
      </c>
      <c r="N634" s="12">
        <f ca="1">IF(TOTALCO!N1163="", "",TOTALCO!N1163)</f>
        <v>0</v>
      </c>
      <c r="O634" s="12">
        <f ca="1">IF(TOTALCO!O1163="", "",TOTALCO!O1163)</f>
        <v>0</v>
      </c>
      <c r="P634" s="12">
        <f ca="1">IF(TOTALCO!P1163="", "",TOTALCO!P1163)</f>
        <v>0</v>
      </c>
      <c r="Q634" s="12"/>
      <c r="R634" s="13"/>
    </row>
    <row r="635" spans="1:18" ht="15" x14ac:dyDescent="0.2">
      <c r="A635" s="382" t="str">
        <f>IF(TOTALCO!A1164="", "",TOTALCO!A1164)</f>
        <v/>
      </c>
      <c r="B635" s="4" t="str">
        <f>IF(TOTALCO!B1164="", "",TOTALCO!B1164)</f>
        <v/>
      </c>
      <c r="C635" s="4" t="str">
        <f>IF(TOTALCO!C1164="", "",TOTALCO!C1164)</f>
        <v/>
      </c>
      <c r="D635" s="12" t="str">
        <f>IF(TOTALCO!D1164="", "",TOTALCO!D1164)</f>
        <v/>
      </c>
      <c r="E635" s="12" t="str">
        <f>IF(TOTALCO!E1164="", "",TOTALCO!E1164)</f>
        <v/>
      </c>
      <c r="F635" s="12" t="str">
        <f>IF(TOTALCO!F1164="", "",TOTALCO!F1164)</f>
        <v/>
      </c>
      <c r="G635" s="12" t="str">
        <f>IF(TOTALCO!G1164="", "",TOTALCO!G1164)</f>
        <v/>
      </c>
      <c r="H635" s="12" t="str">
        <f>IF(TOTALCO!H1164="", "",TOTALCO!H1164)</f>
        <v/>
      </c>
      <c r="I635" s="12" t="str">
        <f>IF(TOTALCO!I1164="", "",TOTALCO!I1164)</f>
        <v/>
      </c>
      <c r="J635" s="12" t="str">
        <f>IF(TOTALCO!J1164="", "",TOTALCO!J1164)</f>
        <v/>
      </c>
      <c r="K635" s="12" t="str">
        <f>IF(TOTALCO!K1164="", "",TOTALCO!K1164)</f>
        <v/>
      </c>
      <c r="L635" s="12" t="str">
        <f>IF(TOTALCO!L1164="", "",TOTALCO!L1164)</f>
        <v/>
      </c>
      <c r="M635" s="12" t="str">
        <f>IF(TOTALCO!M1164="", "",TOTALCO!M1164)</f>
        <v/>
      </c>
      <c r="N635" s="12" t="str">
        <f>IF(TOTALCO!N1164="", "",TOTALCO!N1164)</f>
        <v/>
      </c>
      <c r="O635" s="12" t="str">
        <f>IF(TOTALCO!O1164="", "",TOTALCO!O1164)</f>
        <v/>
      </c>
      <c r="P635" s="12" t="str">
        <f>IF(TOTALCO!P1164="", "",TOTALCO!P1164)</f>
        <v/>
      </c>
      <c r="Q635" s="12"/>
      <c r="R635" s="13"/>
    </row>
    <row r="636" spans="1:18" ht="15" x14ac:dyDescent="0.2">
      <c r="A636" s="382">
        <f>IF(TOTALCO!A1165="", "",TOTALCO!A1165)</f>
        <v>4</v>
      </c>
      <c r="B636" s="4" t="str">
        <f>IF(TOTALCO!B1165="", "",TOTALCO!B1165)</f>
        <v xml:space="preserve"> TOTAL PRODUCTION PLANT</v>
      </c>
      <c r="C636" s="4" t="str">
        <f>IF(TOTALCO!C1165="", "",TOTALCO!C1165)</f>
        <v/>
      </c>
      <c r="D636" s="12">
        <f ca="1">IF(TOTALCO!D1165="", "",TOTALCO!D1165)</f>
        <v>-5958724.4499999993</v>
      </c>
      <c r="E636" s="12" t="str">
        <f>IF(TOTALCO!E1165="", "",TOTALCO!E1165)</f>
        <v/>
      </c>
      <c r="F636" s="12">
        <f ca="1">IF(TOTALCO!F1165="", "",TOTALCO!F1165)</f>
        <v>-5157217.45593879</v>
      </c>
      <c r="G636" s="12" t="str">
        <f>IF(TOTALCO!G1165="", "",TOTALCO!G1165)</f>
        <v/>
      </c>
      <c r="H636" s="12">
        <f ca="1">IF(TOTALCO!H1165="", "",TOTALCO!H1165)</f>
        <v>-302868.07214557612</v>
      </c>
      <c r="I636" s="12">
        <f ca="1">IF(TOTALCO!I1165="", "",TOTALCO!I1165)</f>
        <v>-498638.92191563314</v>
      </c>
      <c r="J636" s="12" t="str">
        <f>IF(TOTALCO!J1165="", "",TOTALCO!J1165)</f>
        <v/>
      </c>
      <c r="K636" s="12" t="str">
        <f>IF(TOTALCO!K1165="", "",TOTALCO!K1165)</f>
        <v/>
      </c>
      <c r="L636" s="12">
        <f ca="1">IF(TOTALCO!L1165="", "",TOTALCO!L1165)</f>
        <v>-45.598926851185801</v>
      </c>
      <c r="M636" s="12" t="str">
        <f>IF(TOTALCO!M1165="", "",TOTALCO!M1165)</f>
        <v/>
      </c>
      <c r="N636" s="12">
        <f ca="1">IF(TOTALCO!N1165="", "",TOTALCO!N1165)</f>
        <v>-498593.32298878196</v>
      </c>
      <c r="O636" s="12">
        <f ca="1">IF(TOTALCO!O1165="", "",TOTALCO!O1165)</f>
        <v>-155573.76721763494</v>
      </c>
      <c r="P636" s="12">
        <f ca="1">IF(TOTALCO!P1165="", "",TOTALCO!P1165)</f>
        <v>-343019.55577114702</v>
      </c>
      <c r="Q636" s="12"/>
      <c r="R636" s="13"/>
    </row>
    <row r="637" spans="1:18" ht="15" x14ac:dyDescent="0.2">
      <c r="A637" s="382" t="str">
        <f>IF(TOTALCO!A1166="", "",TOTALCO!A1166)</f>
        <v/>
      </c>
      <c r="B637" s="4" t="str">
        <f>IF(TOTALCO!B1166="", "",TOTALCO!B1166)</f>
        <v/>
      </c>
      <c r="C637" s="4" t="str">
        <f>IF(TOTALCO!C1166="", "",TOTALCO!C1166)</f>
        <v/>
      </c>
      <c r="D637" s="12" t="str">
        <f>IF(TOTALCO!D1166="", "",TOTALCO!D1166)</f>
        <v/>
      </c>
      <c r="E637" s="12" t="str">
        <f>IF(TOTALCO!E1166="", "",TOTALCO!E1166)</f>
        <v/>
      </c>
      <c r="F637" s="12" t="str">
        <f>IF(TOTALCO!F1166="", "",TOTALCO!F1166)</f>
        <v/>
      </c>
      <c r="G637" s="12" t="str">
        <f>IF(TOTALCO!G1166="", "",TOTALCO!G1166)</f>
        <v/>
      </c>
      <c r="H637" s="12" t="str">
        <f>IF(TOTALCO!H1166="", "",TOTALCO!H1166)</f>
        <v/>
      </c>
      <c r="I637" s="12" t="str">
        <f>IF(TOTALCO!I1166="", "",TOTALCO!I1166)</f>
        <v/>
      </c>
      <c r="J637" s="12" t="str">
        <f>IF(TOTALCO!J1166="", "",TOTALCO!J1166)</f>
        <v/>
      </c>
      <c r="K637" s="12" t="str">
        <f>IF(TOTALCO!K1166="", "",TOTALCO!K1166)</f>
        <v/>
      </c>
      <c r="L637" s="12" t="str">
        <f>IF(TOTALCO!L1166="", "",TOTALCO!L1166)</f>
        <v/>
      </c>
      <c r="M637" s="12" t="str">
        <f>IF(TOTALCO!M1166="", "",TOTALCO!M1166)</f>
        <v/>
      </c>
      <c r="N637" s="12" t="str">
        <f>IF(TOTALCO!N1166="", "",TOTALCO!N1166)</f>
        <v/>
      </c>
      <c r="O637" s="12" t="str">
        <f>IF(TOTALCO!O1166="", "",TOTALCO!O1166)</f>
        <v/>
      </c>
      <c r="P637" s="12" t="str">
        <f>IF(TOTALCO!P1166="", "",TOTALCO!P1166)</f>
        <v/>
      </c>
      <c r="Q637" s="12"/>
      <c r="R637" s="13"/>
    </row>
    <row r="638" spans="1:18" ht="15" x14ac:dyDescent="0.2">
      <c r="A638" s="382" t="str">
        <f>IF(TOTALCO!A1167="", "",TOTALCO!A1167)</f>
        <v/>
      </c>
      <c r="B638" s="4" t="str">
        <f>IF(TOTALCO!B1167="", "",TOTALCO!B1167)</f>
        <v xml:space="preserve"> TRANSMISSION PLANT</v>
      </c>
      <c r="C638" s="4" t="str">
        <f>IF(TOTALCO!C1167="", "",TOTALCO!C1167)</f>
        <v/>
      </c>
      <c r="D638" s="12" t="str">
        <f>IF(TOTALCO!D1167="", "",TOTALCO!D1167)</f>
        <v/>
      </c>
      <c r="E638" s="12" t="str">
        <f>IF(TOTALCO!E1167="", "",TOTALCO!E1167)</f>
        <v/>
      </c>
      <c r="F638" s="12" t="str">
        <f>IF(TOTALCO!F1167="", "",TOTALCO!F1167)</f>
        <v/>
      </c>
      <c r="G638" s="12" t="str">
        <f>IF(TOTALCO!G1167="", "",TOTALCO!G1167)</f>
        <v/>
      </c>
      <c r="H638" s="12" t="str">
        <f>IF(TOTALCO!H1167="", "",TOTALCO!H1167)</f>
        <v/>
      </c>
      <c r="I638" s="12" t="str">
        <f>IF(TOTALCO!I1167="", "",TOTALCO!I1167)</f>
        <v/>
      </c>
      <c r="J638" s="12" t="str">
        <f>IF(TOTALCO!J1167="", "",TOTALCO!J1167)</f>
        <v/>
      </c>
      <c r="K638" s="12" t="str">
        <f>IF(TOTALCO!K1167="", "",TOTALCO!K1167)</f>
        <v/>
      </c>
      <c r="L638" s="12" t="str">
        <f>IF(TOTALCO!L1167="", "",TOTALCO!L1167)</f>
        <v/>
      </c>
      <c r="M638" s="12" t="str">
        <f>IF(TOTALCO!M1167="", "",TOTALCO!M1167)</f>
        <v/>
      </c>
      <c r="N638" s="12" t="str">
        <f>IF(TOTALCO!N1167="", "",TOTALCO!N1167)</f>
        <v/>
      </c>
      <c r="O638" s="12" t="str">
        <f>IF(TOTALCO!O1167="", "",TOTALCO!O1167)</f>
        <v/>
      </c>
      <c r="P638" s="12" t="str">
        <f>IF(TOTALCO!P1167="", "",TOTALCO!P1167)</f>
        <v/>
      </c>
      <c r="Q638" s="12"/>
      <c r="R638" s="13"/>
    </row>
    <row r="639" spans="1:18" ht="15" x14ac:dyDescent="0.2">
      <c r="A639" s="382">
        <f>IF(TOTALCO!A1168="", "",TOTALCO!A1168)</f>
        <v>5</v>
      </c>
      <c r="B639" s="4" t="str">
        <f>IF(TOTALCO!B1168="", "",TOTALCO!B1168)</f>
        <v xml:space="preserve">  KENTUCKY SYSTEM PROPERTY</v>
      </c>
      <c r="C639" s="4" t="str">
        <f>IF(TOTALCO!C1168="", "",TOTALCO!C1168)</f>
        <v>KYTRPLT</v>
      </c>
      <c r="D639" s="12">
        <f ca="1">IF(TOTALCO!D1168="", "",TOTALCO!D1168)</f>
        <v>-17452.169999999998</v>
      </c>
      <c r="E639" s="12" t="str">
        <f>IF(TOTALCO!E1168="", "",TOTALCO!E1168)</f>
        <v/>
      </c>
      <c r="F639" s="12">
        <f ca="1">IF(TOTALCO!F1168="", "",TOTALCO!F1168)</f>
        <v>-14992.1597303852</v>
      </c>
      <c r="G639" s="12" t="str">
        <f>IF(TOTALCO!G1168="", "",TOTALCO!G1168)</f>
        <v/>
      </c>
      <c r="H639" s="12">
        <f ca="1">IF(TOTALCO!H1168="", "",TOTALCO!H1168)</f>
        <v>-914.3273490230697</v>
      </c>
      <c r="I639" s="12">
        <f ca="1">IF(TOTALCO!I1168="", "",TOTALCO!I1168)</f>
        <v>-1545.6829205917309</v>
      </c>
      <c r="J639" s="12" t="str">
        <f>IF(TOTALCO!J1168="", "",TOTALCO!J1168)</f>
        <v/>
      </c>
      <c r="K639" s="12" t="str">
        <f>IF(TOTALCO!K1168="", "",TOTALCO!K1168)</f>
        <v/>
      </c>
      <c r="L639" s="12">
        <f ca="1">IF(TOTALCO!L1168="", "",TOTALCO!L1168)</f>
        <v>-0.13255721728388606</v>
      </c>
      <c r="M639" s="12" t="str">
        <f>IF(TOTALCO!M1168="", "",TOTALCO!M1168)</f>
        <v/>
      </c>
      <c r="N639" s="12">
        <f ca="1">IF(TOTALCO!N1168="", "",TOTALCO!N1168)</f>
        <v>-1545.550363374447</v>
      </c>
      <c r="O639" s="12">
        <f ca="1">IF(TOTALCO!O1168="", "",TOTALCO!O1168)</f>
        <v>-482.25092749618955</v>
      </c>
      <c r="P639" s="12">
        <f ca="1">IF(TOTALCO!P1168="", "",TOTALCO!P1168)</f>
        <v>-1063.2994358782576</v>
      </c>
      <c r="Q639" s="12"/>
      <c r="R639" s="13"/>
    </row>
    <row r="640" spans="1:18" ht="15" x14ac:dyDescent="0.2">
      <c r="A640" s="382">
        <f>IF(TOTALCO!A1169="", "",TOTALCO!A1169)</f>
        <v>6</v>
      </c>
      <c r="B640" s="4" t="str">
        <f>IF(TOTALCO!B1169="", "",TOTALCO!B1169)</f>
        <v xml:space="preserve">  VIRGINIA PROPERTY</v>
      </c>
      <c r="C640" s="4" t="str">
        <f>IF(TOTALCO!C1169="", "",TOTALCO!C1169)</f>
        <v>TRPLTVA</v>
      </c>
      <c r="D640" s="12">
        <f ca="1">IF(TOTALCO!D1169="", "",TOTALCO!D1169)</f>
        <v>0</v>
      </c>
      <c r="E640" s="12" t="str">
        <f>IF(TOTALCO!E1169="", "",TOTALCO!E1169)</f>
        <v/>
      </c>
      <c r="F640" s="12">
        <f ca="1">IF(TOTALCO!F1169="", "",TOTALCO!F1169)</f>
        <v>0</v>
      </c>
      <c r="G640" s="12" t="str">
        <f>IF(TOTALCO!G1169="", "",TOTALCO!G1169)</f>
        <v/>
      </c>
      <c r="H640" s="12">
        <f ca="1">IF(TOTALCO!H1169="", "",TOTALCO!H1169)</f>
        <v>0</v>
      </c>
      <c r="I640" s="12">
        <f ca="1">IF(TOTALCO!I1169="", "",TOTALCO!I1169)</f>
        <v>0</v>
      </c>
      <c r="J640" s="12" t="str">
        <f>IF(TOTALCO!J1169="", "",TOTALCO!J1169)</f>
        <v/>
      </c>
      <c r="K640" s="12" t="str">
        <f>IF(TOTALCO!K1169="", "",TOTALCO!K1169)</f>
        <v/>
      </c>
      <c r="L640" s="12">
        <f ca="1">IF(TOTALCO!L1169="", "",TOTALCO!L1169)</f>
        <v>0</v>
      </c>
      <c r="M640" s="12" t="str">
        <f>IF(TOTALCO!M1169="", "",TOTALCO!M1169)</f>
        <v/>
      </c>
      <c r="N640" s="12">
        <f ca="1">IF(TOTALCO!N1169="", "",TOTALCO!N1169)</f>
        <v>0</v>
      </c>
      <c r="O640" s="12">
        <f ca="1">IF(TOTALCO!O1169="", "",TOTALCO!O1169)</f>
        <v>0</v>
      </c>
      <c r="P640" s="12">
        <f ca="1">IF(TOTALCO!P1169="", "",TOTALCO!P1169)</f>
        <v>0</v>
      </c>
      <c r="Q640" s="12"/>
      <c r="R640" s="13"/>
    </row>
    <row r="641" spans="1:18" ht="15" x14ac:dyDescent="0.2">
      <c r="A641" s="382" t="str">
        <f>IF(TOTALCO!A1170="", "",TOTALCO!A1170)</f>
        <v/>
      </c>
      <c r="B641" s="4" t="str">
        <f>IF(TOTALCO!B1170="", "",TOTALCO!B1170)</f>
        <v/>
      </c>
      <c r="C641" s="4" t="str">
        <f>IF(TOTALCO!C1170="", "",TOTALCO!C1170)</f>
        <v/>
      </c>
      <c r="D641" s="12" t="str">
        <f>IF(TOTALCO!D1170="", "",TOTALCO!D1170)</f>
        <v/>
      </c>
      <c r="E641" s="12" t="str">
        <f>IF(TOTALCO!E1170="", "",TOTALCO!E1170)</f>
        <v/>
      </c>
      <c r="F641" s="12" t="str">
        <f>IF(TOTALCO!F1170="", "",TOTALCO!F1170)</f>
        <v/>
      </c>
      <c r="G641" s="12" t="str">
        <f>IF(TOTALCO!G1170="", "",TOTALCO!G1170)</f>
        <v/>
      </c>
      <c r="H641" s="12" t="str">
        <f>IF(TOTALCO!H1170="", "",TOTALCO!H1170)</f>
        <v/>
      </c>
      <c r="I641" s="12" t="str">
        <f>IF(TOTALCO!I1170="", "",TOTALCO!I1170)</f>
        <v/>
      </c>
      <c r="J641" s="12" t="str">
        <f>IF(TOTALCO!J1170="", "",TOTALCO!J1170)</f>
        <v/>
      </c>
      <c r="K641" s="12" t="str">
        <f>IF(TOTALCO!K1170="", "",TOTALCO!K1170)</f>
        <v/>
      </c>
      <c r="L641" s="12" t="str">
        <f>IF(TOTALCO!L1170="", "",TOTALCO!L1170)</f>
        <v/>
      </c>
      <c r="M641" s="12" t="str">
        <f>IF(TOTALCO!M1170="", "",TOTALCO!M1170)</f>
        <v/>
      </c>
      <c r="N641" s="12" t="str">
        <f>IF(TOTALCO!N1170="", "",TOTALCO!N1170)</f>
        <v/>
      </c>
      <c r="O641" s="12" t="str">
        <f>IF(TOTALCO!O1170="", "",TOTALCO!O1170)</f>
        <v/>
      </c>
      <c r="P641" s="12" t="str">
        <f>IF(TOTALCO!P1170="", "",TOTALCO!P1170)</f>
        <v/>
      </c>
      <c r="Q641" s="12"/>
      <c r="R641" s="13"/>
    </row>
    <row r="642" spans="1:18" ht="15" x14ac:dyDescent="0.2">
      <c r="A642" s="382">
        <f>IF(TOTALCO!A1171="", "",TOTALCO!A1171)</f>
        <v>7</v>
      </c>
      <c r="B642" s="4" t="str">
        <f>IF(TOTALCO!B1171="", "",TOTALCO!B1171)</f>
        <v xml:space="preserve"> TOTAL TRANSMISSION PLANT</v>
      </c>
      <c r="C642" s="4" t="str">
        <f>IF(TOTALCO!C1171="", "",TOTALCO!C1171)</f>
        <v/>
      </c>
      <c r="D642" s="12">
        <f ca="1">IF(TOTALCO!D1171="", "",TOTALCO!D1171)</f>
        <v>-17452.169999999998</v>
      </c>
      <c r="E642" s="12" t="str">
        <f>IF(TOTALCO!E1171="", "",TOTALCO!E1171)</f>
        <v/>
      </c>
      <c r="F642" s="12">
        <f ca="1">IF(TOTALCO!F1171="", "",TOTALCO!F1171)</f>
        <v>-14992.1597303852</v>
      </c>
      <c r="G642" s="12" t="str">
        <f>IF(TOTALCO!G1171="", "",TOTALCO!G1171)</f>
        <v/>
      </c>
      <c r="H642" s="12">
        <f ca="1">IF(TOTALCO!H1171="", "",TOTALCO!H1171)</f>
        <v>-914.3273490230697</v>
      </c>
      <c r="I642" s="12">
        <f ca="1">IF(TOTALCO!I1171="", "",TOTALCO!I1171)</f>
        <v>-1545.6829205917309</v>
      </c>
      <c r="J642" s="12" t="str">
        <f>IF(TOTALCO!J1171="", "",TOTALCO!J1171)</f>
        <v/>
      </c>
      <c r="K642" s="12" t="str">
        <f>IF(TOTALCO!K1171="", "",TOTALCO!K1171)</f>
        <v/>
      </c>
      <c r="L642" s="12">
        <f ca="1">IF(TOTALCO!L1171="", "",TOTALCO!L1171)</f>
        <v>-0.13255721728388606</v>
      </c>
      <c r="M642" s="12" t="str">
        <f>IF(TOTALCO!M1171="", "",TOTALCO!M1171)</f>
        <v/>
      </c>
      <c r="N642" s="12">
        <f ca="1">IF(TOTALCO!N1171="", "",TOTALCO!N1171)</f>
        <v>-1545.550363374447</v>
      </c>
      <c r="O642" s="12">
        <f ca="1">IF(TOTALCO!O1171="", "",TOTALCO!O1171)</f>
        <v>-482.25092749618955</v>
      </c>
      <c r="P642" s="12">
        <f ca="1">IF(TOTALCO!P1171="", "",TOTALCO!P1171)</f>
        <v>-1063.2994358782576</v>
      </c>
      <c r="Q642" s="12"/>
      <c r="R642" s="13"/>
    </row>
    <row r="643" spans="1:18" ht="15" x14ac:dyDescent="0.2">
      <c r="A643" s="382" t="str">
        <f>IF(TOTALCO!A1172="", "",TOTALCO!A1172)</f>
        <v/>
      </c>
      <c r="B643" s="4" t="str">
        <f>IF(TOTALCO!B1172="", "",TOTALCO!B1172)</f>
        <v/>
      </c>
      <c r="C643" s="4" t="str">
        <f>IF(TOTALCO!C1172="", "",TOTALCO!C1172)</f>
        <v/>
      </c>
      <c r="D643" s="12" t="str">
        <f>IF(TOTALCO!D1172="", "",TOTALCO!D1172)</f>
        <v/>
      </c>
      <c r="E643" s="12" t="str">
        <f>IF(TOTALCO!E1172="", "",TOTALCO!E1172)</f>
        <v/>
      </c>
      <c r="F643" s="12" t="str">
        <f>IF(TOTALCO!F1172="", "",TOTALCO!F1172)</f>
        <v/>
      </c>
      <c r="G643" s="12" t="str">
        <f>IF(TOTALCO!G1172="", "",TOTALCO!G1172)</f>
        <v/>
      </c>
      <c r="H643" s="12" t="str">
        <f>IF(TOTALCO!H1172="", "",TOTALCO!H1172)</f>
        <v/>
      </c>
      <c r="I643" s="12" t="str">
        <f>IF(TOTALCO!I1172="", "",TOTALCO!I1172)</f>
        <v/>
      </c>
      <c r="J643" s="12" t="str">
        <f>IF(TOTALCO!J1172="", "",TOTALCO!J1172)</f>
        <v/>
      </c>
      <c r="K643" s="12" t="str">
        <f>IF(TOTALCO!K1172="", "",TOTALCO!K1172)</f>
        <v/>
      </c>
      <c r="L643" s="12" t="str">
        <f>IF(TOTALCO!L1172="", "",TOTALCO!L1172)</f>
        <v/>
      </c>
      <c r="M643" s="12" t="str">
        <f>IF(TOTALCO!M1172="", "",TOTALCO!M1172)</f>
        <v/>
      </c>
      <c r="N643" s="12" t="str">
        <f>IF(TOTALCO!N1172="", "",TOTALCO!N1172)</f>
        <v/>
      </c>
      <c r="O643" s="12" t="str">
        <f>IF(TOTALCO!O1172="", "",TOTALCO!O1172)</f>
        <v/>
      </c>
      <c r="P643" s="12" t="str">
        <f>IF(TOTALCO!P1172="", "",TOTALCO!P1172)</f>
        <v/>
      </c>
      <c r="Q643" s="12"/>
      <c r="R643" s="13"/>
    </row>
    <row r="644" spans="1:18" ht="15" x14ac:dyDescent="0.2">
      <c r="A644" s="382" t="str">
        <f>IF(TOTALCO!A1173="", "",TOTALCO!A1173)</f>
        <v/>
      </c>
      <c r="B644" s="4" t="str">
        <f>IF(TOTALCO!B1173="", "",TOTALCO!B1173)</f>
        <v xml:space="preserve"> DISTRIBUTION PLANT</v>
      </c>
      <c r="C644" s="4" t="str">
        <f>IF(TOTALCO!C1173="", "",TOTALCO!C1173)</f>
        <v/>
      </c>
      <c r="D644" s="12" t="str">
        <f>IF(TOTALCO!D1173="", "",TOTALCO!D1173)</f>
        <v/>
      </c>
      <c r="E644" s="12" t="str">
        <f>IF(TOTALCO!E1173="", "",TOTALCO!E1173)</f>
        <v/>
      </c>
      <c r="F644" s="12" t="str">
        <f>IF(TOTALCO!F1173="", "",TOTALCO!F1173)</f>
        <v/>
      </c>
      <c r="G644" s="12" t="str">
        <f>IF(TOTALCO!G1173="", "",TOTALCO!G1173)</f>
        <v/>
      </c>
      <c r="H644" s="12" t="str">
        <f>IF(TOTALCO!H1173="", "",TOTALCO!H1173)</f>
        <v/>
      </c>
      <c r="I644" s="12" t="str">
        <f>IF(TOTALCO!I1173="", "",TOTALCO!I1173)</f>
        <v/>
      </c>
      <c r="J644" s="12" t="str">
        <f>IF(TOTALCO!J1173="", "",TOTALCO!J1173)</f>
        <v/>
      </c>
      <c r="K644" s="12" t="str">
        <f>IF(TOTALCO!K1173="", "",TOTALCO!K1173)</f>
        <v/>
      </c>
      <c r="L644" s="12" t="str">
        <f>IF(TOTALCO!L1173="", "",TOTALCO!L1173)</f>
        <v/>
      </c>
      <c r="M644" s="12" t="str">
        <f>IF(TOTALCO!M1173="", "",TOTALCO!M1173)</f>
        <v/>
      </c>
      <c r="N644" s="12" t="str">
        <f>IF(TOTALCO!N1173="", "",TOTALCO!N1173)</f>
        <v/>
      </c>
      <c r="O644" s="12" t="str">
        <f>IF(TOTALCO!O1173="", "",TOTALCO!O1173)</f>
        <v/>
      </c>
      <c r="P644" s="12" t="str">
        <f>IF(TOTALCO!P1173="", "",TOTALCO!P1173)</f>
        <v/>
      </c>
      <c r="Q644" s="12"/>
      <c r="R644" s="13"/>
    </row>
    <row r="645" spans="1:18" ht="15" x14ac:dyDescent="0.2">
      <c r="A645" s="382">
        <f>IF(TOTALCO!A1174="", "",TOTALCO!A1174)</f>
        <v>8</v>
      </c>
      <c r="B645" s="4" t="str">
        <f>IF(TOTALCO!B1174="", "",TOTALCO!B1174)</f>
        <v xml:space="preserve">  KENTUCKY DISTRIBUTION PROPERTY</v>
      </c>
      <c r="C645" s="4" t="str">
        <f>IF(TOTALCO!C1174="", "",TOTALCO!C1174)</f>
        <v>KYDIST</v>
      </c>
      <c r="D645" s="12">
        <f ca="1">IF(TOTALCO!D1174="", "",TOTALCO!D1174)</f>
        <v>-35677.80000000001</v>
      </c>
      <c r="E645" s="12" t="str">
        <f>IF(TOTALCO!E1174="", "",TOTALCO!E1174)</f>
        <v/>
      </c>
      <c r="F645" s="12">
        <f ca="1">IF(TOTALCO!F1174="", "",TOTALCO!F1174)</f>
        <v>-35563.85448091069</v>
      </c>
      <c r="G645" s="12" t="str">
        <f>IF(TOTALCO!G1174="", "",TOTALCO!G1174)</f>
        <v/>
      </c>
      <c r="H645" s="12">
        <f ca="1">IF(TOTALCO!H1174="", "",TOTALCO!H1174)</f>
        <v>0</v>
      </c>
      <c r="I645" s="12">
        <f ca="1">IF(TOTALCO!I1174="", "",TOTALCO!I1174)</f>
        <v>-113.94551908931825</v>
      </c>
      <c r="J645" s="12" t="str">
        <f>IF(TOTALCO!J1174="", "",TOTALCO!J1174)</f>
        <v/>
      </c>
      <c r="K645" s="12" t="str">
        <f>IF(TOTALCO!K1174="", "",TOTALCO!K1174)</f>
        <v/>
      </c>
      <c r="L645" s="12">
        <f ca="1">IF(TOTALCO!L1174="", "",TOTALCO!L1174)</f>
        <v>0</v>
      </c>
      <c r="M645" s="12" t="str">
        <f>IF(TOTALCO!M1174="", "",TOTALCO!M1174)</f>
        <v/>
      </c>
      <c r="N645" s="12">
        <f ca="1">IF(TOTALCO!N1174="", "",TOTALCO!N1174)</f>
        <v>-113.94551908931825</v>
      </c>
      <c r="O645" s="12">
        <f ca="1">IF(TOTALCO!O1174="", "",TOTALCO!O1174)</f>
        <v>-97.918078183911746</v>
      </c>
      <c r="P645" s="12">
        <f ca="1">IF(TOTALCO!P1174="", "",TOTALCO!P1174)</f>
        <v>-16.0274409054065</v>
      </c>
      <c r="Q645" s="12"/>
      <c r="R645" s="13"/>
    </row>
    <row r="646" spans="1:18" ht="15" x14ac:dyDescent="0.2">
      <c r="A646" s="382">
        <f>IF(TOTALCO!A1175="", "",TOTALCO!A1175)</f>
        <v>9</v>
      </c>
      <c r="B646" s="4" t="str">
        <f>IF(TOTALCO!B1175="", "",TOTALCO!B1175)</f>
        <v xml:space="preserve">  VIRGINIA DISTRIBUTION PROPERTY</v>
      </c>
      <c r="C646" s="4" t="str">
        <f>IF(TOTALCO!C1175="", "",TOTALCO!C1175)</f>
        <v>VADIST</v>
      </c>
      <c r="D646" s="12">
        <f ca="1">IF(TOTALCO!D1175="", "",TOTALCO!D1175)</f>
        <v>0</v>
      </c>
      <c r="E646" s="12" t="str">
        <f>IF(TOTALCO!E1175="", "",TOTALCO!E1175)</f>
        <v/>
      </c>
      <c r="F646" s="12">
        <f ca="1">IF(TOTALCO!F1175="", "",TOTALCO!F1175)</f>
        <v>0</v>
      </c>
      <c r="G646" s="12" t="str">
        <f>IF(TOTALCO!G1175="", "",TOTALCO!G1175)</f>
        <v/>
      </c>
      <c r="H646" s="12">
        <f ca="1">IF(TOTALCO!H1175="", "",TOTALCO!H1175)</f>
        <v>0</v>
      </c>
      <c r="I646" s="12">
        <f ca="1">IF(TOTALCO!I1175="", "",TOTALCO!I1175)</f>
        <v>0</v>
      </c>
      <c r="J646" s="12" t="str">
        <f>IF(TOTALCO!J1175="", "",TOTALCO!J1175)</f>
        <v/>
      </c>
      <c r="K646" s="12" t="str">
        <f>IF(TOTALCO!K1175="", "",TOTALCO!K1175)</f>
        <v/>
      </c>
      <c r="L646" s="12">
        <f ca="1">IF(TOTALCO!L1175="", "",TOTALCO!L1175)</f>
        <v>0</v>
      </c>
      <c r="M646" s="12" t="str">
        <f>IF(TOTALCO!M1175="", "",TOTALCO!M1175)</f>
        <v/>
      </c>
      <c r="N646" s="12">
        <f ca="1">IF(TOTALCO!N1175="", "",TOTALCO!N1175)</f>
        <v>0</v>
      </c>
      <c r="O646" s="12">
        <f ca="1">IF(TOTALCO!O1175="", "",TOTALCO!O1175)</f>
        <v>0</v>
      </c>
      <c r="P646" s="12">
        <f ca="1">IF(TOTALCO!P1175="", "",TOTALCO!P1175)</f>
        <v>0</v>
      </c>
      <c r="Q646" s="12"/>
      <c r="R646" s="13"/>
    </row>
    <row r="647" spans="1:18" ht="15" x14ac:dyDescent="0.2">
      <c r="A647" s="382" t="str">
        <f>IF(TOTALCO!A1176="", "",TOTALCO!A1176)</f>
        <v/>
      </c>
      <c r="B647" s="4" t="str">
        <f>IF(TOTALCO!B1176="", "",TOTALCO!B1176)</f>
        <v/>
      </c>
      <c r="C647" s="4" t="str">
        <f>IF(TOTALCO!C1176="", "",TOTALCO!C1176)</f>
        <v/>
      </c>
      <c r="D647" s="12" t="str">
        <f>IF(TOTALCO!D1176="", "",TOTALCO!D1176)</f>
        <v/>
      </c>
      <c r="E647" s="12" t="str">
        <f>IF(TOTALCO!E1176="", "",TOTALCO!E1176)</f>
        <v/>
      </c>
      <c r="F647" s="12" t="str">
        <f>IF(TOTALCO!F1176="", "",TOTALCO!F1176)</f>
        <v/>
      </c>
      <c r="G647" s="12" t="str">
        <f>IF(TOTALCO!G1176="", "",TOTALCO!G1176)</f>
        <v/>
      </c>
      <c r="H647" s="12" t="str">
        <f>IF(TOTALCO!H1176="", "",TOTALCO!H1176)</f>
        <v/>
      </c>
      <c r="I647" s="12" t="str">
        <f>IF(TOTALCO!I1176="", "",TOTALCO!I1176)</f>
        <v/>
      </c>
      <c r="J647" s="12" t="str">
        <f>IF(TOTALCO!J1176="", "",TOTALCO!J1176)</f>
        <v/>
      </c>
      <c r="K647" s="12" t="str">
        <f>IF(TOTALCO!K1176="", "",TOTALCO!K1176)</f>
        <v/>
      </c>
      <c r="L647" s="12" t="str">
        <f>IF(TOTALCO!L1176="", "",TOTALCO!L1176)</f>
        <v/>
      </c>
      <c r="M647" s="12" t="str">
        <f>IF(TOTALCO!M1176="", "",TOTALCO!M1176)</f>
        <v/>
      </c>
      <c r="N647" s="12" t="str">
        <f>IF(TOTALCO!N1176="", "",TOTALCO!N1176)</f>
        <v/>
      </c>
      <c r="O647" s="12" t="str">
        <f>IF(TOTALCO!O1176="", "",TOTALCO!O1176)</f>
        <v/>
      </c>
      <c r="P647" s="12" t="str">
        <f>IF(TOTALCO!P1176="", "",TOTALCO!P1176)</f>
        <v/>
      </c>
      <c r="Q647" s="12"/>
      <c r="R647" s="13"/>
    </row>
    <row r="648" spans="1:18" ht="15" x14ac:dyDescent="0.2">
      <c r="A648" s="382">
        <f>IF(TOTALCO!A1177="", "",TOTALCO!A1177)</f>
        <v>10</v>
      </c>
      <c r="B648" s="4" t="str">
        <f>IF(TOTALCO!B1177="", "",TOTALCO!B1177)</f>
        <v xml:space="preserve"> TOTAL DISTRIBUTION PLANT</v>
      </c>
      <c r="C648" s="4" t="str">
        <f>IF(TOTALCO!C1177="", "",TOTALCO!C1177)</f>
        <v/>
      </c>
      <c r="D648" s="12">
        <f ca="1">IF(TOTALCO!D1177="", "",TOTALCO!D1177)</f>
        <v>-35677.80000000001</v>
      </c>
      <c r="E648" s="12" t="str">
        <f>IF(TOTALCO!E1177="", "",TOTALCO!E1177)</f>
        <v/>
      </c>
      <c r="F648" s="12">
        <f ca="1">IF(TOTALCO!F1177="", "",TOTALCO!F1177)</f>
        <v>-35563.85448091069</v>
      </c>
      <c r="G648" s="12" t="str">
        <f>IF(TOTALCO!G1177="", "",TOTALCO!G1177)</f>
        <v/>
      </c>
      <c r="H648" s="12">
        <f ca="1">IF(TOTALCO!H1177="", "",TOTALCO!H1177)</f>
        <v>0</v>
      </c>
      <c r="I648" s="12">
        <f ca="1">IF(TOTALCO!I1177="", "",TOTALCO!I1177)</f>
        <v>-113.94551908931825</v>
      </c>
      <c r="J648" s="12" t="str">
        <f>IF(TOTALCO!J1177="", "",TOTALCO!J1177)</f>
        <v/>
      </c>
      <c r="K648" s="12" t="str">
        <f>IF(TOTALCO!K1177="", "",TOTALCO!K1177)</f>
        <v/>
      </c>
      <c r="L648" s="12">
        <f ca="1">IF(TOTALCO!L1177="", "",TOTALCO!L1177)</f>
        <v>0</v>
      </c>
      <c r="M648" s="12" t="str">
        <f>IF(TOTALCO!M1177="", "",TOTALCO!M1177)</f>
        <v/>
      </c>
      <c r="N648" s="12">
        <f ca="1">IF(TOTALCO!N1177="", "",TOTALCO!N1177)</f>
        <v>-113.94551908931825</v>
      </c>
      <c r="O648" s="12">
        <f ca="1">IF(TOTALCO!O1177="", "",TOTALCO!O1177)</f>
        <v>-97.918078183911746</v>
      </c>
      <c r="P648" s="12">
        <f ca="1">IF(TOTALCO!P1177="", "",TOTALCO!P1177)</f>
        <v>-16.0274409054065</v>
      </c>
      <c r="Q648" s="12"/>
      <c r="R648" s="13"/>
    </row>
    <row r="649" spans="1:18" ht="15" x14ac:dyDescent="0.2">
      <c r="A649" s="382" t="str">
        <f>IF(TOTALCO!A1178="", "",TOTALCO!A1178)</f>
        <v/>
      </c>
      <c r="B649" s="4" t="str">
        <f>IF(TOTALCO!B1178="", "",TOTALCO!B1178)</f>
        <v/>
      </c>
      <c r="C649" s="4" t="str">
        <f>IF(TOTALCO!C1178="", "",TOTALCO!C1178)</f>
        <v/>
      </c>
      <c r="D649" s="12" t="str">
        <f>IF(TOTALCO!D1178="", "",TOTALCO!D1178)</f>
        <v/>
      </c>
      <c r="E649" s="12" t="str">
        <f>IF(TOTALCO!E1178="", "",TOTALCO!E1178)</f>
        <v/>
      </c>
      <c r="F649" s="12" t="str">
        <f>IF(TOTALCO!F1178="", "",TOTALCO!F1178)</f>
        <v/>
      </c>
      <c r="G649" s="12" t="str">
        <f>IF(TOTALCO!G1178="", "",TOTALCO!G1178)</f>
        <v/>
      </c>
      <c r="H649" s="12" t="str">
        <f>IF(TOTALCO!H1178="", "",TOTALCO!H1178)</f>
        <v/>
      </c>
      <c r="I649" s="12" t="str">
        <f>IF(TOTALCO!I1178="", "",TOTALCO!I1178)</f>
        <v/>
      </c>
      <c r="J649" s="12" t="str">
        <f>IF(TOTALCO!J1178="", "",TOTALCO!J1178)</f>
        <v/>
      </c>
      <c r="K649" s="12" t="str">
        <f>IF(TOTALCO!K1178="", "",TOTALCO!K1178)</f>
        <v/>
      </c>
      <c r="L649" s="12" t="str">
        <f>IF(TOTALCO!L1178="", "",TOTALCO!L1178)</f>
        <v/>
      </c>
      <c r="M649" s="12" t="str">
        <f>IF(TOTALCO!M1178="", "",TOTALCO!M1178)</f>
        <v/>
      </c>
      <c r="N649" s="12" t="str">
        <f>IF(TOTALCO!N1178="", "",TOTALCO!N1178)</f>
        <v/>
      </c>
      <c r="O649" s="12" t="str">
        <f>IF(TOTALCO!O1178="", "",TOTALCO!O1178)</f>
        <v/>
      </c>
      <c r="P649" s="12" t="str">
        <f>IF(TOTALCO!P1178="", "",TOTALCO!P1178)</f>
        <v/>
      </c>
      <c r="Q649" s="12"/>
      <c r="R649" s="13"/>
    </row>
    <row r="650" spans="1:18" ht="15" x14ac:dyDescent="0.2">
      <c r="A650" s="382">
        <f>IF(TOTALCO!A1179="", "",TOTALCO!A1179)</f>
        <v>11</v>
      </c>
      <c r="B650" s="4" t="str">
        <f>IF(TOTALCO!B1179="", "",TOTALCO!B1179)</f>
        <v>TOTAL REGULATORY CREDITS</v>
      </c>
      <c r="C650" s="4" t="str">
        <f>IF(TOTALCO!C1179="", "",TOTALCO!C1179)</f>
        <v/>
      </c>
      <c r="D650" s="12">
        <f ca="1">IF(TOTALCO!D1179="", "",TOTALCO!D1179)</f>
        <v>-6011854.4199999999</v>
      </c>
      <c r="E650" s="12" t="str">
        <f>IF(TOTALCO!E1179="", "",TOTALCO!E1179)</f>
        <v/>
      </c>
      <c r="F650" s="12">
        <f ca="1">IF(TOTALCO!F1179="", "",TOTALCO!F1179)</f>
        <v>-5207773.4701500861</v>
      </c>
      <c r="G650" s="12" t="str">
        <f>IF(TOTALCO!G1179="", "",TOTALCO!G1179)</f>
        <v/>
      </c>
      <c r="H650" s="12">
        <f ca="1">IF(TOTALCO!H1179="", "",TOTALCO!H1179)</f>
        <v>-303782.3994945992</v>
      </c>
      <c r="I650" s="12">
        <f ca="1">IF(TOTALCO!I1179="", "",TOTALCO!I1179)</f>
        <v>-500298.55035531416</v>
      </c>
      <c r="J650" s="12" t="str">
        <f>IF(TOTALCO!J1179="", "",TOTALCO!J1179)</f>
        <v/>
      </c>
      <c r="K650" s="12" t="str">
        <f>IF(TOTALCO!K1179="", "",TOTALCO!K1179)</f>
        <v/>
      </c>
      <c r="L650" s="12">
        <f ca="1">IF(TOTALCO!L1179="", "",TOTALCO!L1179)</f>
        <v>-45.73148406846969</v>
      </c>
      <c r="M650" s="12" t="str">
        <f>IF(TOTALCO!M1179="", "",TOTALCO!M1179)</f>
        <v/>
      </c>
      <c r="N650" s="12">
        <f ca="1">IF(TOTALCO!N1179="", "",TOTALCO!N1179)</f>
        <v>-500252.81887124572</v>
      </c>
      <c r="O650" s="12">
        <f ca="1">IF(TOTALCO!O1179="", "",TOTALCO!O1179)</f>
        <v>-156153.93622331505</v>
      </c>
      <c r="P650" s="12">
        <f ca="1">IF(TOTALCO!P1179="", "",TOTALCO!P1179)</f>
        <v>-344098.8826479307</v>
      </c>
      <c r="Q650" s="12"/>
      <c r="R650" s="13"/>
    </row>
    <row r="651" spans="1:18" ht="15" x14ac:dyDescent="0.2">
      <c r="A651" s="382" t="str">
        <f>IF(TOTALCO!A1180="", "",TOTALCO!A1180)</f>
        <v/>
      </c>
      <c r="B651" s="4" t="str">
        <f>IF(TOTALCO!B1180="", "",TOTALCO!B1180)</f>
        <v/>
      </c>
      <c r="C651" s="4" t="str">
        <f>IF(TOTALCO!C1180="", "",TOTALCO!C1180)</f>
        <v/>
      </c>
      <c r="D651" s="12" t="str">
        <f>IF(TOTALCO!D1180="", "",TOTALCO!D1180)</f>
        <v/>
      </c>
      <c r="E651" s="12" t="str">
        <f>IF(TOTALCO!E1180="", "",TOTALCO!E1180)</f>
        <v/>
      </c>
      <c r="F651" s="12" t="str">
        <f>IF(TOTALCO!F1180="", "",TOTALCO!F1180)</f>
        <v/>
      </c>
      <c r="G651" s="12" t="str">
        <f>IF(TOTALCO!G1180="", "",TOTALCO!G1180)</f>
        <v/>
      </c>
      <c r="H651" s="12" t="str">
        <f>IF(TOTALCO!H1180="", "",TOTALCO!H1180)</f>
        <v/>
      </c>
      <c r="I651" s="12" t="str">
        <f>IF(TOTALCO!I1180="", "",TOTALCO!I1180)</f>
        <v/>
      </c>
      <c r="J651" s="12" t="str">
        <f>IF(TOTALCO!J1180="", "",TOTALCO!J1180)</f>
        <v/>
      </c>
      <c r="K651" s="12" t="str">
        <f>IF(TOTALCO!K1180="", "",TOTALCO!K1180)</f>
        <v/>
      </c>
      <c r="L651" s="12" t="str">
        <f>IF(TOTALCO!L1180="", "",TOTALCO!L1180)</f>
        <v/>
      </c>
      <c r="M651" s="12" t="str">
        <f>IF(TOTALCO!M1180="", "",TOTALCO!M1180)</f>
        <v/>
      </c>
      <c r="N651" s="12" t="str">
        <f>IF(TOTALCO!N1180="", "",TOTALCO!N1180)</f>
        <v/>
      </c>
      <c r="O651" s="12" t="str">
        <f>IF(TOTALCO!O1180="", "",TOTALCO!O1180)</f>
        <v/>
      </c>
      <c r="P651" s="12" t="str">
        <f>IF(TOTALCO!P1180="", "",TOTALCO!P1180)</f>
        <v/>
      </c>
      <c r="Q651" s="12"/>
      <c r="R651" s="13"/>
    </row>
    <row r="652" spans="1:18" ht="15" x14ac:dyDescent="0.2">
      <c r="A652" s="382" t="str">
        <f>IF(TOTALCO!A1181="", "",TOTALCO!A1181)</f>
        <v/>
      </c>
      <c r="B652" s="4" t="str">
        <f>IF(TOTALCO!B1181="", "",TOTALCO!B1181)</f>
        <v>ACCRETION</v>
      </c>
      <c r="C652" s="4" t="str">
        <f>IF(TOTALCO!C1181="", "",TOTALCO!C1181)</f>
        <v/>
      </c>
      <c r="D652" s="12" t="str">
        <f>IF(TOTALCO!D1181="", "",TOTALCO!D1181)</f>
        <v/>
      </c>
      <c r="E652" s="12" t="str">
        <f>IF(TOTALCO!E1181="", "",TOTALCO!E1181)</f>
        <v/>
      </c>
      <c r="F652" s="12" t="str">
        <f>IF(TOTALCO!F1181="", "",TOTALCO!F1181)</f>
        <v/>
      </c>
      <c r="G652" s="12" t="str">
        <f>IF(TOTALCO!G1181="", "",TOTALCO!G1181)</f>
        <v/>
      </c>
      <c r="H652" s="12" t="str">
        <f>IF(TOTALCO!H1181="", "",TOTALCO!H1181)</f>
        <v/>
      </c>
      <c r="I652" s="12" t="str">
        <f>IF(TOTALCO!I1181="", "",TOTALCO!I1181)</f>
        <v/>
      </c>
      <c r="J652" s="12" t="str">
        <f>IF(TOTALCO!J1181="", "",TOTALCO!J1181)</f>
        <v/>
      </c>
      <c r="K652" s="12" t="str">
        <f>IF(TOTALCO!K1181="", "",TOTALCO!K1181)</f>
        <v/>
      </c>
      <c r="L652" s="12" t="str">
        <f>IF(TOTALCO!L1181="", "",TOTALCO!L1181)</f>
        <v/>
      </c>
      <c r="M652" s="12" t="str">
        <f>IF(TOTALCO!M1181="", "",TOTALCO!M1181)</f>
        <v/>
      </c>
      <c r="N652" s="12" t="str">
        <f>IF(TOTALCO!N1181="", "",TOTALCO!N1181)</f>
        <v/>
      </c>
      <c r="O652" s="12" t="str">
        <f>IF(TOTALCO!O1181="", "",TOTALCO!O1181)</f>
        <v/>
      </c>
      <c r="P652" s="12" t="str">
        <f>IF(TOTALCO!P1181="", "",TOTALCO!P1181)</f>
        <v/>
      </c>
      <c r="Q652" s="12"/>
      <c r="R652" s="13"/>
    </row>
    <row r="653" spans="1:18" ht="15" x14ac:dyDescent="0.2">
      <c r="A653" s="382" t="str">
        <f>IF(TOTALCO!A1182="", "",TOTALCO!A1182)</f>
        <v/>
      </c>
      <c r="B653" s="4" t="str">
        <f>IF(TOTALCO!B1182="", "",TOTALCO!B1182)</f>
        <v/>
      </c>
      <c r="C653" s="4" t="str">
        <f>IF(TOTALCO!C1182="", "",TOTALCO!C1182)</f>
        <v/>
      </c>
      <c r="D653" s="12" t="str">
        <f>IF(TOTALCO!D1182="", "",TOTALCO!D1182)</f>
        <v/>
      </c>
      <c r="E653" s="12" t="str">
        <f>IF(TOTALCO!E1182="", "",TOTALCO!E1182)</f>
        <v/>
      </c>
      <c r="F653" s="12" t="str">
        <f>IF(TOTALCO!F1182="", "",TOTALCO!F1182)</f>
        <v/>
      </c>
      <c r="G653" s="12" t="str">
        <f>IF(TOTALCO!G1182="", "",TOTALCO!G1182)</f>
        <v/>
      </c>
      <c r="H653" s="12" t="str">
        <f>IF(TOTALCO!H1182="", "",TOTALCO!H1182)</f>
        <v/>
      </c>
      <c r="I653" s="12" t="str">
        <f>IF(TOTALCO!I1182="", "",TOTALCO!I1182)</f>
        <v/>
      </c>
      <c r="J653" s="12" t="str">
        <f>IF(TOTALCO!J1182="", "",TOTALCO!J1182)</f>
        <v/>
      </c>
      <c r="K653" s="12" t="str">
        <f>IF(TOTALCO!K1182="", "",TOTALCO!K1182)</f>
        <v/>
      </c>
      <c r="L653" s="12" t="str">
        <f>IF(TOTALCO!L1182="", "",TOTALCO!L1182)</f>
        <v/>
      </c>
      <c r="M653" s="12" t="str">
        <f>IF(TOTALCO!M1182="", "",TOTALCO!M1182)</f>
        <v/>
      </c>
      <c r="N653" s="12" t="str">
        <f>IF(TOTALCO!N1182="", "",TOTALCO!N1182)</f>
        <v/>
      </c>
      <c r="O653" s="12" t="str">
        <f>IF(TOTALCO!O1182="", "",TOTALCO!O1182)</f>
        <v/>
      </c>
      <c r="P653" s="12" t="str">
        <f>IF(TOTALCO!P1182="", "",TOTALCO!P1182)</f>
        <v/>
      </c>
      <c r="Q653" s="12"/>
      <c r="R653" s="13"/>
    </row>
    <row r="654" spans="1:18" ht="15" x14ac:dyDescent="0.2">
      <c r="A654" s="382" t="str">
        <f>IF(TOTALCO!A1183="", "",TOTALCO!A1183)</f>
        <v/>
      </c>
      <c r="B654" s="4" t="str">
        <f>IF(TOTALCO!B1183="", "",TOTALCO!B1183)</f>
        <v xml:space="preserve"> PRODUCTION PLANT</v>
      </c>
      <c r="C654" s="4" t="str">
        <f>IF(TOTALCO!C1183="", "",TOTALCO!C1183)</f>
        <v/>
      </c>
      <c r="D654" s="12" t="str">
        <f>IF(TOTALCO!D1183="", "",TOTALCO!D1183)</f>
        <v/>
      </c>
      <c r="E654" s="12" t="str">
        <f>IF(TOTALCO!E1183="", "",TOTALCO!E1183)</f>
        <v/>
      </c>
      <c r="F654" s="12" t="str">
        <f>IF(TOTALCO!F1183="", "",TOTALCO!F1183)</f>
        <v/>
      </c>
      <c r="G654" s="12" t="str">
        <f>IF(TOTALCO!G1183="", "",TOTALCO!G1183)</f>
        <v/>
      </c>
      <c r="H654" s="12" t="str">
        <f>IF(TOTALCO!H1183="", "",TOTALCO!H1183)</f>
        <v/>
      </c>
      <c r="I654" s="12" t="str">
        <f>IF(TOTALCO!I1183="", "",TOTALCO!I1183)</f>
        <v/>
      </c>
      <c r="J654" s="12" t="str">
        <f>IF(TOTALCO!J1183="", "",TOTALCO!J1183)</f>
        <v/>
      </c>
      <c r="K654" s="12" t="str">
        <f>IF(TOTALCO!K1183="", "",TOTALCO!K1183)</f>
        <v/>
      </c>
      <c r="L654" s="12" t="str">
        <f>IF(TOTALCO!L1183="", "",TOTALCO!L1183)</f>
        <v/>
      </c>
      <c r="M654" s="12" t="str">
        <f>IF(TOTALCO!M1183="", "",TOTALCO!M1183)</f>
        <v/>
      </c>
      <c r="N654" s="12" t="str">
        <f>IF(TOTALCO!N1183="", "",TOTALCO!N1183)</f>
        <v/>
      </c>
      <c r="O654" s="12" t="str">
        <f>IF(TOTALCO!O1183="", "",TOTALCO!O1183)</f>
        <v/>
      </c>
      <c r="P654" s="12" t="str">
        <f>IF(TOTALCO!P1183="", "",TOTALCO!P1183)</f>
        <v/>
      </c>
      <c r="Q654" s="12"/>
      <c r="R654" s="13"/>
    </row>
    <row r="655" spans="1:18" ht="15" x14ac:dyDescent="0.2">
      <c r="A655" s="382">
        <f>IF(TOTALCO!A1184="", "",TOTALCO!A1184)</f>
        <v>12</v>
      </c>
      <c r="B655" s="4" t="str">
        <f>IF(TOTALCO!B1184="", "",TOTALCO!B1184)</f>
        <v xml:space="preserve">  STEAM PRODUCTION PLANT</v>
      </c>
      <c r="C655" s="4" t="str">
        <f>IF(TOTALCO!C1184="", "",TOTALCO!C1184)</f>
        <v>STMSYS</v>
      </c>
      <c r="D655" s="12">
        <f ca="1">IF(TOTALCO!D1184="", "",TOTALCO!D1184)</f>
        <v>2899712.8799999994</v>
      </c>
      <c r="E655" s="12" t="str">
        <f>IF(TOTALCO!E1184="", "",TOTALCO!E1184)</f>
        <v/>
      </c>
      <c r="F655" s="12">
        <f ca="1">IF(TOTALCO!F1184="", "",TOTALCO!F1184)</f>
        <v>2509673.0025746603</v>
      </c>
      <c r="G655" s="12" t="str">
        <f>IF(TOTALCO!G1184="", "",TOTALCO!G1184)</f>
        <v/>
      </c>
      <c r="H655" s="12">
        <f ca="1">IF(TOTALCO!H1184="", "",TOTALCO!H1184)</f>
        <v>147385.64555394003</v>
      </c>
      <c r="I655" s="12">
        <f ca="1">IF(TOTALCO!I1184="", "",TOTALCO!I1184)</f>
        <v>242654.23187139924</v>
      </c>
      <c r="J655" s="12" t="str">
        <f>IF(TOTALCO!J1184="", "",TOTALCO!J1184)</f>
        <v/>
      </c>
      <c r="K655" s="12" t="str">
        <f>IF(TOTALCO!K1184="", "",TOTALCO!K1184)</f>
        <v/>
      </c>
      <c r="L655" s="12">
        <f ca="1">IF(TOTALCO!L1184="", "",TOTALCO!L1184)</f>
        <v>22.189949646784108</v>
      </c>
      <c r="M655" s="12" t="str">
        <f>IF(TOTALCO!M1184="", "",TOTALCO!M1184)</f>
        <v/>
      </c>
      <c r="N655" s="12">
        <f ca="1">IF(TOTALCO!N1184="", "",TOTALCO!N1184)</f>
        <v>242632.04192175245</v>
      </c>
      <c r="O655" s="12">
        <f ca="1">IF(TOTALCO!O1184="", "",TOTALCO!O1184)</f>
        <v>75707.353205617328</v>
      </c>
      <c r="P655" s="12">
        <f ca="1">IF(TOTALCO!P1184="", "",TOTALCO!P1184)</f>
        <v>166924.6887161351</v>
      </c>
      <c r="Q655" s="12"/>
      <c r="R655" s="13"/>
    </row>
    <row r="656" spans="1:18" ht="15" x14ac:dyDescent="0.2">
      <c r="A656" s="382">
        <f>IF(TOTALCO!A1185="", "",TOTALCO!A1185)</f>
        <v>13</v>
      </c>
      <c r="B656" s="4" t="str">
        <f>IF(TOTALCO!B1185="", "",TOTALCO!B1185)</f>
        <v xml:space="preserve">  HYDRAULIC PRODUCTION PLANT</v>
      </c>
      <c r="C656" s="4" t="str">
        <f>IF(TOTALCO!C1185="", "",TOTALCO!C1185)</f>
        <v>HYDSYS</v>
      </c>
      <c r="D656" s="12">
        <f ca="1">IF(TOTALCO!D1185="", "",TOTALCO!D1185)</f>
        <v>0</v>
      </c>
      <c r="E656" s="12" t="str">
        <f>IF(TOTALCO!E1185="", "",TOTALCO!E1185)</f>
        <v/>
      </c>
      <c r="F656" s="12">
        <f ca="1">IF(TOTALCO!F1185="", "",TOTALCO!F1185)</f>
        <v>0</v>
      </c>
      <c r="G656" s="12" t="str">
        <f>IF(TOTALCO!G1185="", "",TOTALCO!G1185)</f>
        <v/>
      </c>
      <c r="H656" s="12">
        <f ca="1">IF(TOTALCO!H1185="", "",TOTALCO!H1185)</f>
        <v>0</v>
      </c>
      <c r="I656" s="12">
        <f ca="1">IF(TOTALCO!I1185="", "",TOTALCO!I1185)</f>
        <v>0</v>
      </c>
      <c r="J656" s="12" t="str">
        <f>IF(TOTALCO!J1185="", "",TOTALCO!J1185)</f>
        <v/>
      </c>
      <c r="K656" s="12" t="str">
        <f>IF(TOTALCO!K1185="", "",TOTALCO!K1185)</f>
        <v/>
      </c>
      <c r="L656" s="12">
        <f ca="1">IF(TOTALCO!L1185="", "",TOTALCO!L1185)</f>
        <v>0</v>
      </c>
      <c r="M656" s="12" t="str">
        <f>IF(TOTALCO!M1185="", "",TOTALCO!M1185)</f>
        <v/>
      </c>
      <c r="N656" s="12">
        <f ca="1">IF(TOTALCO!N1185="", "",TOTALCO!N1185)</f>
        <v>0</v>
      </c>
      <c r="O656" s="12">
        <f ca="1">IF(TOTALCO!O1185="", "",TOTALCO!O1185)</f>
        <v>0</v>
      </c>
      <c r="P656" s="12">
        <f ca="1">IF(TOTALCO!P1185="", "",TOTALCO!P1185)</f>
        <v>0</v>
      </c>
      <c r="Q656" s="12"/>
      <c r="R656" s="13"/>
    </row>
    <row r="657" spans="1:18" ht="15" x14ac:dyDescent="0.2">
      <c r="A657" s="382">
        <f>IF(TOTALCO!A1186="", "",TOTALCO!A1186)</f>
        <v>14</v>
      </c>
      <c r="B657" s="4" t="str">
        <f>IF(TOTALCO!B1186="", "",TOTALCO!B1186)</f>
        <v xml:space="preserve">  OTHER PRODUCTION PLANT</v>
      </c>
      <c r="C657" s="4" t="str">
        <f>IF(TOTALCO!C1186="", "",TOTALCO!C1186)</f>
        <v>OTHSYS</v>
      </c>
      <c r="D657" s="12">
        <f ca="1">IF(TOTALCO!D1186="", "",TOTALCO!D1186)</f>
        <v>0</v>
      </c>
      <c r="E657" s="12" t="str">
        <f>IF(TOTALCO!E1186="", "",TOTALCO!E1186)</f>
        <v/>
      </c>
      <c r="F657" s="12">
        <f ca="1">IF(TOTALCO!F1186="", "",TOTALCO!F1186)</f>
        <v>0</v>
      </c>
      <c r="G657" s="12" t="str">
        <f>IF(TOTALCO!G1186="", "",TOTALCO!G1186)</f>
        <v/>
      </c>
      <c r="H657" s="12">
        <f ca="1">IF(TOTALCO!H1186="", "",TOTALCO!H1186)</f>
        <v>0</v>
      </c>
      <c r="I657" s="12">
        <f ca="1">IF(TOTALCO!I1186="", "",TOTALCO!I1186)</f>
        <v>0</v>
      </c>
      <c r="J657" s="12" t="str">
        <f>IF(TOTALCO!J1186="", "",TOTALCO!J1186)</f>
        <v/>
      </c>
      <c r="K657" s="12" t="str">
        <f>IF(TOTALCO!K1186="", "",TOTALCO!K1186)</f>
        <v/>
      </c>
      <c r="L657" s="12">
        <f ca="1">IF(TOTALCO!L1186="", "",TOTALCO!L1186)</f>
        <v>0</v>
      </c>
      <c r="M657" s="12" t="str">
        <f>IF(TOTALCO!M1186="", "",TOTALCO!M1186)</f>
        <v/>
      </c>
      <c r="N657" s="12">
        <f ca="1">IF(TOTALCO!N1186="", "",TOTALCO!N1186)</f>
        <v>0</v>
      </c>
      <c r="O657" s="12">
        <f ca="1">IF(TOTALCO!O1186="", "",TOTALCO!O1186)</f>
        <v>0</v>
      </c>
      <c r="P657" s="12">
        <f ca="1">IF(TOTALCO!P1186="", "",TOTALCO!P1186)</f>
        <v>0</v>
      </c>
      <c r="Q657" s="12"/>
      <c r="R657" s="13"/>
    </row>
    <row r="658" spans="1:18" ht="15" x14ac:dyDescent="0.2">
      <c r="A658" s="382" t="str">
        <f>IF(TOTALCO!A1187="", "",TOTALCO!A1187)</f>
        <v/>
      </c>
      <c r="B658" s="4" t="str">
        <f>IF(TOTALCO!B1187="", "",TOTALCO!B1187)</f>
        <v/>
      </c>
      <c r="C658" s="4" t="str">
        <f>IF(TOTALCO!C1187="", "",TOTALCO!C1187)</f>
        <v/>
      </c>
      <c r="D658" s="12" t="str">
        <f>IF(TOTALCO!D1187="", "",TOTALCO!D1187)</f>
        <v/>
      </c>
      <c r="E658" s="12" t="str">
        <f>IF(TOTALCO!E1187="", "",TOTALCO!E1187)</f>
        <v/>
      </c>
      <c r="F658" s="12" t="str">
        <f>IF(TOTALCO!F1187="", "",TOTALCO!F1187)</f>
        <v/>
      </c>
      <c r="G658" s="12" t="str">
        <f>IF(TOTALCO!G1187="", "",TOTALCO!G1187)</f>
        <v/>
      </c>
      <c r="H658" s="12" t="str">
        <f>IF(TOTALCO!H1187="", "",TOTALCO!H1187)</f>
        <v/>
      </c>
      <c r="I658" s="12" t="str">
        <f>IF(TOTALCO!I1187="", "",TOTALCO!I1187)</f>
        <v/>
      </c>
      <c r="J658" s="12" t="str">
        <f>IF(TOTALCO!J1187="", "",TOTALCO!J1187)</f>
        <v/>
      </c>
      <c r="K658" s="12" t="str">
        <f>IF(TOTALCO!K1187="", "",TOTALCO!K1187)</f>
        <v/>
      </c>
      <c r="L658" s="12" t="str">
        <f>IF(TOTALCO!L1187="", "",TOTALCO!L1187)</f>
        <v/>
      </c>
      <c r="M658" s="12" t="str">
        <f>IF(TOTALCO!M1187="", "",TOTALCO!M1187)</f>
        <v/>
      </c>
      <c r="N658" s="12" t="str">
        <f>IF(TOTALCO!N1187="", "",TOTALCO!N1187)</f>
        <v/>
      </c>
      <c r="O658" s="12" t="str">
        <f>IF(TOTALCO!O1187="", "",TOTALCO!O1187)</f>
        <v/>
      </c>
      <c r="P658" s="12" t="str">
        <f>IF(TOTALCO!P1187="", "",TOTALCO!P1187)</f>
        <v/>
      </c>
      <c r="Q658" s="12"/>
      <c r="R658" s="13"/>
    </row>
    <row r="659" spans="1:18" ht="15" x14ac:dyDescent="0.2">
      <c r="A659" s="382">
        <f>IF(TOTALCO!A1188="", "",TOTALCO!A1188)</f>
        <v>15</v>
      </c>
      <c r="B659" s="4" t="str">
        <f>IF(TOTALCO!B1188="", "",TOTALCO!B1188)</f>
        <v xml:space="preserve"> TOTAL PRODUCTION PLANT</v>
      </c>
      <c r="C659" s="4" t="str">
        <f>IF(TOTALCO!C1188="", "",TOTALCO!C1188)</f>
        <v/>
      </c>
      <c r="D659" s="12">
        <f ca="1">IF(TOTALCO!D1188="", "",TOTALCO!D1188)</f>
        <v>2899712.8799999994</v>
      </c>
      <c r="E659" s="12" t="str">
        <f>IF(TOTALCO!E1188="", "",TOTALCO!E1188)</f>
        <v/>
      </c>
      <c r="F659" s="12">
        <f ca="1">IF(TOTALCO!F1188="", "",TOTALCO!F1188)</f>
        <v>2509673.0025746603</v>
      </c>
      <c r="G659" s="12" t="str">
        <f>IF(TOTALCO!G1188="", "",TOTALCO!G1188)</f>
        <v/>
      </c>
      <c r="H659" s="12">
        <f ca="1">IF(TOTALCO!H1188="", "",TOTALCO!H1188)</f>
        <v>147385.64555394003</v>
      </c>
      <c r="I659" s="12">
        <f ca="1">IF(TOTALCO!I1188="", "",TOTALCO!I1188)</f>
        <v>242654.23187139924</v>
      </c>
      <c r="J659" s="12" t="str">
        <f>IF(TOTALCO!J1188="", "",TOTALCO!J1188)</f>
        <v/>
      </c>
      <c r="K659" s="12" t="str">
        <f>IF(TOTALCO!K1188="", "",TOTALCO!K1188)</f>
        <v/>
      </c>
      <c r="L659" s="12">
        <f ca="1">IF(TOTALCO!L1188="", "",TOTALCO!L1188)</f>
        <v>22.189949646784108</v>
      </c>
      <c r="M659" s="12" t="str">
        <f>IF(TOTALCO!M1188="", "",TOTALCO!M1188)</f>
        <v/>
      </c>
      <c r="N659" s="12">
        <f ca="1">IF(TOTALCO!N1188="", "",TOTALCO!N1188)</f>
        <v>242632.04192175245</v>
      </c>
      <c r="O659" s="12">
        <f ca="1">IF(TOTALCO!O1188="", "",TOTALCO!O1188)</f>
        <v>75707.353205617328</v>
      </c>
      <c r="P659" s="12">
        <f ca="1">IF(TOTALCO!P1188="", "",TOTALCO!P1188)</f>
        <v>166924.6887161351</v>
      </c>
      <c r="Q659" s="12"/>
      <c r="R659" s="13"/>
    </row>
    <row r="660" spans="1:18" ht="15" x14ac:dyDescent="0.2">
      <c r="A660" s="382" t="str">
        <f>IF(TOTALCO!A1189="", "",TOTALCO!A1189)</f>
        <v/>
      </c>
      <c r="B660" s="4" t="str">
        <f>IF(TOTALCO!B1189="", "",TOTALCO!B1189)</f>
        <v/>
      </c>
      <c r="C660" s="4" t="str">
        <f>IF(TOTALCO!C1189="", "",TOTALCO!C1189)</f>
        <v/>
      </c>
      <c r="D660" s="12" t="str">
        <f>IF(TOTALCO!D1189="", "",TOTALCO!D1189)</f>
        <v/>
      </c>
      <c r="E660" s="12" t="str">
        <f>IF(TOTALCO!E1189="", "",TOTALCO!E1189)</f>
        <v/>
      </c>
      <c r="F660" s="12" t="str">
        <f>IF(TOTALCO!F1189="", "",TOTALCO!F1189)</f>
        <v/>
      </c>
      <c r="G660" s="12" t="str">
        <f>IF(TOTALCO!G1189="", "",TOTALCO!G1189)</f>
        <v/>
      </c>
      <c r="H660" s="12" t="str">
        <f>IF(TOTALCO!H1189="", "",TOTALCO!H1189)</f>
        <v/>
      </c>
      <c r="I660" s="12" t="str">
        <f>IF(TOTALCO!I1189="", "",TOTALCO!I1189)</f>
        <v/>
      </c>
      <c r="J660" s="12" t="str">
        <f>IF(TOTALCO!J1189="", "",TOTALCO!J1189)</f>
        <v/>
      </c>
      <c r="K660" s="12" t="str">
        <f>IF(TOTALCO!K1189="", "",TOTALCO!K1189)</f>
        <v/>
      </c>
      <c r="L660" s="12" t="str">
        <f>IF(TOTALCO!L1189="", "",TOTALCO!L1189)</f>
        <v/>
      </c>
      <c r="M660" s="12" t="str">
        <f>IF(TOTALCO!M1189="", "",TOTALCO!M1189)</f>
        <v/>
      </c>
      <c r="N660" s="12" t="str">
        <f>IF(TOTALCO!N1189="", "",TOTALCO!N1189)</f>
        <v/>
      </c>
      <c r="O660" s="12" t="str">
        <f>IF(TOTALCO!O1189="", "",TOTALCO!O1189)</f>
        <v/>
      </c>
      <c r="P660" s="12" t="str">
        <f>IF(TOTALCO!P1189="", "",TOTALCO!P1189)</f>
        <v/>
      </c>
      <c r="Q660" s="12"/>
      <c r="R660" s="13"/>
    </row>
    <row r="661" spans="1:18" ht="15" x14ac:dyDescent="0.2">
      <c r="A661" s="382" t="str">
        <f>IF(TOTALCO!A1190="", "",TOTALCO!A1190)</f>
        <v/>
      </c>
      <c r="B661" s="4" t="str">
        <f>IF(TOTALCO!B1190="", "",TOTALCO!B1190)</f>
        <v xml:space="preserve"> TRANSMISSION PLANT</v>
      </c>
      <c r="C661" s="4" t="str">
        <f>IF(TOTALCO!C1190="", "",TOTALCO!C1190)</f>
        <v/>
      </c>
      <c r="D661" s="12" t="str">
        <f>IF(TOTALCO!D1190="", "",TOTALCO!D1190)</f>
        <v/>
      </c>
      <c r="E661" s="12" t="str">
        <f>IF(TOTALCO!E1190="", "",TOTALCO!E1190)</f>
        <v/>
      </c>
      <c r="F661" s="12" t="str">
        <f>IF(TOTALCO!F1190="", "",TOTALCO!F1190)</f>
        <v/>
      </c>
      <c r="G661" s="12" t="str">
        <f>IF(TOTALCO!G1190="", "",TOTALCO!G1190)</f>
        <v/>
      </c>
      <c r="H661" s="12" t="str">
        <f>IF(TOTALCO!H1190="", "",TOTALCO!H1190)</f>
        <v/>
      </c>
      <c r="I661" s="12" t="str">
        <f>IF(TOTALCO!I1190="", "",TOTALCO!I1190)</f>
        <v/>
      </c>
      <c r="J661" s="12" t="str">
        <f>IF(TOTALCO!J1190="", "",TOTALCO!J1190)</f>
        <v/>
      </c>
      <c r="K661" s="12" t="str">
        <f>IF(TOTALCO!K1190="", "",TOTALCO!K1190)</f>
        <v/>
      </c>
      <c r="L661" s="12" t="str">
        <f>IF(TOTALCO!L1190="", "",TOTALCO!L1190)</f>
        <v/>
      </c>
      <c r="M661" s="12" t="str">
        <f>IF(TOTALCO!M1190="", "",TOTALCO!M1190)</f>
        <v/>
      </c>
      <c r="N661" s="12" t="str">
        <f>IF(TOTALCO!N1190="", "",TOTALCO!N1190)</f>
        <v/>
      </c>
      <c r="O661" s="12" t="str">
        <f>IF(TOTALCO!O1190="", "",TOTALCO!O1190)</f>
        <v/>
      </c>
      <c r="P661" s="12" t="str">
        <f>IF(TOTALCO!P1190="", "",TOTALCO!P1190)</f>
        <v/>
      </c>
      <c r="Q661" s="12"/>
      <c r="R661" s="13"/>
    </row>
    <row r="662" spans="1:18" ht="15" x14ac:dyDescent="0.2">
      <c r="A662" s="382">
        <f>IF(TOTALCO!A1191="", "",TOTALCO!A1191)</f>
        <v>16</v>
      </c>
      <c r="B662" s="4" t="str">
        <f>IF(TOTALCO!B1191="", "",TOTALCO!B1191)</f>
        <v xml:space="preserve">  KENTUCKY SYSTEM PROPERTY</v>
      </c>
      <c r="C662" s="4" t="str">
        <f>IF(TOTALCO!C1191="", "",TOTALCO!C1191)</f>
        <v>KYTRPLT</v>
      </c>
      <c r="D662" s="12">
        <f ca="1">IF(TOTALCO!D1191="", "",TOTALCO!D1191)</f>
        <v>11161.900000000001</v>
      </c>
      <c r="E662" s="12" t="str">
        <f>IF(TOTALCO!E1191="", "",TOTALCO!E1191)</f>
        <v/>
      </c>
      <c r="F662" s="12">
        <f ca="1">IF(TOTALCO!F1191="", "",TOTALCO!F1191)</f>
        <v>9588.5490282633382</v>
      </c>
      <c r="G662" s="12" t="str">
        <f>IF(TOTALCO!G1191="", "",TOTALCO!G1191)</f>
        <v/>
      </c>
      <c r="H662" s="12">
        <f ca="1">IF(TOTALCO!H1191="", "",TOTALCO!H1191)</f>
        <v>584.77716164010565</v>
      </c>
      <c r="I662" s="12">
        <f ca="1">IF(TOTALCO!I1191="", "",TOTALCO!I1191)</f>
        <v>988.57381009655785</v>
      </c>
      <c r="J662" s="12" t="str">
        <f>IF(TOTALCO!J1191="", "",TOTALCO!J1191)</f>
        <v/>
      </c>
      <c r="K662" s="12" t="str">
        <f>IF(TOTALCO!K1191="", "",TOTALCO!K1191)</f>
        <v/>
      </c>
      <c r="L662" s="12">
        <f ca="1">IF(TOTALCO!L1191="", "",TOTALCO!L1191)</f>
        <v>8.4779738198803231E-2</v>
      </c>
      <c r="M662" s="12" t="str">
        <f>IF(TOTALCO!M1191="", "",TOTALCO!M1191)</f>
        <v/>
      </c>
      <c r="N662" s="12">
        <f ca="1">IF(TOTALCO!N1191="", "",TOTALCO!N1191)</f>
        <v>988.48903035835906</v>
      </c>
      <c r="O662" s="12">
        <f ca="1">IF(TOTALCO!O1191="", "",TOTALCO!O1191)</f>
        <v>308.43365768381346</v>
      </c>
      <c r="P662" s="12">
        <f ca="1">IF(TOTALCO!P1191="", "",TOTALCO!P1191)</f>
        <v>680.05537267454554</v>
      </c>
      <c r="Q662" s="12"/>
      <c r="R662" s="13"/>
    </row>
    <row r="663" spans="1:18" ht="15" x14ac:dyDescent="0.2">
      <c r="A663" s="382">
        <f>IF(TOTALCO!A1192="", "",TOTALCO!A1192)</f>
        <v>17</v>
      </c>
      <c r="B663" s="4" t="str">
        <f>IF(TOTALCO!B1192="", "",TOTALCO!B1192)</f>
        <v xml:space="preserve">  VIRGINIA PROPERTY</v>
      </c>
      <c r="C663" s="4" t="str">
        <f>IF(TOTALCO!C1192="", "",TOTALCO!C1192)</f>
        <v>TRPLTVA</v>
      </c>
      <c r="D663" s="12">
        <f ca="1">IF(TOTALCO!D1192="", "",TOTALCO!D1192)</f>
        <v>0</v>
      </c>
      <c r="E663" s="12" t="str">
        <f>IF(TOTALCO!E1192="", "",TOTALCO!E1192)</f>
        <v/>
      </c>
      <c r="F663" s="12">
        <f ca="1">IF(TOTALCO!F1192="", "",TOTALCO!F1192)</f>
        <v>0</v>
      </c>
      <c r="G663" s="12" t="str">
        <f>IF(TOTALCO!G1192="", "",TOTALCO!G1192)</f>
        <v/>
      </c>
      <c r="H663" s="12">
        <f ca="1">IF(TOTALCO!H1192="", "",TOTALCO!H1192)</f>
        <v>0</v>
      </c>
      <c r="I663" s="12">
        <f ca="1">IF(TOTALCO!I1192="", "",TOTALCO!I1192)</f>
        <v>0</v>
      </c>
      <c r="J663" s="12" t="str">
        <f>IF(TOTALCO!J1192="", "",TOTALCO!J1192)</f>
        <v/>
      </c>
      <c r="K663" s="12" t="str">
        <f>IF(TOTALCO!K1192="", "",TOTALCO!K1192)</f>
        <v/>
      </c>
      <c r="L663" s="12">
        <f ca="1">IF(TOTALCO!L1192="", "",TOTALCO!L1192)</f>
        <v>0</v>
      </c>
      <c r="M663" s="12" t="str">
        <f>IF(TOTALCO!M1192="", "",TOTALCO!M1192)</f>
        <v/>
      </c>
      <c r="N663" s="12">
        <f ca="1">IF(TOTALCO!N1192="", "",TOTALCO!N1192)</f>
        <v>0</v>
      </c>
      <c r="O663" s="12">
        <f ca="1">IF(TOTALCO!O1192="", "",TOTALCO!O1192)</f>
        <v>0</v>
      </c>
      <c r="P663" s="12">
        <f ca="1">IF(TOTALCO!P1192="", "",TOTALCO!P1192)</f>
        <v>0</v>
      </c>
      <c r="Q663" s="12"/>
      <c r="R663" s="13"/>
    </row>
    <row r="664" spans="1:18" ht="15" x14ac:dyDescent="0.2">
      <c r="A664" s="382" t="str">
        <f>IF(TOTALCO!A1193="", "",TOTALCO!A1193)</f>
        <v/>
      </c>
      <c r="B664" s="4" t="str">
        <f>IF(TOTALCO!B1193="", "",TOTALCO!B1193)</f>
        <v/>
      </c>
      <c r="C664" s="4" t="str">
        <f>IF(TOTALCO!C1193="", "",TOTALCO!C1193)</f>
        <v/>
      </c>
      <c r="D664" s="12" t="str">
        <f>IF(TOTALCO!D1193="", "",TOTALCO!D1193)</f>
        <v/>
      </c>
      <c r="E664" s="12" t="str">
        <f>IF(TOTALCO!E1193="", "",TOTALCO!E1193)</f>
        <v/>
      </c>
      <c r="F664" s="12" t="str">
        <f>IF(TOTALCO!F1193="", "",TOTALCO!F1193)</f>
        <v/>
      </c>
      <c r="G664" s="12" t="str">
        <f>IF(TOTALCO!G1193="", "",TOTALCO!G1193)</f>
        <v/>
      </c>
      <c r="H664" s="12" t="str">
        <f>IF(TOTALCO!H1193="", "",TOTALCO!H1193)</f>
        <v/>
      </c>
      <c r="I664" s="12" t="str">
        <f>IF(TOTALCO!I1193="", "",TOTALCO!I1193)</f>
        <v/>
      </c>
      <c r="J664" s="12" t="str">
        <f>IF(TOTALCO!J1193="", "",TOTALCO!J1193)</f>
        <v/>
      </c>
      <c r="K664" s="12" t="str">
        <f>IF(TOTALCO!K1193="", "",TOTALCO!K1193)</f>
        <v/>
      </c>
      <c r="L664" s="12" t="str">
        <f>IF(TOTALCO!L1193="", "",TOTALCO!L1193)</f>
        <v/>
      </c>
      <c r="M664" s="12" t="str">
        <f>IF(TOTALCO!M1193="", "",TOTALCO!M1193)</f>
        <v/>
      </c>
      <c r="N664" s="12" t="str">
        <f>IF(TOTALCO!N1193="", "",TOTALCO!N1193)</f>
        <v/>
      </c>
      <c r="O664" s="12" t="str">
        <f>IF(TOTALCO!O1193="", "",TOTALCO!O1193)</f>
        <v/>
      </c>
      <c r="P664" s="12" t="str">
        <f>IF(TOTALCO!P1193="", "",TOTALCO!P1193)</f>
        <v/>
      </c>
      <c r="Q664" s="12"/>
      <c r="R664" s="13"/>
    </row>
    <row r="665" spans="1:18" ht="15" x14ac:dyDescent="0.2">
      <c r="A665" s="382">
        <f>IF(TOTALCO!A1194="", "",TOTALCO!A1194)</f>
        <v>18</v>
      </c>
      <c r="B665" s="4" t="str">
        <f>IF(TOTALCO!B1194="", "",TOTALCO!B1194)</f>
        <v xml:space="preserve"> TOTAL TRANSMISSION PLANT</v>
      </c>
      <c r="C665" s="4" t="str">
        <f>IF(TOTALCO!C1194="", "",TOTALCO!C1194)</f>
        <v/>
      </c>
      <c r="D665" s="12">
        <f ca="1">IF(TOTALCO!D1194="", "",TOTALCO!D1194)</f>
        <v>11161.900000000001</v>
      </c>
      <c r="E665" s="12" t="str">
        <f>IF(TOTALCO!E1194="", "",TOTALCO!E1194)</f>
        <v/>
      </c>
      <c r="F665" s="12">
        <f ca="1">IF(TOTALCO!F1194="", "",TOTALCO!F1194)</f>
        <v>9588.5490282633382</v>
      </c>
      <c r="G665" s="12" t="str">
        <f>IF(TOTALCO!G1194="", "",TOTALCO!G1194)</f>
        <v/>
      </c>
      <c r="H665" s="12">
        <f ca="1">IF(TOTALCO!H1194="", "",TOTALCO!H1194)</f>
        <v>584.77716164010565</v>
      </c>
      <c r="I665" s="12">
        <f ca="1">IF(TOTALCO!I1194="", "",TOTALCO!I1194)</f>
        <v>988.57381009655785</v>
      </c>
      <c r="J665" s="12" t="str">
        <f>IF(TOTALCO!J1194="", "",TOTALCO!J1194)</f>
        <v/>
      </c>
      <c r="K665" s="12" t="str">
        <f>IF(TOTALCO!K1194="", "",TOTALCO!K1194)</f>
        <v/>
      </c>
      <c r="L665" s="12">
        <f ca="1">IF(TOTALCO!L1194="", "",TOTALCO!L1194)</f>
        <v>8.4779738198803231E-2</v>
      </c>
      <c r="M665" s="12" t="str">
        <f>IF(TOTALCO!M1194="", "",TOTALCO!M1194)</f>
        <v/>
      </c>
      <c r="N665" s="12">
        <f ca="1">IF(TOTALCO!N1194="", "",TOTALCO!N1194)</f>
        <v>988.48903035835906</v>
      </c>
      <c r="O665" s="12">
        <f ca="1">IF(TOTALCO!O1194="", "",TOTALCO!O1194)</f>
        <v>308.43365768381346</v>
      </c>
      <c r="P665" s="12">
        <f ca="1">IF(TOTALCO!P1194="", "",TOTALCO!P1194)</f>
        <v>680.05537267454554</v>
      </c>
      <c r="Q665" s="12"/>
      <c r="R665" s="13"/>
    </row>
    <row r="666" spans="1:18" ht="15" x14ac:dyDescent="0.2">
      <c r="A666" s="382" t="str">
        <f>IF(TOTALCO!A1195="", "",TOTALCO!A1195)</f>
        <v/>
      </c>
      <c r="B666" s="4" t="str">
        <f>IF(TOTALCO!B1195="", "",TOTALCO!B1195)</f>
        <v/>
      </c>
      <c r="C666" s="4" t="str">
        <f>IF(TOTALCO!C1195="", "",TOTALCO!C1195)</f>
        <v/>
      </c>
      <c r="D666" s="12" t="str">
        <f>IF(TOTALCO!D1195="", "",TOTALCO!D1195)</f>
        <v/>
      </c>
      <c r="E666" s="12" t="str">
        <f>IF(TOTALCO!E1195="", "",TOTALCO!E1195)</f>
        <v/>
      </c>
      <c r="F666" s="12" t="str">
        <f>IF(TOTALCO!F1195="", "",TOTALCO!F1195)</f>
        <v/>
      </c>
      <c r="G666" s="12" t="str">
        <f>IF(TOTALCO!G1195="", "",TOTALCO!G1195)</f>
        <v/>
      </c>
      <c r="H666" s="12" t="str">
        <f>IF(TOTALCO!H1195="", "",TOTALCO!H1195)</f>
        <v/>
      </c>
      <c r="I666" s="12" t="str">
        <f>IF(TOTALCO!I1195="", "",TOTALCO!I1195)</f>
        <v/>
      </c>
      <c r="J666" s="12" t="str">
        <f>IF(TOTALCO!J1195="", "",TOTALCO!J1195)</f>
        <v/>
      </c>
      <c r="K666" s="12" t="str">
        <f>IF(TOTALCO!K1195="", "",TOTALCO!K1195)</f>
        <v/>
      </c>
      <c r="L666" s="12" t="str">
        <f>IF(TOTALCO!L1195="", "",TOTALCO!L1195)</f>
        <v/>
      </c>
      <c r="M666" s="12" t="str">
        <f>IF(TOTALCO!M1195="", "",TOTALCO!M1195)</f>
        <v/>
      </c>
      <c r="N666" s="12" t="str">
        <f>IF(TOTALCO!N1195="", "",TOTALCO!N1195)</f>
        <v/>
      </c>
      <c r="O666" s="12" t="str">
        <f>IF(TOTALCO!O1195="", "",TOTALCO!O1195)</f>
        <v/>
      </c>
      <c r="P666" s="12" t="str">
        <f>IF(TOTALCO!P1195="", "",TOTALCO!P1195)</f>
        <v/>
      </c>
      <c r="Q666" s="12"/>
      <c r="R666" s="13"/>
    </row>
    <row r="667" spans="1:18" ht="15" x14ac:dyDescent="0.2">
      <c r="A667" s="382" t="str">
        <f>IF(TOTALCO!A1196="", "",TOTALCO!A1196)</f>
        <v/>
      </c>
      <c r="B667" s="4" t="str">
        <f>IF(TOTALCO!B1196="", "",TOTALCO!B1196)</f>
        <v>DISTRIBUTION PLANT</v>
      </c>
      <c r="C667" s="4" t="str">
        <f>IF(TOTALCO!C1196="", "",TOTALCO!C1196)</f>
        <v/>
      </c>
      <c r="D667" s="12" t="str">
        <f>IF(TOTALCO!D1196="", "",TOTALCO!D1196)</f>
        <v/>
      </c>
      <c r="E667" s="12" t="str">
        <f>IF(TOTALCO!E1196="", "",TOTALCO!E1196)</f>
        <v/>
      </c>
      <c r="F667" s="12" t="str">
        <f>IF(TOTALCO!F1196="", "",TOTALCO!F1196)</f>
        <v/>
      </c>
      <c r="G667" s="12" t="str">
        <f>IF(TOTALCO!G1196="", "",TOTALCO!G1196)</f>
        <v/>
      </c>
      <c r="H667" s="12" t="str">
        <f>IF(TOTALCO!H1196="", "",TOTALCO!H1196)</f>
        <v/>
      </c>
      <c r="I667" s="12" t="str">
        <f>IF(TOTALCO!I1196="", "",TOTALCO!I1196)</f>
        <v/>
      </c>
      <c r="J667" s="12" t="str">
        <f>IF(TOTALCO!J1196="", "",TOTALCO!J1196)</f>
        <v/>
      </c>
      <c r="K667" s="12" t="str">
        <f>IF(TOTALCO!K1196="", "",TOTALCO!K1196)</f>
        <v/>
      </c>
      <c r="L667" s="12" t="str">
        <f>IF(TOTALCO!L1196="", "",TOTALCO!L1196)</f>
        <v/>
      </c>
      <c r="M667" s="12" t="str">
        <f>IF(TOTALCO!M1196="", "",TOTALCO!M1196)</f>
        <v/>
      </c>
      <c r="N667" s="12" t="str">
        <f>IF(TOTALCO!N1196="", "",TOTALCO!N1196)</f>
        <v/>
      </c>
      <c r="O667" s="12" t="str">
        <f>IF(TOTALCO!O1196="", "",TOTALCO!O1196)</f>
        <v/>
      </c>
      <c r="P667" s="12" t="str">
        <f>IF(TOTALCO!P1196="", "",TOTALCO!P1196)</f>
        <v/>
      </c>
      <c r="Q667" s="12"/>
      <c r="R667" s="13"/>
    </row>
    <row r="668" spans="1:18" ht="15" x14ac:dyDescent="0.2">
      <c r="A668" s="382">
        <f>IF(TOTALCO!A1197="", "",TOTALCO!A1197)</f>
        <v>19</v>
      </c>
      <c r="B668" s="4" t="str">
        <f>IF(TOTALCO!B1197="", "",TOTALCO!B1197)</f>
        <v xml:space="preserve">  KENTUCKY SYSTEM PROPERTY</v>
      </c>
      <c r="C668" s="4" t="str">
        <f>IF(TOTALCO!C1197="", "",TOTALCO!C1197)</f>
        <v>KYDIST</v>
      </c>
      <c r="D668" s="12">
        <f ca="1">IF(TOTALCO!D1197="", "",TOTALCO!D1197)</f>
        <v>23233.87</v>
      </c>
      <c r="E668" s="12" t="str">
        <f>IF(TOTALCO!E1197="", "",TOTALCO!E1197)</f>
        <v/>
      </c>
      <c r="F668" s="12">
        <f ca="1">IF(TOTALCO!F1197="", "",TOTALCO!F1197)</f>
        <v>23159.667123768737</v>
      </c>
      <c r="G668" s="12" t="str">
        <f>IF(TOTALCO!G1197="", "",TOTALCO!G1197)</f>
        <v/>
      </c>
      <c r="H668" s="12">
        <f ca="1">IF(TOTALCO!H1197="", "",TOTALCO!H1197)</f>
        <v>0</v>
      </c>
      <c r="I668" s="12">
        <f ca="1">IF(TOTALCO!I1197="", "",TOTALCO!I1197)</f>
        <v>74.202876231262536</v>
      </c>
      <c r="J668" s="12" t="str">
        <f>IF(TOTALCO!J1197="", "",TOTALCO!J1197)</f>
        <v/>
      </c>
      <c r="K668" s="12" t="str">
        <f>IF(TOTALCO!K1197="", "",TOTALCO!K1197)</f>
        <v/>
      </c>
      <c r="L668" s="12">
        <f ca="1">IF(TOTALCO!L1197="", "",TOTALCO!L1197)</f>
        <v>0</v>
      </c>
      <c r="M668" s="12" t="str">
        <f>IF(TOTALCO!M1197="", "",TOTALCO!M1197)</f>
        <v/>
      </c>
      <c r="N668" s="12">
        <f ca="1">IF(TOTALCO!N1197="", "",TOTALCO!N1197)</f>
        <v>74.202876231262536</v>
      </c>
      <c r="O668" s="12">
        <f ca="1">IF(TOTALCO!O1197="", "",TOTALCO!O1197)</f>
        <v>63.76558810170026</v>
      </c>
      <c r="P668" s="12">
        <f ca="1">IF(TOTALCO!P1197="", "",TOTALCO!P1197)</f>
        <v>10.437288129562274</v>
      </c>
      <c r="Q668" s="12"/>
      <c r="R668" s="13"/>
    </row>
    <row r="669" spans="1:18" ht="15" x14ac:dyDescent="0.2">
      <c r="A669" s="382">
        <f>IF(TOTALCO!A1198="", "",TOTALCO!A1198)</f>
        <v>20</v>
      </c>
      <c r="B669" s="4" t="str">
        <f>IF(TOTALCO!B1198="", "",TOTALCO!B1198)</f>
        <v xml:space="preserve">  VIRGINIA PROPERTY</v>
      </c>
      <c r="C669" s="4" t="str">
        <f>IF(TOTALCO!C1198="", "",TOTALCO!C1198)</f>
        <v>DPLTXVA</v>
      </c>
      <c r="D669" s="12">
        <f ca="1">IF(TOTALCO!D1198="", "",TOTALCO!D1198)</f>
        <v>0</v>
      </c>
      <c r="E669" s="12" t="str">
        <f>IF(TOTALCO!E1198="", "",TOTALCO!E1198)</f>
        <v/>
      </c>
      <c r="F669" s="12">
        <f ca="1">IF(TOTALCO!F1198="", "",TOTALCO!F1198)</f>
        <v>0</v>
      </c>
      <c r="G669" s="12" t="str">
        <f>IF(TOTALCO!G1198="", "",TOTALCO!G1198)</f>
        <v/>
      </c>
      <c r="H669" s="12">
        <f ca="1">IF(TOTALCO!H1198="", "",TOTALCO!H1198)</f>
        <v>0</v>
      </c>
      <c r="I669" s="12">
        <f ca="1">IF(TOTALCO!I1198="", "",TOTALCO!I1198)</f>
        <v>0</v>
      </c>
      <c r="J669" s="12" t="str">
        <f>IF(TOTALCO!J1198="", "",TOTALCO!J1198)</f>
        <v/>
      </c>
      <c r="K669" s="12" t="str">
        <f>IF(TOTALCO!K1198="", "",TOTALCO!K1198)</f>
        <v/>
      </c>
      <c r="L669" s="12">
        <f ca="1">IF(TOTALCO!L1198="", "",TOTALCO!L1198)</f>
        <v>0</v>
      </c>
      <c r="M669" s="12" t="str">
        <f>IF(TOTALCO!M1198="", "",TOTALCO!M1198)</f>
        <v/>
      </c>
      <c r="N669" s="12">
        <f ca="1">IF(TOTALCO!N1198="", "",TOTALCO!N1198)</f>
        <v>0</v>
      </c>
      <c r="O669" s="12">
        <f ca="1">IF(TOTALCO!O1198="", "",TOTALCO!O1198)</f>
        <v>0</v>
      </c>
      <c r="P669" s="12">
        <f ca="1">IF(TOTALCO!P1198="", "",TOTALCO!P1198)</f>
        <v>0</v>
      </c>
      <c r="Q669" s="12"/>
      <c r="R669" s="13"/>
    </row>
    <row r="670" spans="1:18" ht="15" x14ac:dyDescent="0.2">
      <c r="A670" s="382" t="str">
        <f>IF(TOTALCO!A1199="", "",TOTALCO!A1199)</f>
        <v/>
      </c>
      <c r="B670" s="4" t="str">
        <f>IF(TOTALCO!B1199="", "",TOTALCO!B1199)</f>
        <v/>
      </c>
      <c r="C670" s="4" t="str">
        <f>IF(TOTALCO!C1199="", "",TOTALCO!C1199)</f>
        <v/>
      </c>
      <c r="D670" s="12" t="str">
        <f>IF(TOTALCO!D1199="", "",TOTALCO!D1199)</f>
        <v/>
      </c>
      <c r="E670" s="12" t="str">
        <f>IF(TOTALCO!E1199="", "",TOTALCO!E1199)</f>
        <v/>
      </c>
      <c r="F670" s="12" t="str">
        <f>IF(TOTALCO!F1199="", "",TOTALCO!F1199)</f>
        <v/>
      </c>
      <c r="G670" s="12" t="str">
        <f>IF(TOTALCO!G1199="", "",TOTALCO!G1199)</f>
        <v/>
      </c>
      <c r="H670" s="12" t="str">
        <f>IF(TOTALCO!H1199="", "",TOTALCO!H1199)</f>
        <v/>
      </c>
      <c r="I670" s="12" t="str">
        <f>IF(TOTALCO!I1199="", "",TOTALCO!I1199)</f>
        <v/>
      </c>
      <c r="J670" s="12" t="str">
        <f>IF(TOTALCO!J1199="", "",TOTALCO!J1199)</f>
        <v/>
      </c>
      <c r="K670" s="12" t="str">
        <f>IF(TOTALCO!K1199="", "",TOTALCO!K1199)</f>
        <v/>
      </c>
      <c r="L670" s="12" t="str">
        <f>IF(TOTALCO!L1199="", "",TOTALCO!L1199)</f>
        <v/>
      </c>
      <c r="M670" s="12" t="str">
        <f>IF(TOTALCO!M1199="", "",TOTALCO!M1199)</f>
        <v/>
      </c>
      <c r="N670" s="12" t="str">
        <f>IF(TOTALCO!N1199="", "",TOTALCO!N1199)</f>
        <v/>
      </c>
      <c r="O670" s="12" t="str">
        <f>IF(TOTALCO!O1199="", "",TOTALCO!O1199)</f>
        <v/>
      </c>
      <c r="P670" s="12" t="str">
        <f>IF(TOTALCO!P1199="", "",TOTALCO!P1199)</f>
        <v/>
      </c>
      <c r="Q670" s="12"/>
      <c r="R670" s="13"/>
    </row>
    <row r="671" spans="1:18" ht="15" x14ac:dyDescent="0.2">
      <c r="A671" s="382">
        <f>IF(TOTALCO!A1200="", "",TOTALCO!A1200)</f>
        <v>21</v>
      </c>
      <c r="B671" s="4" t="str">
        <f>IF(TOTALCO!B1200="", "",TOTALCO!B1200)</f>
        <v xml:space="preserve"> TOTAL DISTRIBUTION PLANT</v>
      </c>
      <c r="C671" s="4" t="str">
        <f>IF(TOTALCO!C1200="", "",TOTALCO!C1200)</f>
        <v/>
      </c>
      <c r="D671" s="12">
        <f ca="1">IF(TOTALCO!D1200="", "",TOTALCO!D1200)</f>
        <v>23233.87</v>
      </c>
      <c r="E671" s="12" t="str">
        <f>IF(TOTALCO!E1200="", "",TOTALCO!E1200)</f>
        <v/>
      </c>
      <c r="F671" s="12">
        <f ca="1">IF(TOTALCO!F1200="", "",TOTALCO!F1200)</f>
        <v>23159.667123768737</v>
      </c>
      <c r="G671" s="12" t="str">
        <f>IF(TOTALCO!G1200="", "",TOTALCO!G1200)</f>
        <v/>
      </c>
      <c r="H671" s="12">
        <f ca="1">IF(TOTALCO!H1200="", "",TOTALCO!H1200)</f>
        <v>0</v>
      </c>
      <c r="I671" s="12">
        <f ca="1">IF(TOTALCO!I1200="", "",TOTALCO!I1200)</f>
        <v>74.202876231262536</v>
      </c>
      <c r="J671" s="12" t="str">
        <f>IF(TOTALCO!J1200="", "",TOTALCO!J1200)</f>
        <v/>
      </c>
      <c r="K671" s="12" t="str">
        <f>IF(TOTALCO!K1200="", "",TOTALCO!K1200)</f>
        <v/>
      </c>
      <c r="L671" s="12">
        <f ca="1">IF(TOTALCO!L1200="", "",TOTALCO!L1200)</f>
        <v>0</v>
      </c>
      <c r="M671" s="12" t="str">
        <f>IF(TOTALCO!M1200="", "",TOTALCO!M1200)</f>
        <v/>
      </c>
      <c r="N671" s="12">
        <f ca="1">IF(TOTALCO!N1200="", "",TOTALCO!N1200)</f>
        <v>74.202876231262536</v>
      </c>
      <c r="O671" s="12">
        <f ca="1">IF(TOTALCO!O1200="", "",TOTALCO!O1200)</f>
        <v>63.76558810170026</v>
      </c>
      <c r="P671" s="12">
        <f ca="1">IF(TOTALCO!P1200="", "",TOTALCO!P1200)</f>
        <v>10.437288129562274</v>
      </c>
      <c r="Q671" s="12"/>
      <c r="R671" s="13"/>
    </row>
    <row r="672" spans="1:18" ht="15" x14ac:dyDescent="0.2">
      <c r="A672" s="382" t="str">
        <f>IF(TOTALCO!A1201="", "",TOTALCO!A1201)</f>
        <v/>
      </c>
      <c r="B672" s="4" t="str">
        <f>IF(TOTALCO!B1201="", "",TOTALCO!B1201)</f>
        <v/>
      </c>
      <c r="C672" s="4" t="str">
        <f>IF(TOTALCO!C1201="", "",TOTALCO!C1201)</f>
        <v/>
      </c>
      <c r="D672" s="12" t="str">
        <f>IF(TOTALCO!D1201="", "",TOTALCO!D1201)</f>
        <v/>
      </c>
      <c r="E672" s="12" t="str">
        <f>IF(TOTALCO!E1201="", "",TOTALCO!E1201)</f>
        <v/>
      </c>
      <c r="F672" s="12" t="str">
        <f>IF(TOTALCO!F1201="", "",TOTALCO!F1201)</f>
        <v/>
      </c>
      <c r="G672" s="12" t="str">
        <f>IF(TOTALCO!G1201="", "",TOTALCO!G1201)</f>
        <v/>
      </c>
      <c r="H672" s="12" t="str">
        <f>IF(TOTALCO!H1201="", "",TOTALCO!H1201)</f>
        <v/>
      </c>
      <c r="I672" s="12" t="str">
        <f>IF(TOTALCO!I1201="", "",TOTALCO!I1201)</f>
        <v/>
      </c>
      <c r="J672" s="12" t="str">
        <f>IF(TOTALCO!J1201="", "",TOTALCO!J1201)</f>
        <v/>
      </c>
      <c r="K672" s="12" t="str">
        <f>IF(TOTALCO!K1201="", "",TOTALCO!K1201)</f>
        <v/>
      </c>
      <c r="L672" s="12" t="str">
        <f>IF(TOTALCO!L1201="", "",TOTALCO!L1201)</f>
        <v/>
      </c>
      <c r="M672" s="12" t="str">
        <f>IF(TOTALCO!M1201="", "",TOTALCO!M1201)</f>
        <v/>
      </c>
      <c r="N672" s="12" t="str">
        <f>IF(TOTALCO!N1201="", "",TOTALCO!N1201)</f>
        <v/>
      </c>
      <c r="O672" s="12" t="str">
        <f>IF(TOTALCO!O1201="", "",TOTALCO!O1201)</f>
        <v/>
      </c>
      <c r="P672" s="12" t="str">
        <f>IF(TOTALCO!P1201="", "",TOTALCO!P1201)</f>
        <v/>
      </c>
      <c r="Q672" s="12"/>
      <c r="R672" s="13"/>
    </row>
    <row r="673" spans="1:18" ht="15" x14ac:dyDescent="0.2">
      <c r="A673" s="382">
        <f>IF(TOTALCO!A1202="", "",TOTALCO!A1202)</f>
        <v>22</v>
      </c>
      <c r="B673" s="4" t="str">
        <f>IF(TOTALCO!B1202="", "",TOTALCO!B1202)</f>
        <v>TOTAL ACCRETION EXPENSE</v>
      </c>
      <c r="C673" s="4" t="str">
        <f>IF(TOTALCO!C1202="", "",TOTALCO!C1202)</f>
        <v/>
      </c>
      <c r="D673" s="12">
        <f ca="1">IF(TOTALCO!D1202="", "",TOTALCO!D1202)</f>
        <v>2934108.65</v>
      </c>
      <c r="E673" s="12" t="str">
        <f>IF(TOTALCO!E1202="", "",TOTALCO!E1202)</f>
        <v/>
      </c>
      <c r="F673" s="12">
        <f ca="1">IF(TOTALCO!F1202="", "",TOTALCO!F1202)</f>
        <v>2542421.2187266927</v>
      </c>
      <c r="G673" s="12" t="str">
        <f>IF(TOTALCO!G1202="", "",TOTALCO!G1202)</f>
        <v/>
      </c>
      <c r="H673" s="12">
        <f ca="1">IF(TOTALCO!H1202="", "",TOTALCO!H1202)</f>
        <v>147970.42271558015</v>
      </c>
      <c r="I673" s="12">
        <f ca="1">IF(TOTALCO!I1202="", "",TOTALCO!I1202)</f>
        <v>243717.00855772704</v>
      </c>
      <c r="J673" s="12" t="str">
        <f>IF(TOTALCO!J1202="", "",TOTALCO!J1202)</f>
        <v/>
      </c>
      <c r="K673" s="12" t="str">
        <f>IF(TOTALCO!K1202="", "",TOTALCO!K1202)</f>
        <v/>
      </c>
      <c r="L673" s="12">
        <f ca="1">IF(TOTALCO!L1202="", "",TOTALCO!L1202)</f>
        <v>22.274729384982912</v>
      </c>
      <c r="M673" s="12" t="str">
        <f>IF(TOTALCO!M1202="", "",TOTALCO!M1202)</f>
        <v/>
      </c>
      <c r="N673" s="12">
        <f ca="1">IF(TOTALCO!N1202="", "",TOTALCO!N1202)</f>
        <v>243694.73382834205</v>
      </c>
      <c r="O673" s="12">
        <f ca="1">IF(TOTALCO!O1202="", "",TOTALCO!O1202)</f>
        <v>76079.552451402837</v>
      </c>
      <c r="P673" s="12">
        <f ca="1">IF(TOTALCO!P1202="", "",TOTALCO!P1202)</f>
        <v>167615.1813769392</v>
      </c>
      <c r="Q673" s="12"/>
      <c r="R673" s="13"/>
    </row>
    <row r="674" spans="1:18" ht="15" x14ac:dyDescent="0.2">
      <c r="A674" s="382" t="str">
        <f>IF(TOTALCO!A1203="", "",TOTALCO!A1203)</f>
        <v/>
      </c>
      <c r="B674" s="4" t="str">
        <f>IF(TOTALCO!B1203="", "",TOTALCO!B1203)</f>
        <v/>
      </c>
      <c r="C674" s="4" t="str">
        <f>IF(TOTALCO!C1203="", "",TOTALCO!C1203)</f>
        <v/>
      </c>
      <c r="D674" s="12" t="str">
        <f>IF(TOTALCO!D1203="", "",TOTALCO!D1203)</f>
        <v/>
      </c>
      <c r="E674" s="12" t="str">
        <f>IF(TOTALCO!E1203="", "",TOTALCO!E1203)</f>
        <v/>
      </c>
      <c r="F674" s="12" t="str">
        <f>IF(TOTALCO!F1203="", "",TOTALCO!F1203)</f>
        <v/>
      </c>
      <c r="G674" s="12" t="str">
        <f>IF(TOTALCO!G1203="", "",TOTALCO!G1203)</f>
        <v/>
      </c>
      <c r="H674" s="12" t="str">
        <f>IF(TOTALCO!H1203="", "",TOTALCO!H1203)</f>
        <v/>
      </c>
      <c r="I674" s="12" t="str">
        <f>IF(TOTALCO!I1203="", "",TOTALCO!I1203)</f>
        <v/>
      </c>
      <c r="J674" s="12" t="str">
        <f>IF(TOTALCO!J1203="", "",TOTALCO!J1203)</f>
        <v/>
      </c>
      <c r="K674" s="12" t="str">
        <f>IF(TOTALCO!K1203="", "",TOTALCO!K1203)</f>
        <v/>
      </c>
      <c r="L674" s="12" t="str">
        <f>IF(TOTALCO!L1203="", "",TOTALCO!L1203)</f>
        <v/>
      </c>
      <c r="M674" s="12" t="str">
        <f>IF(TOTALCO!M1203="", "",TOTALCO!M1203)</f>
        <v/>
      </c>
      <c r="N674" s="12" t="str">
        <f>IF(TOTALCO!N1203="", "",TOTALCO!N1203)</f>
        <v/>
      </c>
      <c r="O674" s="12" t="str">
        <f>IF(TOTALCO!O1203="", "",TOTALCO!O1203)</f>
        <v/>
      </c>
      <c r="P674" s="12" t="str">
        <f>IF(TOTALCO!P1203="", "",TOTALCO!P1203)</f>
        <v/>
      </c>
      <c r="Q674" s="12"/>
      <c r="R674" s="13"/>
    </row>
    <row r="675" spans="1:18" ht="15" x14ac:dyDescent="0.2">
      <c r="A675" s="382" t="str">
        <f>IF(TOTALCO!A1204="", "",TOTALCO!A1204)</f>
        <v/>
      </c>
      <c r="B675" s="4" t="str">
        <f>IF(TOTALCO!B1204="", "",TOTALCO!B1204)</f>
        <v>OTHER TAXES &amp; OTHER EXPENSES</v>
      </c>
      <c r="C675" s="4" t="str">
        <f>IF(TOTALCO!C1204="", "",TOTALCO!C1204)</f>
        <v/>
      </c>
      <c r="D675" s="12" t="str">
        <f>IF(TOTALCO!D1204="", "",TOTALCO!D1204)</f>
        <v/>
      </c>
      <c r="E675" s="12" t="str">
        <f>IF(TOTALCO!E1204="", "",TOTALCO!E1204)</f>
        <v/>
      </c>
      <c r="F675" s="12" t="str">
        <f>IF(TOTALCO!F1204="", "",TOTALCO!F1204)</f>
        <v/>
      </c>
      <c r="G675" s="12" t="str">
        <f>IF(TOTALCO!G1204="", "",TOTALCO!G1204)</f>
        <v/>
      </c>
      <c r="H675" s="12" t="str">
        <f>IF(TOTALCO!H1204="", "",TOTALCO!H1204)</f>
        <v/>
      </c>
      <c r="I675" s="12" t="str">
        <f>IF(TOTALCO!I1204="", "",TOTALCO!I1204)</f>
        <v/>
      </c>
      <c r="J675" s="12" t="str">
        <f>IF(TOTALCO!J1204="", "",TOTALCO!J1204)</f>
        <v/>
      </c>
      <c r="K675" s="12" t="str">
        <f>IF(TOTALCO!K1204="", "",TOTALCO!K1204)</f>
        <v/>
      </c>
      <c r="L675" s="12" t="str">
        <f>IF(TOTALCO!L1204="", "",TOTALCO!L1204)</f>
        <v/>
      </c>
      <c r="M675" s="12" t="str">
        <f>IF(TOTALCO!M1204="", "",TOTALCO!M1204)</f>
        <v/>
      </c>
      <c r="N675" s="12" t="str">
        <f>IF(TOTALCO!N1204="", "",TOTALCO!N1204)</f>
        <v/>
      </c>
      <c r="O675" s="12" t="str">
        <f>IF(TOTALCO!O1204="", "",TOTALCO!O1204)</f>
        <v/>
      </c>
      <c r="P675" s="12" t="str">
        <f>IF(TOTALCO!P1204="", "",TOTALCO!P1204)</f>
        <v/>
      </c>
      <c r="Q675" s="12"/>
      <c r="R675" s="13"/>
    </row>
    <row r="676" spans="1:18" ht="15" x14ac:dyDescent="0.2">
      <c r="A676" s="382" t="str">
        <f>IF(TOTALCO!A1205="", "",TOTALCO!A1205)</f>
        <v/>
      </c>
      <c r="B676" s="4" t="str">
        <f>IF(TOTALCO!B1205="", "",TOTALCO!B1205)</f>
        <v/>
      </c>
      <c r="C676" s="4" t="str">
        <f>IF(TOTALCO!C1205="", "",TOTALCO!C1205)</f>
        <v/>
      </c>
      <c r="D676" s="12" t="str">
        <f>IF(TOTALCO!D1205="", "",TOTALCO!D1205)</f>
        <v/>
      </c>
      <c r="E676" s="12" t="str">
        <f>IF(TOTALCO!E1205="", "",TOTALCO!E1205)</f>
        <v/>
      </c>
      <c r="F676" s="12" t="str">
        <f>IF(TOTALCO!F1205="", "",TOTALCO!F1205)</f>
        <v/>
      </c>
      <c r="G676" s="12" t="str">
        <f>IF(TOTALCO!G1205="", "",TOTALCO!G1205)</f>
        <v/>
      </c>
      <c r="H676" s="12" t="str">
        <f>IF(TOTALCO!H1205="", "",TOTALCO!H1205)</f>
        <v/>
      </c>
      <c r="I676" s="12" t="str">
        <f>IF(TOTALCO!I1205="", "",TOTALCO!I1205)</f>
        <v/>
      </c>
      <c r="J676" s="12" t="str">
        <f>IF(TOTALCO!J1205="", "",TOTALCO!J1205)</f>
        <v/>
      </c>
      <c r="K676" s="12" t="str">
        <f>IF(TOTALCO!K1205="", "",TOTALCO!K1205)</f>
        <v/>
      </c>
      <c r="L676" s="12" t="str">
        <f>IF(TOTALCO!L1205="", "",TOTALCO!L1205)</f>
        <v/>
      </c>
      <c r="M676" s="12" t="str">
        <f>IF(TOTALCO!M1205="", "",TOTALCO!M1205)</f>
        <v/>
      </c>
      <c r="N676" s="12" t="str">
        <f>IF(TOTALCO!N1205="", "",TOTALCO!N1205)</f>
        <v/>
      </c>
      <c r="O676" s="12" t="str">
        <f>IF(TOTALCO!O1205="", "",TOTALCO!O1205)</f>
        <v/>
      </c>
      <c r="P676" s="12" t="str">
        <f>IF(TOTALCO!P1205="", "",TOTALCO!P1205)</f>
        <v/>
      </c>
      <c r="Q676" s="12"/>
      <c r="R676" s="13"/>
    </row>
    <row r="677" spans="1:18" ht="15" x14ac:dyDescent="0.2">
      <c r="A677" s="382" t="str">
        <f>IF(TOTALCO!A1206="", "",TOTALCO!A1206)</f>
        <v/>
      </c>
      <c r="B677" s="4" t="str">
        <f>IF(TOTALCO!B1206="", "",TOTALCO!B1206)</f>
        <v>TAXES OTHER THAN INCOME TAX</v>
      </c>
      <c r="C677" s="4" t="str">
        <f>IF(TOTALCO!C1206="", "",TOTALCO!C1206)</f>
        <v/>
      </c>
      <c r="D677" s="12" t="str">
        <f>IF(TOTALCO!D1206="", "",TOTALCO!D1206)</f>
        <v/>
      </c>
      <c r="E677" s="12" t="str">
        <f>IF(TOTALCO!E1206="", "",TOTALCO!E1206)</f>
        <v/>
      </c>
      <c r="F677" s="12" t="str">
        <f>IF(TOTALCO!F1206="", "",TOTALCO!F1206)</f>
        <v/>
      </c>
      <c r="G677" s="12" t="str">
        <f>IF(TOTALCO!G1206="", "",TOTALCO!G1206)</f>
        <v/>
      </c>
      <c r="H677" s="12" t="str">
        <f>IF(TOTALCO!H1206="", "",TOTALCO!H1206)</f>
        <v/>
      </c>
      <c r="I677" s="12" t="str">
        <f>IF(TOTALCO!I1206="", "",TOTALCO!I1206)</f>
        <v/>
      </c>
      <c r="J677" s="12" t="str">
        <f>IF(TOTALCO!J1206="", "",TOTALCO!J1206)</f>
        <v/>
      </c>
      <c r="K677" s="12" t="str">
        <f>IF(TOTALCO!K1206="", "",TOTALCO!K1206)</f>
        <v/>
      </c>
      <c r="L677" s="12" t="str">
        <f>IF(TOTALCO!L1206="", "",TOTALCO!L1206)</f>
        <v/>
      </c>
      <c r="M677" s="12" t="str">
        <f>IF(TOTALCO!M1206="", "",TOTALCO!M1206)</f>
        <v/>
      </c>
      <c r="N677" s="12" t="str">
        <f>IF(TOTALCO!N1206="", "",TOTALCO!N1206)</f>
        <v/>
      </c>
      <c r="O677" s="12" t="str">
        <f>IF(TOTALCO!O1206="", "",TOTALCO!O1206)</f>
        <v/>
      </c>
      <c r="P677" s="12" t="str">
        <f>IF(TOTALCO!P1206="", "",TOTALCO!P1206)</f>
        <v/>
      </c>
      <c r="Q677" s="12"/>
      <c r="R677" s="13"/>
    </row>
    <row r="678" spans="1:18" ht="15" x14ac:dyDescent="0.2">
      <c r="A678" s="382">
        <f>IF(TOTALCO!A1207="", "",TOTALCO!A1207)</f>
        <v>1</v>
      </c>
      <c r="B678" s="4" t="str">
        <f>IF(TOTALCO!B1207="", "",TOTALCO!B1207)</f>
        <v xml:space="preserve">  PROPERTY TAXES</v>
      </c>
      <c r="C678" s="4" t="str">
        <f>IF(TOTALCO!C1207="", "",TOTALCO!C1207)</f>
        <v>NETPLANT</v>
      </c>
      <c r="D678" s="12">
        <f ca="1">IF(TOTALCO!D1207="", "",TOTALCO!D1207)</f>
        <v>19442861.000000004</v>
      </c>
      <c r="E678" s="12" t="str">
        <f>IF(TOTALCO!E1207="", "",TOTALCO!E1207)</f>
        <v/>
      </c>
      <c r="F678" s="12">
        <f ca="1">IF(TOTALCO!F1207="", "",TOTALCO!F1207)</f>
        <v>17000077.441468615</v>
      </c>
      <c r="G678" s="12" t="str">
        <f>IF(TOTALCO!G1207="", "",TOTALCO!G1207)</f>
        <v/>
      </c>
      <c r="H678" s="12">
        <f ca="1">IF(TOTALCO!H1207="", "",TOTALCO!H1207)</f>
        <v>1078544.268135082</v>
      </c>
      <c r="I678" s="12">
        <f ca="1">IF(TOTALCO!I1207="", "",TOTALCO!I1207)</f>
        <v>1364239.2903963062</v>
      </c>
      <c r="J678" s="12" t="str">
        <f>IF(TOTALCO!J1207="", "",TOTALCO!J1207)</f>
        <v/>
      </c>
      <c r="K678" s="12" t="str">
        <f>IF(TOTALCO!K1207="", "",TOTALCO!K1207)</f>
        <v/>
      </c>
      <c r="L678" s="12">
        <f ca="1">IF(TOTALCO!L1207="", "",TOTALCO!L1207)</f>
        <v>228.57349742926326</v>
      </c>
      <c r="M678" s="12" t="str">
        <f>IF(TOTALCO!M1207="", "",TOTALCO!M1207)</f>
        <v/>
      </c>
      <c r="N678" s="12">
        <f ca="1">IF(TOTALCO!N1207="", "",TOTALCO!N1207)</f>
        <v>1364010.7168988769</v>
      </c>
      <c r="O678" s="12">
        <f ca="1">IF(TOTALCO!O1207="", "",TOTALCO!O1207)</f>
        <v>432862.21178259875</v>
      </c>
      <c r="P678" s="12">
        <f ca="1">IF(TOTALCO!P1207="", "",TOTALCO!P1207)</f>
        <v>931148.50511627819</v>
      </c>
      <c r="Q678" s="12"/>
      <c r="R678" s="13"/>
    </row>
    <row r="679" spans="1:18" ht="15" x14ac:dyDescent="0.2">
      <c r="A679" s="382">
        <f>IF(TOTALCO!A1208="", "",TOTALCO!A1208)</f>
        <v>2</v>
      </c>
      <c r="B679" s="4" t="str">
        <f>IF(TOTALCO!B1208="", "",TOTALCO!B1208)</f>
        <v xml:space="preserve">  PSC ASSESSMENT-KY REVENUE</v>
      </c>
      <c r="C679" s="4" t="str">
        <f>IF(TOTALCO!C1208="", "",TOTALCO!C1208)</f>
        <v>REVKY</v>
      </c>
      <c r="D679" s="12">
        <f ca="1">IF(TOTALCO!D1208="", "",TOTALCO!D1208)</f>
        <v>1985993.81</v>
      </c>
      <c r="E679" s="12" t="str">
        <f>IF(TOTALCO!E1208="", "",TOTALCO!E1208)</f>
        <v/>
      </c>
      <c r="F679" s="12">
        <f ca="1">IF(TOTALCO!F1208="", "",TOTALCO!F1208)</f>
        <v>1985993.81</v>
      </c>
      <c r="G679" s="12" t="str">
        <f>IF(TOTALCO!G1208="", "",TOTALCO!G1208)</f>
        <v/>
      </c>
      <c r="H679" s="12">
        <f ca="1">IF(TOTALCO!H1208="", "",TOTALCO!H1208)</f>
        <v>0</v>
      </c>
      <c r="I679" s="12">
        <f ca="1">IF(TOTALCO!I1208="", "",TOTALCO!I1208)</f>
        <v>0</v>
      </c>
      <c r="J679" s="12" t="str">
        <f>IF(TOTALCO!J1208="", "",TOTALCO!J1208)</f>
        <v/>
      </c>
      <c r="K679" s="12" t="str">
        <f>IF(TOTALCO!K1208="", "",TOTALCO!K1208)</f>
        <v/>
      </c>
      <c r="L679" s="12">
        <f ca="1">IF(TOTALCO!L1208="", "",TOTALCO!L1208)</f>
        <v>0</v>
      </c>
      <c r="M679" s="12" t="str">
        <f>IF(TOTALCO!M1208="", "",TOTALCO!M1208)</f>
        <v/>
      </c>
      <c r="N679" s="12">
        <f ca="1">IF(TOTALCO!N1208="", "",TOTALCO!N1208)</f>
        <v>0</v>
      </c>
      <c r="O679" s="12">
        <f ca="1">IF(TOTALCO!O1208="", "",TOTALCO!O1208)</f>
        <v>0</v>
      </c>
      <c r="P679" s="12">
        <f ca="1">IF(TOTALCO!P1208="", "",TOTALCO!P1208)</f>
        <v>0</v>
      </c>
      <c r="Q679" s="12"/>
      <c r="R679" s="13"/>
    </row>
    <row r="680" spans="1:18" ht="15" x14ac:dyDescent="0.2">
      <c r="A680" s="382">
        <f>IF(TOTALCO!A1209="", "",TOTALCO!A1209)</f>
        <v>3</v>
      </c>
      <c r="B680" s="4" t="str">
        <f>IF(TOTALCO!B1209="", "",TOTALCO!B1209)</f>
        <v xml:space="preserve">  VA GROSS RECEIPTS TAX</v>
      </c>
      <c r="C680" s="4" t="str">
        <f>IF(TOTALCO!C1209="", "",TOTALCO!C1209)</f>
        <v>REVVA</v>
      </c>
      <c r="D680" s="12">
        <f ca="1">IF(TOTALCO!D1209="", "",TOTALCO!D1209)</f>
        <v>0</v>
      </c>
      <c r="E680" s="12" t="str">
        <f>IF(TOTALCO!E1209="", "",TOTALCO!E1209)</f>
        <v/>
      </c>
      <c r="F680" s="12">
        <f ca="1">IF(TOTALCO!F1209="", "",TOTALCO!F1209)</f>
        <v>0</v>
      </c>
      <c r="G680" s="12" t="str">
        <f>IF(TOTALCO!G1209="", "",TOTALCO!G1209)</f>
        <v/>
      </c>
      <c r="H680" s="12">
        <f ca="1">IF(TOTALCO!H1209="", "",TOTALCO!H1209)</f>
        <v>0</v>
      </c>
      <c r="I680" s="12">
        <f ca="1">IF(TOTALCO!I1209="", "",TOTALCO!I1209)</f>
        <v>0</v>
      </c>
      <c r="J680" s="12" t="str">
        <f>IF(TOTALCO!J1209="", "",TOTALCO!J1209)</f>
        <v/>
      </c>
      <c r="K680" s="12" t="str">
        <f>IF(TOTALCO!K1209="", "",TOTALCO!K1209)</f>
        <v/>
      </c>
      <c r="L680" s="12">
        <f ca="1">IF(TOTALCO!L1209="", "",TOTALCO!L1209)</f>
        <v>0</v>
      </c>
      <c r="M680" s="12" t="str">
        <f>IF(TOTALCO!M1209="", "",TOTALCO!M1209)</f>
        <v/>
      </c>
      <c r="N680" s="12">
        <f ca="1">IF(TOTALCO!N1209="", "",TOTALCO!N1209)</f>
        <v>0</v>
      </c>
      <c r="O680" s="12">
        <f ca="1">IF(TOTALCO!O1209="", "",TOTALCO!O1209)</f>
        <v>0</v>
      </c>
      <c r="P680" s="12">
        <f ca="1">IF(TOTALCO!P1209="", "",TOTALCO!P1209)</f>
        <v>0</v>
      </c>
      <c r="Q680" s="12"/>
      <c r="R680" s="13"/>
    </row>
    <row r="681" spans="1:18" ht="15" x14ac:dyDescent="0.2">
      <c r="A681" s="382">
        <f>IF(TOTALCO!A1210="", "",TOTALCO!A1210)</f>
        <v>4</v>
      </c>
      <c r="B681" s="4" t="str">
        <f>IF(TOTALCO!B1210="", "",TOTALCO!B1210)</f>
        <v xml:space="preserve">  UNEMPLOYMENT</v>
      </c>
      <c r="C681" s="4" t="str">
        <f>IF(TOTALCO!C1210="", "",TOTALCO!C1210)</f>
        <v>LABOR</v>
      </c>
      <c r="D681" s="12">
        <f ca="1">IF(TOTALCO!D1210="", "",TOTALCO!D1210)</f>
        <v>247951.03</v>
      </c>
      <c r="E681" s="12" t="str">
        <f>IF(TOTALCO!E1210="", "",TOTALCO!E1210)</f>
        <v/>
      </c>
      <c r="F681" s="12">
        <f ca="1">IF(TOTALCO!F1210="", "",TOTALCO!F1210)</f>
        <v>220522.39597311013</v>
      </c>
      <c r="G681" s="12" t="str">
        <f>IF(TOTALCO!G1210="", "",TOTALCO!G1210)</f>
        <v/>
      </c>
      <c r="H681" s="12">
        <f ca="1">IF(TOTALCO!H1210="", "",TOTALCO!H1210)</f>
        <v>13585.977299614797</v>
      </c>
      <c r="I681" s="12">
        <f ca="1">IF(TOTALCO!I1210="", "",TOTALCO!I1210)</f>
        <v>13842.656727275042</v>
      </c>
      <c r="J681" s="12" t="str">
        <f>IF(TOTALCO!J1210="", "",TOTALCO!J1210)</f>
        <v/>
      </c>
      <c r="K681" s="12" t="str">
        <f>IF(TOTALCO!K1210="", "",TOTALCO!K1210)</f>
        <v/>
      </c>
      <c r="L681" s="12">
        <f ca="1">IF(TOTALCO!L1210="", "",TOTALCO!L1210)</f>
        <v>7.6117571270962445</v>
      </c>
      <c r="M681" s="12" t="str">
        <f>IF(TOTALCO!M1210="", "",TOTALCO!M1210)</f>
        <v/>
      </c>
      <c r="N681" s="12">
        <f ca="1">IF(TOTALCO!N1210="", "",TOTALCO!N1210)</f>
        <v>13835.044970147945</v>
      </c>
      <c r="O681" s="12">
        <f ca="1">IF(TOTALCO!O1210="", "",TOTALCO!O1210)</f>
        <v>4494.4881758841448</v>
      </c>
      <c r="P681" s="12">
        <f ca="1">IF(TOTALCO!P1210="", "",TOTALCO!P1210)</f>
        <v>9340.556794263799</v>
      </c>
      <c r="Q681" s="12"/>
      <c r="R681" s="13"/>
    </row>
    <row r="682" spans="1:18" ht="15" x14ac:dyDescent="0.2">
      <c r="A682" s="382">
        <f>IF(TOTALCO!A1211="", "",TOTALCO!A1211)</f>
        <v>5</v>
      </c>
      <c r="B682" s="4" t="str">
        <f>IF(TOTALCO!B1211="", "",TOTALCO!B1211)</f>
        <v xml:space="preserve">  FICA</v>
      </c>
      <c r="C682" s="4" t="str">
        <f>IF(TOTALCO!C1211="", "",TOTALCO!C1211)</f>
        <v>LABOR</v>
      </c>
      <c r="D682" s="12">
        <f ca="1">IF(TOTALCO!D1211="", "",TOTALCO!D1211)</f>
        <v>7372339</v>
      </c>
      <c r="E682" s="12" t="str">
        <f>IF(TOTALCO!E1211="", "",TOTALCO!E1211)</f>
        <v/>
      </c>
      <c r="F682" s="12">
        <f ca="1">IF(TOTALCO!F1211="", "",TOTALCO!F1211)</f>
        <v>6556802.2048789347</v>
      </c>
      <c r="G682" s="12" t="str">
        <f>IF(TOTALCO!G1211="", "",TOTALCO!G1211)</f>
        <v/>
      </c>
      <c r="H682" s="12">
        <f ca="1">IF(TOTALCO!H1211="", "",TOTALCO!H1211)</f>
        <v>403952.46714266465</v>
      </c>
      <c r="I682" s="12">
        <f ca="1">IF(TOTALCO!I1211="", "",TOTALCO!I1211)</f>
        <v>411584.32797840022</v>
      </c>
      <c r="J682" s="12" t="str">
        <f>IF(TOTALCO!J1211="", "",TOTALCO!J1211)</f>
        <v/>
      </c>
      <c r="K682" s="12" t="str">
        <f>IF(TOTALCO!K1211="", "",TOTALCO!K1211)</f>
        <v/>
      </c>
      <c r="L682" s="12">
        <f ca="1">IF(TOTALCO!L1211="", "",TOTALCO!L1211)</f>
        <v>226.32071311266421</v>
      </c>
      <c r="M682" s="12" t="str">
        <f>IF(TOTALCO!M1211="", "",TOTALCO!M1211)</f>
        <v/>
      </c>
      <c r="N682" s="12">
        <f ca="1">IF(TOTALCO!N1211="", "",TOTALCO!N1211)</f>
        <v>411358.00726528757</v>
      </c>
      <c r="O682" s="12">
        <f ca="1">IF(TOTALCO!O1211="", "",TOTALCO!O1211)</f>
        <v>133634.81677857737</v>
      </c>
      <c r="P682" s="12">
        <f ca="1">IF(TOTALCO!P1211="", "",TOTALCO!P1211)</f>
        <v>277723.19048671017</v>
      </c>
      <c r="Q682" s="12"/>
      <c r="R682" s="13"/>
    </row>
    <row r="683" spans="1:18" ht="15" x14ac:dyDescent="0.2">
      <c r="A683" s="382">
        <f>IF(TOTALCO!A1212="", "",TOTALCO!A1212)</f>
        <v>6</v>
      </c>
      <c r="B683" s="4" t="str">
        <f>IF(TOTALCO!B1212="", "",TOTALCO!B1212)</f>
        <v xml:space="preserve">  MISCELLANEOUS</v>
      </c>
      <c r="C683" s="4" t="str">
        <f>IF(TOTALCO!C1212="", "",TOTALCO!C1212)</f>
        <v>PLANT</v>
      </c>
      <c r="D683" s="12">
        <f ca="1">IF(TOTALCO!D1212="", "",TOTALCO!D1212)</f>
        <v>94929.1</v>
      </c>
      <c r="E683" s="12" t="str">
        <f>IF(TOTALCO!E1212="", "",TOTALCO!E1212)</f>
        <v/>
      </c>
      <c r="F683" s="12">
        <f ca="1">IF(TOTALCO!F1212="", "",TOTALCO!F1212)</f>
        <v>82654.297261459738</v>
      </c>
      <c r="G683" s="12" t="str">
        <f>IF(TOTALCO!G1212="", "",TOTALCO!G1212)</f>
        <v/>
      </c>
      <c r="H683" s="12">
        <f ca="1">IF(TOTALCO!H1212="", "",TOTALCO!H1212)</f>
        <v>5638.2210782685461</v>
      </c>
      <c r="I683" s="12">
        <f ca="1">IF(TOTALCO!I1212="", "",TOTALCO!I1212)</f>
        <v>6636.5816602717277</v>
      </c>
      <c r="J683" s="12" t="str">
        <f>IF(TOTALCO!J1212="", "",TOTALCO!J1212)</f>
        <v/>
      </c>
      <c r="K683" s="12" t="str">
        <f>IF(TOTALCO!K1212="", "",TOTALCO!K1212)</f>
        <v/>
      </c>
      <c r="L683" s="12">
        <f ca="1">IF(TOTALCO!L1212="", "",TOTALCO!L1212)</f>
        <v>2.9933125509834637</v>
      </c>
      <c r="M683" s="12" t="str">
        <f>IF(TOTALCO!M1212="", "",TOTALCO!M1212)</f>
        <v/>
      </c>
      <c r="N683" s="12">
        <f ca="1">IF(TOTALCO!N1212="", "",TOTALCO!N1212)</f>
        <v>6633.5883477207444</v>
      </c>
      <c r="O683" s="12">
        <f ca="1">IF(TOTALCO!O1212="", "",TOTALCO!O1212)</f>
        <v>2106.2385238249076</v>
      </c>
      <c r="P683" s="12">
        <f ca="1">IF(TOTALCO!P1212="", "",TOTALCO!P1212)</f>
        <v>4527.3498238958364</v>
      </c>
      <c r="Q683" s="12"/>
      <c r="R683" s="13"/>
    </row>
    <row r="684" spans="1:18" ht="15" x14ac:dyDescent="0.2">
      <c r="A684" s="382">
        <f>IF(TOTALCO!A1213="", "",TOTALCO!A1213)</f>
        <v>7</v>
      </c>
      <c r="B684" s="4" t="str">
        <f>IF(TOTALCO!B1213="", "",TOTALCO!B1213)</f>
        <v>TOTAL OTHER TAXES</v>
      </c>
      <c r="C684" s="4" t="str">
        <f>IF(TOTALCO!C1213="", "",TOTALCO!C1213)</f>
        <v/>
      </c>
      <c r="D684" s="12">
        <f ca="1">IF(TOTALCO!D1213="", "",TOTALCO!D1213)</f>
        <v>29144073.939999998</v>
      </c>
      <c r="E684" s="12" t="str">
        <f>IF(TOTALCO!E1213="", "",TOTALCO!E1213)</f>
        <v/>
      </c>
      <c r="F684" s="12">
        <f ca="1">IF(TOTALCO!F1213="", "",TOTALCO!F1213)</f>
        <v>25846050.149582114</v>
      </c>
      <c r="G684" s="12" t="str">
        <f>IF(TOTALCO!G1213="", "",TOTALCO!G1213)</f>
        <v/>
      </c>
      <c r="H684" s="12">
        <f ca="1">IF(TOTALCO!H1213="", "",TOTALCO!H1213)</f>
        <v>1501720.9336556299</v>
      </c>
      <c r="I684" s="12">
        <f ca="1">IF(TOTALCO!I1213="", "",TOTALCO!I1213)</f>
        <v>1796302.8567622532</v>
      </c>
      <c r="J684" s="12" t="str">
        <f>IF(TOTALCO!J1213="", "",TOTALCO!J1213)</f>
        <v/>
      </c>
      <c r="K684" s="12" t="str">
        <f>IF(TOTALCO!K1213="", "",TOTALCO!K1213)</f>
        <v/>
      </c>
      <c r="L684" s="12">
        <f ca="1">IF(TOTALCO!L1213="", "",TOTALCO!L1213)</f>
        <v>465.49928022000717</v>
      </c>
      <c r="M684" s="12" t="str">
        <f>IF(TOTALCO!M1213="", "",TOTALCO!M1213)</f>
        <v/>
      </c>
      <c r="N684" s="12">
        <f ca="1">IF(TOTALCO!N1213="", "",TOTALCO!N1213)</f>
        <v>1795837.3574820333</v>
      </c>
      <c r="O684" s="12">
        <f ca="1">IF(TOTALCO!O1213="", "",TOTALCO!O1213)</f>
        <v>573097.75526088523</v>
      </c>
      <c r="P684" s="12">
        <f ca="1">IF(TOTALCO!P1213="", "",TOTALCO!P1213)</f>
        <v>1222739.6022211481</v>
      </c>
      <c r="Q684" s="12"/>
      <c r="R684" s="13"/>
    </row>
    <row r="685" spans="1:18" ht="15" x14ac:dyDescent="0.2">
      <c r="A685" s="382" t="str">
        <f>IF(TOTALCO!A1214="", "",TOTALCO!A1214)</f>
        <v/>
      </c>
      <c r="B685" s="4" t="str">
        <f>IF(TOTALCO!B1214="", "",TOTALCO!B1214)</f>
        <v/>
      </c>
      <c r="C685" s="4" t="str">
        <f>IF(TOTALCO!C1214="", "",TOTALCO!C1214)</f>
        <v/>
      </c>
      <c r="D685" s="12" t="str">
        <f>IF(TOTALCO!D1214="", "",TOTALCO!D1214)</f>
        <v/>
      </c>
      <c r="E685" s="12" t="str">
        <f>IF(TOTALCO!E1214="", "",TOTALCO!E1214)</f>
        <v/>
      </c>
      <c r="F685" s="12" t="str">
        <f>IF(TOTALCO!F1214="", "",TOTALCO!F1214)</f>
        <v/>
      </c>
      <c r="G685" s="12" t="str">
        <f>IF(TOTALCO!G1214="", "",TOTALCO!G1214)</f>
        <v/>
      </c>
      <c r="H685" s="12" t="str">
        <f>IF(TOTALCO!H1214="", "",TOTALCO!H1214)</f>
        <v/>
      </c>
      <c r="I685" s="12" t="str">
        <f>IF(TOTALCO!I1214="", "",TOTALCO!I1214)</f>
        <v/>
      </c>
      <c r="J685" s="12" t="str">
        <f>IF(TOTALCO!J1214="", "",TOTALCO!J1214)</f>
        <v/>
      </c>
      <c r="K685" s="12" t="str">
        <f>IF(TOTALCO!K1214="", "",TOTALCO!K1214)</f>
        <v/>
      </c>
      <c r="L685" s="12" t="str">
        <f>IF(TOTALCO!L1214="", "",TOTALCO!L1214)</f>
        <v/>
      </c>
      <c r="M685" s="12" t="str">
        <f>IF(TOTALCO!M1214="", "",TOTALCO!M1214)</f>
        <v/>
      </c>
      <c r="N685" s="12" t="str">
        <f>IF(TOTALCO!N1214="", "",TOTALCO!N1214)</f>
        <v/>
      </c>
      <c r="O685" s="12" t="str">
        <f>IF(TOTALCO!O1214="", "",TOTALCO!O1214)</f>
        <v/>
      </c>
      <c r="P685" s="12" t="str">
        <f>IF(TOTALCO!P1214="", "",TOTALCO!P1214)</f>
        <v/>
      </c>
      <c r="Q685" s="12"/>
      <c r="R685" s="13"/>
    </row>
    <row r="686" spans="1:18" ht="15" x14ac:dyDescent="0.2">
      <c r="A686" s="382">
        <f>IF(TOTALCO!A1215="", "",TOTALCO!A1215)</f>
        <v>8</v>
      </c>
      <c r="B686" s="4" t="str">
        <f>IF(TOTALCO!B1215="", "",TOTALCO!B1215)</f>
        <v>GAIN DISPOSITION OF ALLOWANCES</v>
      </c>
      <c r="C686" s="4" t="str">
        <f>IF(TOTALCO!C1215="", "",TOTALCO!C1215)</f>
        <v>DEMPROD</v>
      </c>
      <c r="D686" s="12">
        <f ca="1">IF(TOTALCO!D1215="", "",TOTALCO!D1215)</f>
        <v>-886.52</v>
      </c>
      <c r="E686" s="12" t="str">
        <f>IF(TOTALCO!E1215="", "",TOTALCO!E1215)</f>
        <v/>
      </c>
      <c r="F686" s="12">
        <f ca="1">IF(TOTALCO!F1215="", "",TOTALCO!F1215)</f>
        <v>-767.27434829426568</v>
      </c>
      <c r="G686" s="12" t="str">
        <f>IF(TOTALCO!G1215="", "",TOTALCO!G1215)</f>
        <v/>
      </c>
      <c r="H686" s="12">
        <f ca="1">IF(TOTALCO!H1215="", "",TOTALCO!H1215)</f>
        <v>-45.059744844972002</v>
      </c>
      <c r="I686" s="12">
        <f ca="1">IF(TOTALCO!I1215="", "",TOTALCO!I1215)</f>
        <v>-74.185906860762316</v>
      </c>
      <c r="J686" s="12" t="str">
        <f>IF(TOTALCO!J1215="", "",TOTALCO!J1215)</f>
        <v/>
      </c>
      <c r="K686" s="12" t="str">
        <f>IF(TOTALCO!K1215="", "",TOTALCO!K1215)</f>
        <v/>
      </c>
      <c r="L686" s="12">
        <f ca="1">IF(TOTALCO!L1215="", "",TOTALCO!L1215)</f>
        <v>-6.7840627589539305E-3</v>
      </c>
      <c r="M686" s="12" t="str">
        <f>IF(TOTALCO!M1215="", "",TOTALCO!M1215)</f>
        <v/>
      </c>
      <c r="N686" s="12">
        <f ca="1">IF(TOTALCO!N1215="", "",TOTALCO!N1215)</f>
        <v>-74.179122798003363</v>
      </c>
      <c r="O686" s="12">
        <f ca="1">IF(TOTALCO!O1215="", "",TOTALCO!O1215)</f>
        <v>-23.145768405816746</v>
      </c>
      <c r="P686" s="12">
        <f ca="1">IF(TOTALCO!P1215="", "",TOTALCO!P1215)</f>
        <v>-51.033354392186617</v>
      </c>
      <c r="Q686" s="12"/>
      <c r="R686" s="13"/>
    </row>
    <row r="687" spans="1:18" ht="15" x14ac:dyDescent="0.2">
      <c r="A687" s="382">
        <f>IF(TOTALCO!A1216="", "",TOTALCO!A1216)</f>
        <v>9</v>
      </c>
      <c r="B687" s="4" t="str">
        <f>IF(TOTALCO!B1216="", "",TOTALCO!B1216)</f>
        <v>GAIN/LOSS PROP DISPOSITION (NET)</v>
      </c>
      <c r="C687" s="4" t="str">
        <f>IF(TOTALCO!C1216="", "",TOTALCO!C1216)</f>
        <v>PLANT</v>
      </c>
      <c r="D687" s="12">
        <f>IF(TOTALCO!D1216="", "",TOTALCO!D1216)</f>
        <v>-44239.442779999998</v>
      </c>
      <c r="E687" s="12" t="str">
        <f>IF(TOTALCO!E1216="", "",TOTALCO!E1216)</f>
        <v/>
      </c>
      <c r="F687" s="12">
        <f>IF(TOTALCO!F1216="", "",TOTALCO!F1216)</f>
        <v>0</v>
      </c>
      <c r="G687" s="12" t="str">
        <f>IF(TOTALCO!G1216="", "",TOTALCO!G1216)</f>
        <v/>
      </c>
      <c r="H687" s="12">
        <f ca="1">IF(TOTALCO!H1216="", "",TOTALCO!H1216)</f>
        <v>-2627.5584491273084</v>
      </c>
      <c r="I687" s="12">
        <f>IF(TOTALCO!I1216="", "",TOTALCO!I1216)</f>
        <v>0</v>
      </c>
      <c r="J687" s="12" t="str">
        <f>IF(TOTALCO!J1216="", "",TOTALCO!J1216)</f>
        <v/>
      </c>
      <c r="K687" s="12" t="str">
        <f>IF(TOTALCO!K1216="", "",TOTALCO!K1216)</f>
        <v/>
      </c>
      <c r="L687" s="12">
        <f>IF(TOTALCO!L1216="", "",TOTALCO!L1216)</f>
        <v>0</v>
      </c>
      <c r="M687" s="12" t="str">
        <f>IF(TOTALCO!M1216="", "",TOTALCO!M1216)</f>
        <v/>
      </c>
      <c r="N687" s="12">
        <f>IF(TOTALCO!N1216="", "",TOTALCO!N1216)</f>
        <v>0</v>
      </c>
      <c r="O687" s="12">
        <f>IF(TOTALCO!O1216="", "",TOTALCO!O1216)</f>
        <v>0</v>
      </c>
      <c r="P687" s="12">
        <f>IF(TOTALCO!P1216="", "",TOTALCO!P1216)</f>
        <v>0</v>
      </c>
      <c r="Q687" s="12"/>
      <c r="R687" s="13"/>
    </row>
    <row r="688" spans="1:18" ht="15" x14ac:dyDescent="0.2">
      <c r="A688" s="382">
        <f>IF(TOTALCO!A1217="", "",TOTALCO!A1217)</f>
        <v>10</v>
      </c>
      <c r="B688" s="4" t="str">
        <f>IF(TOTALCO!B1217="", "",TOTALCO!B1217)</f>
        <v>CHARITABLE CONTRIBUTIONS-VA ONLY</v>
      </c>
      <c r="C688" s="4" t="str">
        <f>IF(TOTALCO!C1217="", "",TOTALCO!C1217)</f>
        <v>LABOR</v>
      </c>
      <c r="D688" s="12">
        <f>IF(TOTALCO!D1217="", "",TOTALCO!D1217)</f>
        <v>734837.09506999992</v>
      </c>
      <c r="E688" s="12" t="str">
        <f>IF(TOTALCO!E1217="", "",TOTALCO!E1217)</f>
        <v/>
      </c>
      <c r="F688" s="12">
        <f>IF(TOTALCO!F1217="", "",TOTALCO!F1217)</f>
        <v>0</v>
      </c>
      <c r="G688" s="12" t="str">
        <f>IF(TOTALCO!G1217="", "",TOTALCO!G1217)</f>
        <v/>
      </c>
      <c r="H688" s="12">
        <f ca="1">IF(TOTALCO!H1217="", "",TOTALCO!H1217)</f>
        <v>20131.95930772278</v>
      </c>
      <c r="I688" s="12">
        <f>IF(TOTALCO!I1217="", "",TOTALCO!I1217)</f>
        <v>0</v>
      </c>
      <c r="J688" s="12" t="str">
        <f>IF(TOTALCO!J1217="", "",TOTALCO!J1217)</f>
        <v/>
      </c>
      <c r="K688" s="12" t="str">
        <f>IF(TOTALCO!K1217="", "",TOTALCO!K1217)</f>
        <v/>
      </c>
      <c r="L688" s="12">
        <f>IF(TOTALCO!L1217="", "",TOTALCO!L1217)</f>
        <v>0</v>
      </c>
      <c r="M688" s="12" t="str">
        <f>IF(TOTALCO!M1217="", "",TOTALCO!M1217)</f>
        <v/>
      </c>
      <c r="N688" s="12">
        <f>IF(TOTALCO!N1217="", "",TOTALCO!N1217)</f>
        <v>0</v>
      </c>
      <c r="O688" s="12">
        <f>IF(TOTALCO!O1217="", "",TOTALCO!O1217)</f>
        <v>0</v>
      </c>
      <c r="P688" s="12">
        <f>IF(TOTALCO!P1217="", "",TOTALCO!P1217)</f>
        <v>0</v>
      </c>
      <c r="Q688" s="12"/>
      <c r="R688" s="13"/>
    </row>
    <row r="689" spans="1:18" ht="15" x14ac:dyDescent="0.2">
      <c r="A689" s="382" t="str">
        <f>IF(TOTALCO!A1218="", "",TOTALCO!A1218)</f>
        <v/>
      </c>
      <c r="B689" s="4" t="str">
        <f>IF(TOTALCO!B1218="", "",TOTALCO!B1218)</f>
        <v/>
      </c>
      <c r="C689" s="4" t="str">
        <f>IF(TOTALCO!C1218="", "",TOTALCO!C1218)</f>
        <v/>
      </c>
      <c r="D689" s="12" t="str">
        <f>IF(TOTALCO!D1218="", "",TOTALCO!D1218)</f>
        <v/>
      </c>
      <c r="E689" s="12" t="str">
        <f>IF(TOTALCO!E1218="", "",TOTALCO!E1218)</f>
        <v/>
      </c>
      <c r="F689" s="12" t="str">
        <f>IF(TOTALCO!F1218="", "",TOTALCO!F1218)</f>
        <v/>
      </c>
      <c r="G689" s="12" t="str">
        <f>IF(TOTALCO!G1218="", "",TOTALCO!G1218)</f>
        <v/>
      </c>
      <c r="H689" s="12" t="str">
        <f>IF(TOTALCO!H1218="", "",TOTALCO!H1218)</f>
        <v/>
      </c>
      <c r="I689" s="12" t="str">
        <f>IF(TOTALCO!I1218="", "",TOTALCO!I1218)</f>
        <v/>
      </c>
      <c r="J689" s="12" t="str">
        <f>IF(TOTALCO!J1218="", "",TOTALCO!J1218)</f>
        <v/>
      </c>
      <c r="K689" s="12" t="str">
        <f>IF(TOTALCO!K1218="", "",TOTALCO!K1218)</f>
        <v/>
      </c>
      <c r="L689" s="12" t="str">
        <f>IF(TOTALCO!L1218="", "",TOTALCO!L1218)</f>
        <v/>
      </c>
      <c r="M689" s="12" t="str">
        <f>IF(TOTALCO!M1218="", "",TOTALCO!M1218)</f>
        <v/>
      </c>
      <c r="N689" s="12" t="str">
        <f>IF(TOTALCO!N1218="", "",TOTALCO!N1218)</f>
        <v/>
      </c>
      <c r="O689" s="12" t="str">
        <f>IF(TOTALCO!O1218="", "",TOTALCO!O1218)</f>
        <v/>
      </c>
      <c r="P689" s="12" t="str">
        <f>IF(TOTALCO!P1218="", "",TOTALCO!P1218)</f>
        <v/>
      </c>
      <c r="Q689" s="12"/>
      <c r="R689" s="13"/>
    </row>
    <row r="690" spans="1:18" ht="15" x14ac:dyDescent="0.2">
      <c r="A690" s="382" t="str">
        <f>IF(TOTALCO!A1219="", "",TOTALCO!A1219)</f>
        <v/>
      </c>
      <c r="B690" s="4" t="str">
        <f>IF(TOTALCO!B1219="", "",TOTALCO!B1219)</f>
        <v>203(E) EXCESS</v>
      </c>
      <c r="C690" s="4" t="str">
        <f>IF(TOTALCO!C1219="", "",TOTALCO!C1219)</f>
        <v/>
      </c>
      <c r="D690" s="12" t="str">
        <f>IF(TOTALCO!D1219="", "",TOTALCO!D1219)</f>
        <v/>
      </c>
      <c r="E690" s="12" t="str">
        <f>IF(TOTALCO!E1219="", "",TOTALCO!E1219)</f>
        <v/>
      </c>
      <c r="F690" s="12" t="str">
        <f>IF(TOTALCO!F1219="", "",TOTALCO!F1219)</f>
        <v/>
      </c>
      <c r="G690" s="12" t="str">
        <f>IF(TOTALCO!G1219="", "",TOTALCO!G1219)</f>
        <v/>
      </c>
      <c r="H690" s="12" t="str">
        <f>IF(TOTALCO!H1219="", "",TOTALCO!H1219)</f>
        <v/>
      </c>
      <c r="I690" s="12" t="str">
        <f>IF(TOTALCO!I1219="", "",TOTALCO!I1219)</f>
        <v/>
      </c>
      <c r="J690" s="12" t="str">
        <f>IF(TOTALCO!J1219="", "",TOTALCO!J1219)</f>
        <v/>
      </c>
      <c r="K690" s="12" t="str">
        <f>IF(TOTALCO!K1219="", "",TOTALCO!K1219)</f>
        <v/>
      </c>
      <c r="L690" s="12" t="str">
        <f>IF(TOTALCO!L1219="", "",TOTALCO!L1219)</f>
        <v/>
      </c>
      <c r="M690" s="12" t="str">
        <f>IF(TOTALCO!M1219="", "",TOTALCO!M1219)</f>
        <v/>
      </c>
      <c r="N690" s="12" t="str">
        <f>IF(TOTALCO!N1219="", "",TOTALCO!N1219)</f>
        <v/>
      </c>
      <c r="O690" s="12" t="str">
        <f>IF(TOTALCO!O1219="", "",TOTALCO!O1219)</f>
        <v/>
      </c>
      <c r="P690" s="12" t="str">
        <f>IF(TOTALCO!P1219="", "",TOTALCO!P1219)</f>
        <v/>
      </c>
      <c r="Q690" s="12"/>
      <c r="R690" s="13"/>
    </row>
    <row r="691" spans="1:18" ht="15" x14ac:dyDescent="0.2">
      <c r="A691" s="382">
        <f>IF(TOTALCO!A1220="", "",TOTALCO!A1220)</f>
        <v>11</v>
      </c>
      <c r="B691" s="4" t="str">
        <f>IF(TOTALCO!B1220="", "",TOTALCO!B1220)</f>
        <v xml:space="preserve">  PRODUCTION PLANT</v>
      </c>
      <c r="C691" s="4" t="str">
        <f>IF(TOTALCO!C1220="", "",TOTALCO!C1220)</f>
        <v>PRODSYS</v>
      </c>
      <c r="D691" s="12">
        <f ca="1">IF(TOTALCO!D1220="", "",TOTALCO!D1220)</f>
        <v>-853975</v>
      </c>
      <c r="E691" s="12" t="str">
        <f>IF(TOTALCO!E1220="", "",TOTALCO!E1220)</f>
        <v/>
      </c>
      <c r="F691" s="12">
        <f ca="1">IF(TOTALCO!F1220="", "",TOTALCO!F1220)</f>
        <v>-739106.97060934384</v>
      </c>
      <c r="G691" s="12" t="str">
        <f>IF(TOTALCO!G1220="", "",TOTALCO!G1220)</f>
        <v/>
      </c>
      <c r="H691" s="12">
        <f ca="1">IF(TOTALCO!H1220="", "",TOTALCO!H1220)</f>
        <v>-43405.558367532554</v>
      </c>
      <c r="I691" s="12">
        <f ca="1">IF(TOTALCO!I1220="", "",TOTALCO!I1220)</f>
        <v>-71462.471023123551</v>
      </c>
      <c r="J691" s="12" t="str">
        <f>IF(TOTALCO!J1220="", "",TOTALCO!J1220)</f>
        <v/>
      </c>
      <c r="K691" s="12" t="str">
        <f>IF(TOTALCO!K1220="", "",TOTALCO!K1220)</f>
        <v/>
      </c>
      <c r="L691" s="12">
        <f ca="1">IF(TOTALCO!L1220="", "",TOTALCO!L1220)</f>
        <v>-6.5350133043560019</v>
      </c>
      <c r="M691" s="12" t="str">
        <f>IF(TOTALCO!M1220="", "",TOTALCO!M1220)</f>
        <v/>
      </c>
      <c r="N691" s="12">
        <f ca="1">IF(TOTALCO!N1220="", "",TOTALCO!N1220)</f>
        <v>-71455.936009819197</v>
      </c>
      <c r="O691" s="12">
        <f ca="1">IF(TOTALCO!O1220="", "",TOTALCO!O1220)</f>
        <v>-22296.065034468884</v>
      </c>
      <c r="P691" s="12">
        <f ca="1">IF(TOTALCO!P1220="", "",TOTALCO!P1220)</f>
        <v>-49159.870975350314</v>
      </c>
      <c r="Q691" s="12"/>
      <c r="R691" s="13"/>
    </row>
    <row r="692" spans="1:18" ht="15" x14ac:dyDescent="0.2">
      <c r="A692" s="382" t="str">
        <f>IF(TOTALCO!A1221="", "",TOTALCO!A1221)</f>
        <v/>
      </c>
      <c r="B692" s="4" t="str">
        <f>IF(TOTALCO!B1221="", "",TOTALCO!B1221)</f>
        <v/>
      </c>
      <c r="C692" s="4" t="str">
        <f>IF(TOTALCO!C1221="", "",TOTALCO!C1221)</f>
        <v/>
      </c>
      <c r="D692" s="12" t="str">
        <f>IF(TOTALCO!D1221="", "",TOTALCO!D1221)</f>
        <v/>
      </c>
      <c r="E692" s="12" t="str">
        <f>IF(TOTALCO!E1221="", "",TOTALCO!E1221)</f>
        <v/>
      </c>
      <c r="F692" s="12" t="str">
        <f>IF(TOTALCO!F1221="", "",TOTALCO!F1221)</f>
        <v/>
      </c>
      <c r="G692" s="12" t="str">
        <f>IF(TOTALCO!G1221="", "",TOTALCO!G1221)</f>
        <v/>
      </c>
      <c r="H692" s="12" t="str">
        <f>IF(TOTALCO!H1221="", "",TOTALCO!H1221)</f>
        <v/>
      </c>
      <c r="I692" s="12" t="str">
        <f>IF(TOTALCO!I1221="", "",TOTALCO!I1221)</f>
        <v/>
      </c>
      <c r="J692" s="12" t="str">
        <f>IF(TOTALCO!J1221="", "",TOTALCO!J1221)</f>
        <v/>
      </c>
      <c r="K692" s="12" t="str">
        <f>IF(TOTALCO!K1221="", "",TOTALCO!K1221)</f>
        <v/>
      </c>
      <c r="L692" s="12" t="str">
        <f>IF(TOTALCO!L1221="", "",TOTALCO!L1221)</f>
        <v/>
      </c>
      <c r="M692" s="12" t="str">
        <f>IF(TOTALCO!M1221="", "",TOTALCO!M1221)</f>
        <v/>
      </c>
      <c r="N692" s="12" t="str">
        <f>IF(TOTALCO!N1221="", "",TOTALCO!N1221)</f>
        <v/>
      </c>
      <c r="O692" s="12" t="str">
        <f>IF(TOTALCO!O1221="", "",TOTALCO!O1221)</f>
        <v/>
      </c>
      <c r="P692" s="12" t="str">
        <f>IF(TOTALCO!P1221="", "",TOTALCO!P1221)</f>
        <v/>
      </c>
      <c r="Q692" s="12"/>
      <c r="R692" s="13"/>
    </row>
    <row r="693" spans="1:18" ht="15" x14ac:dyDescent="0.2">
      <c r="A693" s="382" t="str">
        <f>IF(TOTALCO!A1222="", "",TOTALCO!A1222)</f>
        <v/>
      </c>
      <c r="B693" s="4" t="str">
        <f>IF(TOTALCO!B1222="", "",TOTALCO!B1222)</f>
        <v xml:space="preserve">  TRANSMISSION PLANT</v>
      </c>
      <c r="C693" s="4" t="str">
        <f>IF(TOTALCO!C1222="", "",TOTALCO!C1222)</f>
        <v/>
      </c>
      <c r="D693" s="12" t="str">
        <f>IF(TOTALCO!D1222="", "",TOTALCO!D1222)</f>
        <v/>
      </c>
      <c r="E693" s="12" t="str">
        <f>IF(TOTALCO!E1222="", "",TOTALCO!E1222)</f>
        <v/>
      </c>
      <c r="F693" s="12" t="str">
        <f>IF(TOTALCO!F1222="", "",TOTALCO!F1222)</f>
        <v/>
      </c>
      <c r="G693" s="12" t="str">
        <f>IF(TOTALCO!G1222="", "",TOTALCO!G1222)</f>
        <v/>
      </c>
      <c r="H693" s="12" t="str">
        <f>IF(TOTALCO!H1222="", "",TOTALCO!H1222)</f>
        <v/>
      </c>
      <c r="I693" s="12" t="str">
        <f>IF(TOTALCO!I1222="", "",TOTALCO!I1222)</f>
        <v/>
      </c>
      <c r="J693" s="12" t="str">
        <f>IF(TOTALCO!J1222="", "",TOTALCO!J1222)</f>
        <v/>
      </c>
      <c r="K693" s="12" t="str">
        <f>IF(TOTALCO!K1222="", "",TOTALCO!K1222)</f>
        <v/>
      </c>
      <c r="L693" s="12" t="str">
        <f>IF(TOTALCO!L1222="", "",TOTALCO!L1222)</f>
        <v/>
      </c>
      <c r="M693" s="12" t="str">
        <f>IF(TOTALCO!M1222="", "",TOTALCO!M1222)</f>
        <v/>
      </c>
      <c r="N693" s="12" t="str">
        <f>IF(TOTALCO!N1222="", "",TOTALCO!N1222)</f>
        <v/>
      </c>
      <c r="O693" s="12" t="str">
        <f>IF(TOTALCO!O1222="", "",TOTALCO!O1222)</f>
        <v/>
      </c>
      <c r="P693" s="12" t="str">
        <f>IF(TOTALCO!P1222="", "",TOTALCO!P1222)</f>
        <v/>
      </c>
      <c r="Q693" s="12"/>
      <c r="R693" s="13"/>
    </row>
    <row r="694" spans="1:18" ht="15" x14ac:dyDescent="0.2">
      <c r="A694" s="382">
        <f>IF(TOTALCO!A1223="", "",TOTALCO!A1223)</f>
        <v>12</v>
      </c>
      <c r="B694" s="4" t="str">
        <f>IF(TOTALCO!B1223="", "",TOTALCO!B1223)</f>
        <v xml:space="preserve">    KENTUCKY SYSTEM PROPERTY</v>
      </c>
      <c r="C694" s="4" t="str">
        <f>IF(TOTALCO!C1223="", "",TOTALCO!C1223)</f>
        <v>KYTRPLT</v>
      </c>
      <c r="D694" s="12">
        <f ca="1">IF(TOTALCO!D1223="", "",TOTALCO!D1223)</f>
        <v>-97112.000000000015</v>
      </c>
      <c r="E694" s="12" t="str">
        <f>IF(TOTALCO!E1223="", "",TOTALCO!E1223)</f>
        <v/>
      </c>
      <c r="F694" s="12">
        <f ca="1">IF(TOTALCO!F1223="", "",TOTALCO!F1223)</f>
        <v>-83423.357424158006</v>
      </c>
      <c r="G694" s="12" t="str">
        <f>IF(TOTALCO!G1223="", "",TOTALCO!G1223)</f>
        <v/>
      </c>
      <c r="H694" s="12">
        <f ca="1">IF(TOTALCO!H1223="", "",TOTALCO!H1223)</f>
        <v>-5087.7431011919061</v>
      </c>
      <c r="I694" s="12">
        <f ca="1">IF(TOTALCO!I1223="", "",TOTALCO!I1223)</f>
        <v>-8600.8994746500975</v>
      </c>
      <c r="J694" s="12" t="str">
        <f>IF(TOTALCO!J1223="", "",TOTALCO!J1223)</f>
        <v/>
      </c>
      <c r="K694" s="12" t="str">
        <f>IF(TOTALCO!K1223="", "",TOTALCO!K1223)</f>
        <v/>
      </c>
      <c r="L694" s="12">
        <f ca="1">IF(TOTALCO!L1223="", "",TOTALCO!L1223)</f>
        <v>-0.7376100785674643</v>
      </c>
      <c r="M694" s="12" t="str">
        <f>IF(TOTALCO!M1223="", "",TOTALCO!M1223)</f>
        <v/>
      </c>
      <c r="N694" s="12">
        <f ca="1">IF(TOTALCO!N1223="", "",TOTALCO!N1223)</f>
        <v>-8600.1618645715298</v>
      </c>
      <c r="O694" s="12">
        <f ca="1">IF(TOTALCO!O1223="", "",TOTALCO!O1223)</f>
        <v>-2683.4687073876753</v>
      </c>
      <c r="P694" s="12">
        <f ca="1">IF(TOTALCO!P1223="", "",TOTALCO!P1223)</f>
        <v>-5916.6931571838541</v>
      </c>
      <c r="Q694" s="12"/>
      <c r="R694" s="13"/>
    </row>
    <row r="695" spans="1:18" ht="15" x14ac:dyDescent="0.2">
      <c r="A695" s="382">
        <f>IF(TOTALCO!A1224="", "",TOTALCO!A1224)</f>
        <v>13</v>
      </c>
      <c r="B695" s="4" t="str">
        <f>IF(TOTALCO!B1224="", "",TOTALCO!B1224)</f>
        <v xml:space="preserve">    VIRGINIA PROPERTY</v>
      </c>
      <c r="C695" s="4" t="str">
        <f>IF(TOTALCO!C1224="", "",TOTALCO!C1224)</f>
        <v>TRPLTVA</v>
      </c>
      <c r="D695" s="12">
        <f ca="1">IF(TOTALCO!D1224="", "",TOTALCO!D1224)</f>
        <v>-7904.0000000000009</v>
      </c>
      <c r="E695" s="12" t="str">
        <f>IF(TOTALCO!E1224="", "",TOTALCO!E1224)</f>
        <v/>
      </c>
      <c r="F695" s="12">
        <f ca="1">IF(TOTALCO!F1224="", "",TOTALCO!F1224)</f>
        <v>-1124.9429432558886</v>
      </c>
      <c r="G695" s="12" t="str">
        <f>IF(TOTALCO!G1224="", "",TOTALCO!G1224)</f>
        <v/>
      </c>
      <c r="H695" s="12">
        <f ca="1">IF(TOTALCO!H1224="", "",TOTALCO!H1224)</f>
        <v>-6669.6094906404624</v>
      </c>
      <c r="I695" s="12">
        <f ca="1">IF(TOTALCO!I1224="", "",TOTALCO!I1224)</f>
        <v>-109.44756610364946</v>
      </c>
      <c r="J695" s="12" t="str">
        <f>IF(TOTALCO!J1224="", "",TOTALCO!J1224)</f>
        <v/>
      </c>
      <c r="K695" s="12" t="str">
        <f>IF(TOTALCO!K1224="", "",TOTALCO!K1224)</f>
        <v/>
      </c>
      <c r="L695" s="12">
        <f ca="1">IF(TOTALCO!L1224="", "",TOTALCO!L1224)</f>
        <v>-9.9464859528490181E-3</v>
      </c>
      <c r="M695" s="12" t="str">
        <f>IF(TOTALCO!M1224="", "",TOTALCO!M1224)</f>
        <v/>
      </c>
      <c r="N695" s="12">
        <f ca="1">IF(TOTALCO!N1224="", "",TOTALCO!N1224)</f>
        <v>-109.43761961769661</v>
      </c>
      <c r="O695" s="12">
        <f ca="1">IF(TOTALCO!O1224="", "",TOTALCO!O1224)</f>
        <v>-34.147314001713333</v>
      </c>
      <c r="P695" s="12">
        <f ca="1">IF(TOTALCO!P1224="", "",TOTALCO!P1224)</f>
        <v>-75.290305615983272</v>
      </c>
      <c r="Q695" s="12"/>
      <c r="R695" s="13"/>
    </row>
    <row r="696" spans="1:18" ht="15" x14ac:dyDescent="0.2">
      <c r="A696" s="382">
        <f>IF(TOTALCO!A1225="", "",TOTALCO!A1225)</f>
        <v>14</v>
      </c>
      <c r="B696" s="4" t="str">
        <f>IF(TOTALCO!B1225="", "",TOTALCO!B1225)</f>
        <v xml:space="preserve">  TOTAL TRANSMISSION PLANT</v>
      </c>
      <c r="C696" s="4" t="str">
        <f>IF(TOTALCO!C1225="", "",TOTALCO!C1225)</f>
        <v/>
      </c>
      <c r="D696" s="12">
        <f ca="1">IF(TOTALCO!D1225="", "",TOTALCO!D1225)</f>
        <v>-105016</v>
      </c>
      <c r="E696" s="12" t="str">
        <f>IF(TOTALCO!E1225="", "",TOTALCO!E1225)</f>
        <v/>
      </c>
      <c r="F696" s="12">
        <f ca="1">IF(TOTALCO!F1225="", "",TOTALCO!F1225)</f>
        <v>-84548.300367413889</v>
      </c>
      <c r="G696" s="12" t="str">
        <f>IF(TOTALCO!G1225="", "",TOTALCO!G1225)</f>
        <v/>
      </c>
      <c r="H696" s="12">
        <f ca="1">IF(TOTALCO!H1225="", "",TOTALCO!H1225)</f>
        <v>-11757.352591832368</v>
      </c>
      <c r="I696" s="12">
        <f ca="1">IF(TOTALCO!I1225="", "",TOTALCO!I1225)</f>
        <v>-8710.3470407537461</v>
      </c>
      <c r="J696" s="12" t="str">
        <f>IF(TOTALCO!J1225="", "",TOTALCO!J1225)</f>
        <v/>
      </c>
      <c r="K696" s="12" t="str">
        <f>IF(TOTALCO!K1225="", "",TOTALCO!K1225)</f>
        <v/>
      </c>
      <c r="L696" s="12">
        <f ca="1">IF(TOTALCO!L1225="", "",TOTALCO!L1225)</f>
        <v>-0.74755656452031327</v>
      </c>
      <c r="M696" s="12" t="str">
        <f>IF(TOTALCO!M1225="", "",TOTALCO!M1225)</f>
        <v/>
      </c>
      <c r="N696" s="12">
        <f ca="1">IF(TOTALCO!N1225="", "",TOTALCO!N1225)</f>
        <v>-8709.5994841892261</v>
      </c>
      <c r="O696" s="12">
        <f ca="1">IF(TOTALCO!O1225="", "",TOTALCO!O1225)</f>
        <v>-2717.6160213893886</v>
      </c>
      <c r="P696" s="12">
        <f ca="1">IF(TOTALCO!P1225="", "",TOTALCO!P1225)</f>
        <v>-5991.9834627998371</v>
      </c>
      <c r="Q696" s="12"/>
      <c r="R696" s="13"/>
    </row>
    <row r="697" spans="1:18" ht="15" x14ac:dyDescent="0.2">
      <c r="A697" s="382" t="str">
        <f>IF(TOTALCO!A1226="", "",TOTALCO!A1226)</f>
        <v/>
      </c>
      <c r="B697" s="4" t="str">
        <f>IF(TOTALCO!B1226="", "",TOTALCO!B1226)</f>
        <v/>
      </c>
      <c r="C697" s="4" t="str">
        <f>IF(TOTALCO!C1226="", "",TOTALCO!C1226)</f>
        <v/>
      </c>
      <c r="D697" s="12" t="str">
        <f>IF(TOTALCO!D1226="", "",TOTALCO!D1226)</f>
        <v/>
      </c>
      <c r="E697" s="12" t="str">
        <f>IF(TOTALCO!E1226="", "",TOTALCO!E1226)</f>
        <v/>
      </c>
      <c r="F697" s="12" t="str">
        <f>IF(TOTALCO!F1226="", "",TOTALCO!F1226)</f>
        <v/>
      </c>
      <c r="G697" s="12" t="str">
        <f>IF(TOTALCO!G1226="", "",TOTALCO!G1226)</f>
        <v/>
      </c>
      <c r="H697" s="12" t="str">
        <f>IF(TOTALCO!H1226="", "",TOTALCO!H1226)</f>
        <v/>
      </c>
      <c r="I697" s="12" t="str">
        <f>IF(TOTALCO!I1226="", "",TOTALCO!I1226)</f>
        <v/>
      </c>
      <c r="J697" s="12" t="str">
        <f>IF(TOTALCO!J1226="", "",TOTALCO!J1226)</f>
        <v/>
      </c>
      <c r="K697" s="12" t="str">
        <f>IF(TOTALCO!K1226="", "",TOTALCO!K1226)</f>
        <v/>
      </c>
      <c r="L697" s="12" t="str">
        <f>IF(TOTALCO!L1226="", "",TOTALCO!L1226)</f>
        <v/>
      </c>
      <c r="M697" s="12" t="str">
        <f>IF(TOTALCO!M1226="", "",TOTALCO!M1226)</f>
        <v/>
      </c>
      <c r="N697" s="12" t="str">
        <f>IF(TOTALCO!N1226="", "",TOTALCO!N1226)</f>
        <v/>
      </c>
      <c r="O697" s="12" t="str">
        <f>IF(TOTALCO!O1226="", "",TOTALCO!O1226)</f>
        <v/>
      </c>
      <c r="P697" s="12" t="str">
        <f>IF(TOTALCO!P1226="", "",TOTALCO!P1226)</f>
        <v/>
      </c>
      <c r="Q697" s="12"/>
      <c r="R697" s="13"/>
    </row>
    <row r="698" spans="1:18" ht="15" x14ac:dyDescent="0.2">
      <c r="A698" s="382">
        <f>IF(TOTALCO!A1227="", "",TOTALCO!A1227)</f>
        <v>15</v>
      </c>
      <c r="B698" s="4" t="str">
        <f>IF(TOTALCO!B1227="", "",TOTALCO!B1227)</f>
        <v xml:space="preserve">  DISTRIBUTION - VA</v>
      </c>
      <c r="C698" s="4" t="str">
        <f>IF(TOTALCO!C1227="", "",TOTALCO!C1227)</f>
        <v>DIR203E</v>
      </c>
      <c r="D698" s="12">
        <f ca="1">IF(TOTALCO!D1227="", "",TOTALCO!D1227)</f>
        <v>-13424</v>
      </c>
      <c r="E698" s="12" t="str">
        <f>IF(TOTALCO!E1227="", "",TOTALCO!E1227)</f>
        <v/>
      </c>
      <c r="F698" s="12">
        <f ca="1">IF(TOTALCO!F1227="", "",TOTALCO!F1227)</f>
        <v>0</v>
      </c>
      <c r="G698" s="12" t="str">
        <f>IF(TOTALCO!G1227="", "",TOTALCO!G1227)</f>
        <v/>
      </c>
      <c r="H698" s="12">
        <f ca="1">IF(TOTALCO!H1227="", "",TOTALCO!H1227)</f>
        <v>-13424</v>
      </c>
      <c r="I698" s="12">
        <f ca="1">IF(TOTALCO!I1227="", "",TOTALCO!I1227)</f>
        <v>0</v>
      </c>
      <c r="J698" s="12" t="str">
        <f>IF(TOTALCO!J1227="", "",TOTALCO!J1227)</f>
        <v/>
      </c>
      <c r="K698" s="12" t="str">
        <f>IF(TOTALCO!K1227="", "",TOTALCO!K1227)</f>
        <v/>
      </c>
      <c r="L698" s="12">
        <f ca="1">IF(TOTALCO!L1227="", "",TOTALCO!L1227)</f>
        <v>0</v>
      </c>
      <c r="M698" s="12" t="str">
        <f>IF(TOTALCO!M1227="", "",TOTALCO!M1227)</f>
        <v/>
      </c>
      <c r="N698" s="12">
        <f ca="1">IF(TOTALCO!N1227="", "",TOTALCO!N1227)</f>
        <v>0</v>
      </c>
      <c r="O698" s="12">
        <f ca="1">IF(TOTALCO!O1227="", "",TOTALCO!O1227)</f>
        <v>0</v>
      </c>
      <c r="P698" s="12">
        <f ca="1">IF(TOTALCO!P1227="", "",TOTALCO!P1227)</f>
        <v>0</v>
      </c>
      <c r="Q698" s="12"/>
      <c r="R698" s="13"/>
    </row>
    <row r="699" spans="1:18" ht="15" x14ac:dyDescent="0.2">
      <c r="A699" s="382">
        <f>IF(TOTALCO!A1228="", "",TOTALCO!A1228)</f>
        <v>16</v>
      </c>
      <c r="B699" s="4" t="str">
        <f>IF(TOTALCO!B1228="", "",TOTALCO!B1228)</f>
        <v xml:space="preserve">  DISTRIBUTION PLT KY,FERC &amp; TN</v>
      </c>
      <c r="C699" s="4" t="str">
        <f>IF(TOTALCO!C1228="", "",TOTALCO!C1228)</f>
        <v>DPLTXVA</v>
      </c>
      <c r="D699" s="12">
        <f ca="1">IF(TOTALCO!D1228="", "",TOTALCO!D1228)</f>
        <v>-257793</v>
      </c>
      <c r="E699" s="12" t="str">
        <f>IF(TOTALCO!E1228="", "",TOTALCO!E1228)</f>
        <v/>
      </c>
      <c r="F699" s="12">
        <f ca="1">IF(TOTALCO!F1228="", "",TOTALCO!F1228)</f>
        <v>-256938.91062202168</v>
      </c>
      <c r="G699" s="12" t="str">
        <f>IF(TOTALCO!G1228="", "",TOTALCO!G1228)</f>
        <v/>
      </c>
      <c r="H699" s="12">
        <f ca="1">IF(TOTALCO!H1228="", "",TOTALCO!H1228)</f>
        <v>0</v>
      </c>
      <c r="I699" s="12">
        <f ca="1">IF(TOTALCO!I1228="", "",TOTALCO!I1228)</f>
        <v>-854.08937797833312</v>
      </c>
      <c r="J699" s="12" t="str">
        <f>IF(TOTALCO!J1228="", "",TOTALCO!J1228)</f>
        <v/>
      </c>
      <c r="K699" s="12" t="str">
        <f>IF(TOTALCO!K1228="", "",TOTALCO!K1228)</f>
        <v/>
      </c>
      <c r="L699" s="12">
        <f ca="1">IF(TOTALCO!L1228="", "",TOTALCO!L1228)</f>
        <v>-30.864843619016277</v>
      </c>
      <c r="M699" s="12" t="str">
        <f>IF(TOTALCO!M1228="", "",TOTALCO!M1228)</f>
        <v/>
      </c>
      <c r="N699" s="12">
        <f ca="1">IF(TOTALCO!N1228="", "",TOTALCO!N1228)</f>
        <v>-823.22453435931686</v>
      </c>
      <c r="O699" s="12">
        <f ca="1">IF(TOTALCO!O1228="", "",TOTALCO!O1228)</f>
        <v>-707.43075254344535</v>
      </c>
      <c r="P699" s="12">
        <f ca="1">IF(TOTALCO!P1228="", "",TOTALCO!P1228)</f>
        <v>-115.79378181587147</v>
      </c>
      <c r="Q699" s="12"/>
      <c r="R699" s="13"/>
    </row>
    <row r="700" spans="1:18" ht="15" x14ac:dyDescent="0.2">
      <c r="A700" s="382">
        <f>IF(TOTALCO!A1229="", "",TOTALCO!A1229)</f>
        <v>17</v>
      </c>
      <c r="B700" s="4" t="str">
        <f>IF(TOTALCO!B1229="", "",TOTALCO!B1229)</f>
        <v xml:space="preserve">  GENERAL</v>
      </c>
      <c r="C700" s="4" t="str">
        <f>IF(TOTALCO!C1229="", "",TOTALCO!C1229)</f>
        <v>GENPLT</v>
      </c>
      <c r="D700" s="12">
        <f ca="1">IF(TOTALCO!D1229="", "",TOTALCO!D1229)</f>
        <v>-26348.999999999996</v>
      </c>
      <c r="E700" s="12" t="str">
        <f>IF(TOTALCO!E1229="", "",TOTALCO!E1229)</f>
        <v/>
      </c>
      <c r="F700" s="12">
        <f ca="1">IF(TOTALCO!F1229="", "",TOTALCO!F1229)</f>
        <v>-23434.242686934911</v>
      </c>
      <c r="G700" s="12" t="str">
        <f>IF(TOTALCO!G1229="", "",TOTALCO!G1229)</f>
        <v/>
      </c>
      <c r="H700" s="12">
        <f ca="1">IF(TOTALCO!H1229="", "",TOTALCO!H1229)</f>
        <v>-1443.7403864285234</v>
      </c>
      <c r="I700" s="12">
        <f ca="1">IF(TOTALCO!I1229="", "",TOTALCO!I1229)</f>
        <v>-1471.0169266365626</v>
      </c>
      <c r="J700" s="12" t="str">
        <f>IF(TOTALCO!J1229="", "",TOTALCO!J1229)</f>
        <v/>
      </c>
      <c r="K700" s="12" t="str">
        <f>IF(TOTALCO!K1229="", "",TOTALCO!K1229)</f>
        <v/>
      </c>
      <c r="L700" s="12">
        <f ca="1">IF(TOTALCO!L1229="", "",TOTALCO!L1229)</f>
        <v>-0.80887822301790391</v>
      </c>
      <c r="M700" s="12" t="str">
        <f>IF(TOTALCO!M1229="", "",TOTALCO!M1229)</f>
        <v/>
      </c>
      <c r="N700" s="12">
        <f ca="1">IF(TOTALCO!N1229="", "",TOTALCO!N1229)</f>
        <v>-1470.2080484135447</v>
      </c>
      <c r="O700" s="12">
        <f ca="1">IF(TOTALCO!O1229="", "",TOTALCO!O1229)</f>
        <v>-477.61555556502981</v>
      </c>
      <c r="P700" s="12">
        <f ca="1">IF(TOTALCO!P1229="", "",TOTALCO!P1229)</f>
        <v>-992.59249284851489</v>
      </c>
      <c r="Q700" s="12"/>
      <c r="R700" s="13"/>
    </row>
    <row r="701" spans="1:18" ht="15" x14ac:dyDescent="0.2">
      <c r="A701" s="382">
        <f>IF(TOTALCO!A1230="", "",TOTALCO!A1230)</f>
        <v>18</v>
      </c>
      <c r="B701" s="4" t="str">
        <f>IF(TOTALCO!B1230="", "",TOTALCO!B1230)</f>
        <v>TOTAL 203(E) EXCESS</v>
      </c>
      <c r="C701" s="4" t="str">
        <f>IF(TOTALCO!C1230="", "",TOTALCO!C1230)</f>
        <v/>
      </c>
      <c r="D701" s="12">
        <f ca="1">IF(TOTALCO!D1230="", "",TOTALCO!D1230)</f>
        <v>-1256557</v>
      </c>
      <c r="E701" s="12" t="str">
        <f>IF(TOTALCO!E1230="", "",TOTALCO!E1230)</f>
        <v/>
      </c>
      <c r="F701" s="12">
        <f ca="1">IF(TOTALCO!F1230="", "",TOTALCO!F1230)</f>
        <v>-1104028.4242857145</v>
      </c>
      <c r="G701" s="12" t="str">
        <f>IF(TOTALCO!G1230="", "",TOTALCO!G1230)</f>
        <v/>
      </c>
      <c r="H701" s="12">
        <f ca="1">IF(TOTALCO!H1230="", "",TOTALCO!H1230)</f>
        <v>-70030.651345793449</v>
      </c>
      <c r="I701" s="12">
        <f ca="1">IF(TOTALCO!I1230="", "",TOTALCO!I1230)</f>
        <v>-82497.924368492197</v>
      </c>
      <c r="J701" s="12" t="str">
        <f>IF(TOTALCO!J1230="", "",TOTALCO!J1230)</f>
        <v/>
      </c>
      <c r="K701" s="12" t="str">
        <f>IF(TOTALCO!K1230="", "",TOTALCO!K1230)</f>
        <v/>
      </c>
      <c r="L701" s="12">
        <f ca="1">IF(TOTALCO!L1230="", "",TOTALCO!L1230)</f>
        <v>-38.956291710910499</v>
      </c>
      <c r="M701" s="12" t="str">
        <f>IF(TOTALCO!M1230="", "",TOTALCO!M1230)</f>
        <v/>
      </c>
      <c r="N701" s="12">
        <f ca="1">IF(TOTALCO!N1230="", "",TOTALCO!N1230)</f>
        <v>-82458.968076781282</v>
      </c>
      <c r="O701" s="12">
        <f ca="1">IF(TOTALCO!O1230="", "",TOTALCO!O1230)</f>
        <v>-26198.727363966747</v>
      </c>
      <c r="P701" s="12">
        <f ca="1">IF(TOTALCO!P1230="", "",TOTALCO!P1230)</f>
        <v>-56260.240712814535</v>
      </c>
      <c r="Q701" s="12"/>
      <c r="R701" s="13"/>
    </row>
    <row r="702" spans="1:18" ht="15" x14ac:dyDescent="0.2">
      <c r="A702" s="382" t="str">
        <f>IF(TOTALCO!A1231="", "",TOTALCO!A1231)</f>
        <v/>
      </c>
      <c r="B702" s="4" t="str">
        <f>IF(TOTALCO!B1231="", "",TOTALCO!B1231)</f>
        <v/>
      </c>
      <c r="C702" s="4" t="str">
        <f>IF(TOTALCO!C1231="", "",TOTALCO!C1231)</f>
        <v/>
      </c>
      <c r="D702" s="12" t="str">
        <f>IF(TOTALCO!D1231="", "",TOTALCO!D1231)</f>
        <v/>
      </c>
      <c r="E702" s="12" t="str">
        <f>IF(TOTALCO!E1231="", "",TOTALCO!E1231)</f>
        <v/>
      </c>
      <c r="F702" s="12" t="str">
        <f>IF(TOTALCO!F1231="", "",TOTALCO!F1231)</f>
        <v/>
      </c>
      <c r="G702" s="12" t="str">
        <f>IF(TOTALCO!G1231="", "",TOTALCO!G1231)</f>
        <v/>
      </c>
      <c r="H702" s="12" t="str">
        <f>IF(TOTALCO!H1231="", "",TOTALCO!H1231)</f>
        <v/>
      </c>
      <c r="I702" s="12" t="str">
        <f>IF(TOTALCO!I1231="", "",TOTALCO!I1231)</f>
        <v/>
      </c>
      <c r="J702" s="12" t="str">
        <f>IF(TOTALCO!J1231="", "",TOTALCO!J1231)</f>
        <v/>
      </c>
      <c r="K702" s="12" t="str">
        <f>IF(TOTALCO!K1231="", "",TOTALCO!K1231)</f>
        <v/>
      </c>
      <c r="L702" s="12" t="str">
        <f>IF(TOTALCO!L1231="", "",TOTALCO!L1231)</f>
        <v/>
      </c>
      <c r="M702" s="12" t="str">
        <f>IF(TOTALCO!M1231="", "",TOTALCO!M1231)</f>
        <v/>
      </c>
      <c r="N702" s="12" t="str">
        <f>IF(TOTALCO!N1231="", "",TOTALCO!N1231)</f>
        <v/>
      </c>
      <c r="O702" s="12" t="str">
        <f>IF(TOTALCO!O1231="", "",TOTALCO!O1231)</f>
        <v/>
      </c>
      <c r="P702" s="12" t="str">
        <f>IF(TOTALCO!P1231="", "",TOTALCO!P1231)</f>
        <v/>
      </c>
      <c r="Q702" s="12"/>
      <c r="R702" s="13"/>
    </row>
    <row r="703" spans="1:18" ht="15" x14ac:dyDescent="0.2">
      <c r="A703" s="382" t="str">
        <f>IF(TOTALCO!A1232="", "",TOTALCO!A1232)</f>
        <v/>
      </c>
      <c r="B703" s="4" t="str">
        <f>IF(TOTALCO!B1232="", "",TOTALCO!B1232)</f>
        <v>INVESTMENT TAX CREDIT ADJ</v>
      </c>
      <c r="C703" s="4" t="str">
        <f>IF(TOTALCO!C1232="", "",TOTALCO!C1232)</f>
        <v/>
      </c>
      <c r="D703" s="12" t="str">
        <f>IF(TOTALCO!D1232="", "",TOTALCO!D1232)</f>
        <v/>
      </c>
      <c r="E703" s="12" t="str">
        <f>IF(TOTALCO!E1232="", "",TOTALCO!E1232)</f>
        <v/>
      </c>
      <c r="F703" s="12" t="str">
        <f>IF(TOTALCO!F1232="", "",TOTALCO!F1232)</f>
        <v/>
      </c>
      <c r="G703" s="12" t="str">
        <f>IF(TOTALCO!G1232="", "",TOTALCO!G1232)</f>
        <v/>
      </c>
      <c r="H703" s="12" t="str">
        <f>IF(TOTALCO!H1232="", "",TOTALCO!H1232)</f>
        <v/>
      </c>
      <c r="I703" s="12" t="str">
        <f>IF(TOTALCO!I1232="", "",TOTALCO!I1232)</f>
        <v/>
      </c>
      <c r="J703" s="12" t="str">
        <f>IF(TOTALCO!J1232="", "",TOTALCO!J1232)</f>
        <v/>
      </c>
      <c r="K703" s="12" t="str">
        <f>IF(TOTALCO!K1232="", "",TOTALCO!K1232)</f>
        <v/>
      </c>
      <c r="L703" s="12" t="str">
        <f>IF(TOTALCO!L1232="", "",TOTALCO!L1232)</f>
        <v/>
      </c>
      <c r="M703" s="12" t="str">
        <f>IF(TOTALCO!M1232="", "",TOTALCO!M1232)</f>
        <v/>
      </c>
      <c r="N703" s="12" t="str">
        <f>IF(TOTALCO!N1232="", "",TOTALCO!N1232)</f>
        <v/>
      </c>
      <c r="O703" s="12" t="str">
        <f>IF(TOTALCO!O1232="", "",TOTALCO!O1232)</f>
        <v/>
      </c>
      <c r="P703" s="12" t="str">
        <f>IF(TOTALCO!P1232="", "",TOTALCO!P1232)</f>
        <v/>
      </c>
      <c r="Q703" s="12"/>
      <c r="R703" s="13"/>
    </row>
    <row r="704" spans="1:18" ht="15" x14ac:dyDescent="0.2">
      <c r="A704" s="382">
        <f>IF(TOTALCO!A1233="", "",TOTALCO!A1233)</f>
        <v>19</v>
      </c>
      <c r="B704" s="4" t="str">
        <f>IF(TOTALCO!B1233="", "",TOTALCO!B1233)</f>
        <v xml:space="preserve">  PRODUCTION</v>
      </c>
      <c r="C704" s="4" t="str">
        <f>IF(TOTALCO!C1233="", "",TOTALCO!C1233)</f>
        <v>PRODPLT</v>
      </c>
      <c r="D704" s="12">
        <f ca="1">IF(TOTALCO!D1233="", "",TOTALCO!D1233)</f>
        <v>0</v>
      </c>
      <c r="E704" s="12" t="str">
        <f>IF(TOTALCO!E1233="", "",TOTALCO!E1233)</f>
        <v/>
      </c>
      <c r="F704" s="12">
        <f ca="1">IF(TOTALCO!F1233="", "",TOTALCO!F1233)</f>
        <v>0</v>
      </c>
      <c r="G704" s="12" t="str">
        <f>IF(TOTALCO!G1233="", "",TOTALCO!G1233)</f>
        <v/>
      </c>
      <c r="H704" s="12">
        <f ca="1">IF(TOTALCO!H1233="", "",TOTALCO!H1233)</f>
        <v>0</v>
      </c>
      <c r="I704" s="12">
        <f ca="1">IF(TOTALCO!I1233="", "",TOTALCO!I1233)</f>
        <v>0</v>
      </c>
      <c r="J704" s="12" t="str">
        <f>IF(TOTALCO!J1233="", "",TOTALCO!J1233)</f>
        <v/>
      </c>
      <c r="K704" s="12" t="str">
        <f>IF(TOTALCO!K1233="", "",TOTALCO!K1233)</f>
        <v/>
      </c>
      <c r="L704" s="12">
        <f ca="1">IF(TOTALCO!L1233="", "",TOTALCO!L1233)</f>
        <v>0</v>
      </c>
      <c r="M704" s="12" t="str">
        <f>IF(TOTALCO!M1233="", "",TOTALCO!M1233)</f>
        <v/>
      </c>
      <c r="N704" s="12">
        <f ca="1">IF(TOTALCO!N1233="", "",TOTALCO!N1233)</f>
        <v>0</v>
      </c>
      <c r="O704" s="12">
        <f ca="1">IF(TOTALCO!O1233="", "",TOTALCO!O1233)</f>
        <v>0</v>
      </c>
      <c r="P704" s="12">
        <f ca="1">IF(TOTALCO!P1233="", "",TOTALCO!P1233)</f>
        <v>0</v>
      </c>
      <c r="Q704" s="12"/>
      <c r="R704" s="13"/>
    </row>
    <row r="705" spans="1:18" ht="15" x14ac:dyDescent="0.2">
      <c r="A705" s="382">
        <f>IF(TOTALCO!A1234="", "",TOTALCO!A1234)</f>
        <v>20</v>
      </c>
      <c r="B705" s="4" t="str">
        <f>IF(TOTALCO!B1234="", "",TOTALCO!B1234)</f>
        <v xml:space="preserve">  TRANSMISSION</v>
      </c>
      <c r="C705" s="4" t="str">
        <f>IF(TOTALCO!C1234="", "",TOTALCO!C1234)</f>
        <v>TRANPLTX</v>
      </c>
      <c r="D705" s="12">
        <f ca="1">IF(TOTALCO!D1234="", "",TOTALCO!D1234)</f>
        <v>0</v>
      </c>
      <c r="E705" s="12" t="str">
        <f>IF(TOTALCO!E1234="", "",TOTALCO!E1234)</f>
        <v/>
      </c>
      <c r="F705" s="12">
        <f ca="1">IF(TOTALCO!F1234="", "",TOTALCO!F1234)</f>
        <v>0</v>
      </c>
      <c r="G705" s="12" t="str">
        <f>IF(TOTALCO!G1234="", "",TOTALCO!G1234)</f>
        <v/>
      </c>
      <c r="H705" s="12">
        <f ca="1">IF(TOTALCO!H1234="", "",TOTALCO!H1234)</f>
        <v>0</v>
      </c>
      <c r="I705" s="12">
        <f ca="1">IF(TOTALCO!I1234="", "",TOTALCO!I1234)</f>
        <v>0</v>
      </c>
      <c r="J705" s="12" t="str">
        <f>IF(TOTALCO!J1234="", "",TOTALCO!J1234)</f>
        <v/>
      </c>
      <c r="K705" s="12" t="str">
        <f>IF(TOTALCO!K1234="", "",TOTALCO!K1234)</f>
        <v/>
      </c>
      <c r="L705" s="12">
        <f ca="1">IF(TOTALCO!L1234="", "",TOTALCO!L1234)</f>
        <v>0</v>
      </c>
      <c r="M705" s="12" t="str">
        <f>IF(TOTALCO!M1234="", "",TOTALCO!M1234)</f>
        <v/>
      </c>
      <c r="N705" s="12">
        <f ca="1">IF(TOTALCO!N1234="", "",TOTALCO!N1234)</f>
        <v>0</v>
      </c>
      <c r="O705" s="12">
        <f ca="1">IF(TOTALCO!O1234="", "",TOTALCO!O1234)</f>
        <v>0</v>
      </c>
      <c r="P705" s="12">
        <f ca="1">IF(TOTALCO!P1234="", "",TOTALCO!P1234)</f>
        <v>0</v>
      </c>
      <c r="Q705" s="12"/>
      <c r="R705" s="13"/>
    </row>
    <row r="706" spans="1:18" ht="15" x14ac:dyDescent="0.2">
      <c r="A706" s="382">
        <f>IF(TOTALCO!A1235="", "",TOTALCO!A1235)</f>
        <v>21</v>
      </c>
      <c r="B706" s="4" t="str">
        <f>IF(TOTALCO!B1235="", "",TOTALCO!B1235)</f>
        <v xml:space="preserve">  TRANSMISSION VA</v>
      </c>
      <c r="C706" s="4" t="str">
        <f>IF(TOTALCO!C1235="", "",TOTALCO!C1235)</f>
        <v>TRPLTVA</v>
      </c>
      <c r="D706" s="12">
        <f ca="1">IF(TOTALCO!D1235="", "",TOTALCO!D1235)</f>
        <v>0</v>
      </c>
      <c r="E706" s="12" t="str">
        <f>IF(TOTALCO!E1235="", "",TOTALCO!E1235)</f>
        <v/>
      </c>
      <c r="F706" s="12">
        <f ca="1">IF(TOTALCO!F1235="", "",TOTALCO!F1235)</f>
        <v>0</v>
      </c>
      <c r="G706" s="12" t="str">
        <f>IF(TOTALCO!G1235="", "",TOTALCO!G1235)</f>
        <v/>
      </c>
      <c r="H706" s="12">
        <f ca="1">IF(TOTALCO!H1235="", "",TOTALCO!H1235)</f>
        <v>0</v>
      </c>
      <c r="I706" s="12">
        <f ca="1">IF(TOTALCO!I1235="", "",TOTALCO!I1235)</f>
        <v>0</v>
      </c>
      <c r="J706" s="12" t="str">
        <f>IF(TOTALCO!J1235="", "",TOTALCO!J1235)</f>
        <v/>
      </c>
      <c r="K706" s="12" t="str">
        <f>IF(TOTALCO!K1235="", "",TOTALCO!K1235)</f>
        <v/>
      </c>
      <c r="L706" s="12">
        <f ca="1">IF(TOTALCO!L1235="", "",TOTALCO!L1235)</f>
        <v>0</v>
      </c>
      <c r="M706" s="12" t="str">
        <f>IF(TOTALCO!M1235="", "",TOTALCO!M1235)</f>
        <v/>
      </c>
      <c r="N706" s="12">
        <f ca="1">IF(TOTALCO!N1235="", "",TOTALCO!N1235)</f>
        <v>0</v>
      </c>
      <c r="O706" s="12">
        <f ca="1">IF(TOTALCO!O1235="", "",TOTALCO!O1235)</f>
        <v>0</v>
      </c>
      <c r="P706" s="12">
        <f ca="1">IF(TOTALCO!P1235="", "",TOTALCO!P1235)</f>
        <v>0</v>
      </c>
      <c r="Q706" s="12"/>
      <c r="R706" s="13"/>
    </row>
    <row r="707" spans="1:18" ht="15" x14ac:dyDescent="0.2">
      <c r="A707" s="382">
        <f>IF(TOTALCO!A1236="", "",TOTALCO!A1236)</f>
        <v>22</v>
      </c>
      <c r="B707" s="4" t="str">
        <f>IF(TOTALCO!B1236="", "",TOTALCO!B1236)</f>
        <v xml:space="preserve">  DISTRIBUTION - DIRECT</v>
      </c>
      <c r="C707" s="4" t="str">
        <f>IF(TOTALCO!C1236="", "",TOTALCO!C1236)</f>
        <v>DIRITCADJ</v>
      </c>
      <c r="D707" s="12">
        <f ca="1">IF(TOTALCO!D1236="", "",TOTALCO!D1236)</f>
        <v>0</v>
      </c>
      <c r="E707" s="12" t="str">
        <f>IF(TOTALCO!E1236="", "",TOTALCO!E1236)</f>
        <v/>
      </c>
      <c r="F707" s="12">
        <f ca="1">IF(TOTALCO!F1236="", "",TOTALCO!F1236)</f>
        <v>0</v>
      </c>
      <c r="G707" s="12" t="str">
        <f>IF(TOTALCO!G1236="", "",TOTALCO!G1236)</f>
        <v/>
      </c>
      <c r="H707" s="12">
        <f ca="1">IF(TOTALCO!H1236="", "",TOTALCO!H1236)</f>
        <v>0</v>
      </c>
      <c r="I707" s="12">
        <f ca="1">IF(TOTALCO!I1236="", "",TOTALCO!I1236)</f>
        <v>0</v>
      </c>
      <c r="J707" s="12" t="str">
        <f>IF(TOTALCO!J1236="", "",TOTALCO!J1236)</f>
        <v/>
      </c>
      <c r="K707" s="12" t="str">
        <f>IF(TOTALCO!K1236="", "",TOTALCO!K1236)</f>
        <v/>
      </c>
      <c r="L707" s="12">
        <f ca="1">IF(TOTALCO!L1236="", "",TOTALCO!L1236)</f>
        <v>0</v>
      </c>
      <c r="M707" s="12" t="str">
        <f>IF(TOTALCO!M1236="", "",TOTALCO!M1236)</f>
        <v/>
      </c>
      <c r="N707" s="12">
        <f ca="1">IF(TOTALCO!N1236="", "",TOTALCO!N1236)</f>
        <v>0</v>
      </c>
      <c r="O707" s="12">
        <f ca="1">IF(TOTALCO!O1236="", "",TOTALCO!O1236)</f>
        <v>0</v>
      </c>
      <c r="P707" s="12">
        <f ca="1">IF(TOTALCO!P1236="", "",TOTALCO!P1236)</f>
        <v>0</v>
      </c>
      <c r="Q707" s="12"/>
      <c r="R707" s="13"/>
    </row>
    <row r="708" spans="1:18" ht="15" x14ac:dyDescent="0.2">
      <c r="A708" s="382">
        <f>IF(TOTALCO!A1237="", "",TOTALCO!A1237)</f>
        <v>23</v>
      </c>
      <c r="B708" s="4" t="str">
        <f>IF(TOTALCO!B1237="", "",TOTALCO!B1237)</f>
        <v xml:space="preserve">  DISTRIBUTION PLT KY,FERC &amp; TN</v>
      </c>
      <c r="C708" s="4" t="str">
        <f>IF(TOTALCO!C1237="", "",TOTALCO!C1237)</f>
        <v>DPLTXVA</v>
      </c>
      <c r="D708" s="12">
        <f ca="1">IF(TOTALCO!D1237="", "",TOTALCO!D1237)</f>
        <v>0</v>
      </c>
      <c r="E708" s="12" t="str">
        <f>IF(TOTALCO!E1237="", "",TOTALCO!E1237)</f>
        <v/>
      </c>
      <c r="F708" s="12">
        <f ca="1">IF(TOTALCO!F1237="", "",TOTALCO!F1237)</f>
        <v>0</v>
      </c>
      <c r="G708" s="12" t="str">
        <f>IF(TOTALCO!G1237="", "",TOTALCO!G1237)</f>
        <v/>
      </c>
      <c r="H708" s="12">
        <f ca="1">IF(TOTALCO!H1237="", "",TOTALCO!H1237)</f>
        <v>0</v>
      </c>
      <c r="I708" s="12">
        <f ca="1">IF(TOTALCO!I1237="", "",TOTALCO!I1237)</f>
        <v>0</v>
      </c>
      <c r="J708" s="12" t="str">
        <f>IF(TOTALCO!J1237="", "",TOTALCO!J1237)</f>
        <v/>
      </c>
      <c r="K708" s="12" t="str">
        <f>IF(TOTALCO!K1237="", "",TOTALCO!K1237)</f>
        <v/>
      </c>
      <c r="L708" s="12">
        <f ca="1">IF(TOTALCO!L1237="", "",TOTALCO!L1237)</f>
        <v>0</v>
      </c>
      <c r="M708" s="12" t="str">
        <f>IF(TOTALCO!M1237="", "",TOTALCO!M1237)</f>
        <v/>
      </c>
      <c r="N708" s="12">
        <f ca="1">IF(TOTALCO!N1237="", "",TOTALCO!N1237)</f>
        <v>0</v>
      </c>
      <c r="O708" s="12">
        <f ca="1">IF(TOTALCO!O1237="", "",TOTALCO!O1237)</f>
        <v>0</v>
      </c>
      <c r="P708" s="12">
        <f ca="1">IF(TOTALCO!P1237="", "",TOTALCO!P1237)</f>
        <v>0</v>
      </c>
      <c r="Q708" s="12"/>
      <c r="R708" s="13"/>
    </row>
    <row r="709" spans="1:18" ht="15" x14ac:dyDescent="0.2">
      <c r="A709" s="382">
        <f>IF(TOTALCO!A1238="", "",TOTALCO!A1238)</f>
        <v>24</v>
      </c>
      <c r="B709" s="4" t="str">
        <f>IF(TOTALCO!B1238="", "",TOTALCO!B1238)</f>
        <v xml:space="preserve">  GENERAL</v>
      </c>
      <c r="C709" s="4" t="str">
        <f>IF(TOTALCO!C1238="", "",TOTALCO!C1238)</f>
        <v>GENPLT</v>
      </c>
      <c r="D709" s="12">
        <f ca="1">IF(TOTALCO!D1238="", "",TOTALCO!D1238)</f>
        <v>0</v>
      </c>
      <c r="E709" s="12" t="str">
        <f>IF(TOTALCO!E1238="", "",TOTALCO!E1238)</f>
        <v/>
      </c>
      <c r="F709" s="12">
        <f ca="1">IF(TOTALCO!F1238="", "",TOTALCO!F1238)</f>
        <v>0</v>
      </c>
      <c r="G709" s="12" t="str">
        <f>IF(TOTALCO!G1238="", "",TOTALCO!G1238)</f>
        <v/>
      </c>
      <c r="H709" s="12">
        <f ca="1">IF(TOTALCO!H1238="", "",TOTALCO!H1238)</f>
        <v>0</v>
      </c>
      <c r="I709" s="12">
        <f ca="1">IF(TOTALCO!I1238="", "",TOTALCO!I1238)</f>
        <v>0</v>
      </c>
      <c r="J709" s="12" t="str">
        <f>IF(TOTALCO!J1238="", "",TOTALCO!J1238)</f>
        <v/>
      </c>
      <c r="K709" s="12" t="str">
        <f>IF(TOTALCO!K1238="", "",TOTALCO!K1238)</f>
        <v/>
      </c>
      <c r="L709" s="12">
        <f ca="1">IF(TOTALCO!L1238="", "",TOTALCO!L1238)</f>
        <v>0</v>
      </c>
      <c r="M709" s="12" t="str">
        <f>IF(TOTALCO!M1238="", "",TOTALCO!M1238)</f>
        <v/>
      </c>
      <c r="N709" s="12">
        <f ca="1">IF(TOTALCO!N1238="", "",TOTALCO!N1238)</f>
        <v>0</v>
      </c>
      <c r="O709" s="12">
        <f ca="1">IF(TOTALCO!O1238="", "",TOTALCO!O1238)</f>
        <v>0</v>
      </c>
      <c r="P709" s="12">
        <f ca="1">IF(TOTALCO!P1238="", "",TOTALCO!P1238)</f>
        <v>0</v>
      </c>
      <c r="Q709" s="12"/>
      <c r="R709" s="13"/>
    </row>
    <row r="710" spans="1:18" ht="15" x14ac:dyDescent="0.2">
      <c r="A710" s="382">
        <f>IF(TOTALCO!A1239="", "",TOTALCO!A1239)</f>
        <v>25</v>
      </c>
      <c r="B710" s="4" t="str">
        <f>IF(TOTALCO!B1239="", "",TOTALCO!B1239)</f>
        <v>TOTAL INVEST TAX CREDIT ADJ</v>
      </c>
      <c r="C710" s="4" t="str">
        <f>IF(TOTALCO!C1239="", "",TOTALCO!C1239)</f>
        <v/>
      </c>
      <c r="D710" s="12">
        <f ca="1">IF(TOTALCO!D1239="", "",TOTALCO!D1239)</f>
        <v>0</v>
      </c>
      <c r="E710" s="12" t="str">
        <f>IF(TOTALCO!E1239="", "",TOTALCO!E1239)</f>
        <v/>
      </c>
      <c r="F710" s="12">
        <f ca="1">IF(TOTALCO!F1239="", "",TOTALCO!F1239)</f>
        <v>0</v>
      </c>
      <c r="G710" s="12" t="str">
        <f>IF(TOTALCO!G1239="", "",TOTALCO!G1239)</f>
        <v/>
      </c>
      <c r="H710" s="12">
        <f ca="1">IF(TOTALCO!H1239="", "",TOTALCO!H1239)</f>
        <v>0</v>
      </c>
      <c r="I710" s="12">
        <f ca="1">IF(TOTALCO!I1239="", "",TOTALCO!I1239)</f>
        <v>0</v>
      </c>
      <c r="J710" s="12" t="str">
        <f>IF(TOTALCO!J1239="", "",TOTALCO!J1239)</f>
        <v/>
      </c>
      <c r="K710" s="12" t="str">
        <f>IF(TOTALCO!K1239="", "",TOTALCO!K1239)</f>
        <v/>
      </c>
      <c r="L710" s="12">
        <f ca="1">IF(TOTALCO!L1239="", "",TOTALCO!L1239)</f>
        <v>0</v>
      </c>
      <c r="M710" s="12" t="str">
        <f>IF(TOTALCO!M1239="", "",TOTALCO!M1239)</f>
        <v/>
      </c>
      <c r="N710" s="12">
        <f ca="1">IF(TOTALCO!N1239="", "",TOTALCO!N1239)</f>
        <v>0</v>
      </c>
      <c r="O710" s="12">
        <f ca="1">IF(TOTALCO!O1239="", "",TOTALCO!O1239)</f>
        <v>0</v>
      </c>
      <c r="P710" s="12">
        <f ca="1">IF(TOTALCO!P1239="", "",TOTALCO!P1239)</f>
        <v>0</v>
      </c>
      <c r="Q710" s="12"/>
      <c r="R710" s="13"/>
    </row>
    <row r="711" spans="1:18" ht="15" x14ac:dyDescent="0.2">
      <c r="A711" s="382" t="str">
        <f>IF(TOTALCO!A1240="", "",TOTALCO!A1240)</f>
        <v/>
      </c>
      <c r="B711" s="4" t="str">
        <f>IF(TOTALCO!B1240="", "",TOTALCO!B1240)</f>
        <v/>
      </c>
      <c r="C711" s="4" t="str">
        <f>IF(TOTALCO!C1240="", "",TOTALCO!C1240)</f>
        <v/>
      </c>
      <c r="D711" s="12" t="str">
        <f>IF(TOTALCO!D1240="", "",TOTALCO!D1240)</f>
        <v/>
      </c>
      <c r="E711" s="12" t="str">
        <f>IF(TOTALCO!E1240="", "",TOTALCO!E1240)</f>
        <v/>
      </c>
      <c r="F711" s="12" t="str">
        <f>IF(TOTALCO!F1240="", "",TOTALCO!F1240)</f>
        <v/>
      </c>
      <c r="G711" s="12" t="str">
        <f>IF(TOTALCO!G1240="", "",TOTALCO!G1240)</f>
        <v/>
      </c>
      <c r="H711" s="12" t="str">
        <f>IF(TOTALCO!H1240="", "",TOTALCO!H1240)</f>
        <v/>
      </c>
      <c r="I711" s="12" t="str">
        <f>IF(TOTALCO!I1240="", "",TOTALCO!I1240)</f>
        <v/>
      </c>
      <c r="J711" s="12" t="str">
        <f>IF(TOTALCO!J1240="", "",TOTALCO!J1240)</f>
        <v/>
      </c>
      <c r="K711" s="12" t="str">
        <f>IF(TOTALCO!K1240="", "",TOTALCO!K1240)</f>
        <v/>
      </c>
      <c r="L711" s="12" t="str">
        <f>IF(TOTALCO!L1240="", "",TOTALCO!L1240)</f>
        <v/>
      </c>
      <c r="M711" s="12" t="str">
        <f>IF(TOTALCO!M1240="", "",TOTALCO!M1240)</f>
        <v/>
      </c>
      <c r="N711" s="12" t="str">
        <f>IF(TOTALCO!N1240="", "",TOTALCO!N1240)</f>
        <v/>
      </c>
      <c r="O711" s="12" t="str">
        <f>IF(TOTALCO!O1240="", "",TOTALCO!O1240)</f>
        <v/>
      </c>
      <c r="P711" s="12" t="str">
        <f>IF(TOTALCO!P1240="", "",TOTALCO!P1240)</f>
        <v/>
      </c>
      <c r="Q711" s="12"/>
      <c r="R711" s="13"/>
    </row>
    <row r="712" spans="1:18" ht="15" x14ac:dyDescent="0.2">
      <c r="A712" s="382">
        <f>IF(TOTALCO!A1241="", "",TOTALCO!A1241)</f>
        <v>26</v>
      </c>
      <c r="B712" s="4" t="str">
        <f>IF(TOTALCO!B1241="", "",TOTALCO!B1241)</f>
        <v>TOTAL EXP OTHER THAN INC TAX</v>
      </c>
      <c r="C712" s="4" t="str">
        <f>IF(TOTALCO!C1241="", "",TOTALCO!C1241)</f>
        <v/>
      </c>
      <c r="D712" s="12">
        <f ca="1">IF(TOTALCO!D1241="", "",TOTALCO!D1241)</f>
        <v>1199119574.1400001</v>
      </c>
      <c r="E712" s="12" t="str">
        <f>IF(TOTALCO!E1241="", "",TOTALCO!E1241)</f>
        <v/>
      </c>
      <c r="F712" s="12">
        <f ca="1">IF(TOTALCO!F1241="", "",TOTALCO!F1241)</f>
        <v>1049668662.0726219</v>
      </c>
      <c r="G712" s="12" t="str">
        <f>IF(TOTALCO!G1241="", "",TOTALCO!G1241)</f>
        <v/>
      </c>
      <c r="H712" s="12">
        <f ca="1">IF(TOTALCO!H1241="", "",TOTALCO!H1241)</f>
        <v>61073343.37865071</v>
      </c>
      <c r="I712" s="12">
        <f ca="1">IF(TOTALCO!I1241="", "",TOTALCO!I1241)</f>
        <v>88377568.688727304</v>
      </c>
      <c r="J712" s="12" t="str">
        <f>IF(TOTALCO!J1241="", "",TOTALCO!J1241)</f>
        <v/>
      </c>
      <c r="K712" s="12" t="str">
        <f>IF(TOTALCO!K1241="", "",TOTALCO!K1241)</f>
        <v/>
      </c>
      <c r="L712" s="12">
        <f ca="1">IF(TOTALCO!L1241="", "",TOTALCO!L1241)</f>
        <v>18468.677935451145</v>
      </c>
      <c r="M712" s="12" t="str">
        <f>IF(TOTALCO!M1241="", "",TOTALCO!M1241)</f>
        <v/>
      </c>
      <c r="N712" s="12">
        <f ca="1">IF(TOTALCO!N1241="", "",TOTALCO!N1241)</f>
        <v>88359100.010791853</v>
      </c>
      <c r="O712" s="12">
        <f ca="1">IF(TOTALCO!O1241="", "",TOTALCO!O1241)</f>
        <v>28602472.274503522</v>
      </c>
      <c r="P712" s="12">
        <f ca="1">IF(TOTALCO!P1241="", "",TOTALCO!P1241)</f>
        <v>59756627.736288331</v>
      </c>
      <c r="Q712" s="12"/>
      <c r="R712" s="13"/>
    </row>
    <row r="713" spans="1:18" ht="15" x14ac:dyDescent="0.2">
      <c r="A713" s="382" t="str">
        <f>IF(TOTALCO!A1242="", "",TOTALCO!A1242)</f>
        <v/>
      </c>
      <c r="B713" s="4" t="str">
        <f>IF(TOTALCO!B1242="", "",TOTALCO!B1242)</f>
        <v/>
      </c>
      <c r="C713" s="4" t="str">
        <f>IF(TOTALCO!C1242="", "",TOTALCO!C1242)</f>
        <v/>
      </c>
      <c r="D713" s="12" t="str">
        <f>IF(TOTALCO!D1242="", "",TOTALCO!D1242)</f>
        <v/>
      </c>
      <c r="E713" s="12" t="str">
        <f>IF(TOTALCO!E1242="", "",TOTALCO!E1242)</f>
        <v/>
      </c>
      <c r="F713" s="12" t="str">
        <f>IF(TOTALCO!F1242="", "",TOTALCO!F1242)</f>
        <v/>
      </c>
      <c r="G713" s="12" t="str">
        <f>IF(TOTALCO!G1242="", "",TOTALCO!G1242)</f>
        <v/>
      </c>
      <c r="H713" s="12" t="str">
        <f>IF(TOTALCO!H1242="", "",TOTALCO!H1242)</f>
        <v/>
      </c>
      <c r="I713" s="12" t="str">
        <f>IF(TOTALCO!I1242="", "",TOTALCO!I1242)</f>
        <v/>
      </c>
      <c r="J713" s="12" t="str">
        <f>IF(TOTALCO!J1242="", "",TOTALCO!J1242)</f>
        <v/>
      </c>
      <c r="K713" s="12" t="str">
        <f>IF(TOTALCO!K1242="", "",TOTALCO!K1242)</f>
        <v/>
      </c>
      <c r="L713" s="12" t="str">
        <f>IF(TOTALCO!L1242="", "",TOTALCO!L1242)</f>
        <v/>
      </c>
      <c r="M713" s="12" t="str">
        <f>IF(TOTALCO!M1242="", "",TOTALCO!M1242)</f>
        <v/>
      </c>
      <c r="N713" s="12" t="str">
        <f>IF(TOTALCO!N1242="", "",TOTALCO!N1242)</f>
        <v/>
      </c>
      <c r="O713" s="12" t="str">
        <f>IF(TOTALCO!O1242="", "",TOTALCO!O1242)</f>
        <v/>
      </c>
      <c r="P713" s="12" t="str">
        <f>IF(TOTALCO!P1242="", "",TOTALCO!P1242)</f>
        <v/>
      </c>
      <c r="Q713" s="12"/>
      <c r="R713" s="13"/>
    </row>
    <row r="714" spans="1:18" ht="15" x14ac:dyDescent="0.2">
      <c r="A714" s="382" t="str">
        <f>IF(TOTALCO!A1243="", "",TOTALCO!A1243)</f>
        <v/>
      </c>
      <c r="B714" s="4" t="str">
        <f>IF(TOTALCO!B1243="", "",TOTALCO!B1243)</f>
        <v/>
      </c>
      <c r="C714" s="4" t="str">
        <f>IF(TOTALCO!C1243="", "",TOTALCO!C1243)</f>
        <v/>
      </c>
      <c r="D714" s="12" t="str">
        <f>IF(TOTALCO!D1243="", "",TOTALCO!D1243)</f>
        <v/>
      </c>
      <c r="E714" s="12" t="str">
        <f>IF(TOTALCO!E1243="", "",TOTALCO!E1243)</f>
        <v/>
      </c>
      <c r="F714" s="12" t="str">
        <f>IF(TOTALCO!F1243="", "",TOTALCO!F1243)</f>
        <v/>
      </c>
      <c r="G714" s="12" t="str">
        <f>IF(TOTALCO!G1243="", "",TOTALCO!G1243)</f>
        <v/>
      </c>
      <c r="H714" s="12" t="str">
        <f>IF(TOTALCO!H1243="", "",TOTALCO!H1243)</f>
        <v/>
      </c>
      <c r="I714" s="12" t="str">
        <f>IF(TOTALCO!I1243="", "",TOTALCO!I1243)</f>
        <v/>
      </c>
      <c r="J714" s="12" t="str">
        <f>IF(TOTALCO!J1243="", "",TOTALCO!J1243)</f>
        <v/>
      </c>
      <c r="K714" s="12" t="str">
        <f>IF(TOTALCO!K1243="", "",TOTALCO!K1243)</f>
        <v/>
      </c>
      <c r="L714" s="12" t="str">
        <f>IF(TOTALCO!L1243="", "",TOTALCO!L1243)</f>
        <v/>
      </c>
      <c r="M714" s="12" t="str">
        <f>IF(TOTALCO!M1243="", "",TOTALCO!M1243)</f>
        <v/>
      </c>
      <c r="N714" s="12" t="str">
        <f>IF(TOTALCO!N1243="", "",TOTALCO!N1243)</f>
        <v/>
      </c>
      <c r="O714" s="12" t="str">
        <f>IF(TOTALCO!O1243="", "",TOTALCO!O1243)</f>
        <v/>
      </c>
      <c r="P714" s="12" t="str">
        <f>IF(TOTALCO!P1243="", "",TOTALCO!P1243)</f>
        <v/>
      </c>
      <c r="Q714" s="12"/>
      <c r="R714" s="13"/>
    </row>
    <row r="715" spans="1:18" ht="15" x14ac:dyDescent="0.2">
      <c r="A715" s="382" t="str">
        <f>IF(TOTALCO!A1244="", "",TOTALCO!A1244)</f>
        <v/>
      </c>
      <c r="B715" s="4" t="str">
        <f>IF(TOTALCO!B1244="", "",TOTALCO!B1244)</f>
        <v/>
      </c>
      <c r="C715" s="4" t="str">
        <f>IF(TOTALCO!C1244="", "",TOTALCO!C1244)</f>
        <v/>
      </c>
      <c r="D715" s="12" t="str">
        <f>IF(TOTALCO!D1244="", "",TOTALCO!D1244)</f>
        <v/>
      </c>
      <c r="E715" s="12" t="str">
        <f>IF(TOTALCO!E1244="", "",TOTALCO!E1244)</f>
        <v/>
      </c>
      <c r="F715" s="12" t="str">
        <f>IF(TOTALCO!F1244="", "",TOTALCO!F1244)</f>
        <v/>
      </c>
      <c r="G715" s="12" t="str">
        <f>IF(TOTALCO!G1244="", "",TOTALCO!G1244)</f>
        <v/>
      </c>
      <c r="H715" s="12" t="str">
        <f>IF(TOTALCO!H1244="", "",TOTALCO!H1244)</f>
        <v/>
      </c>
      <c r="I715" s="12" t="str">
        <f>IF(TOTALCO!I1244="", "",TOTALCO!I1244)</f>
        <v/>
      </c>
      <c r="J715" s="12" t="str">
        <f>IF(TOTALCO!J1244="", "",TOTALCO!J1244)</f>
        <v/>
      </c>
      <c r="K715" s="12" t="str">
        <f>IF(TOTALCO!K1244="", "",TOTALCO!K1244)</f>
        <v/>
      </c>
      <c r="L715" s="12" t="str">
        <f>IF(TOTALCO!L1244="", "",TOTALCO!L1244)</f>
        <v/>
      </c>
      <c r="M715" s="12" t="str">
        <f>IF(TOTALCO!M1244="", "",TOTALCO!M1244)</f>
        <v/>
      </c>
      <c r="N715" s="12" t="str">
        <f>IF(TOTALCO!N1244="", "",TOTALCO!N1244)</f>
        <v/>
      </c>
      <c r="O715" s="12" t="str">
        <f>IF(TOTALCO!O1244="", "",TOTALCO!O1244)</f>
        <v/>
      </c>
      <c r="P715" s="12" t="str">
        <f>IF(TOTALCO!P1244="", "",TOTALCO!P1244)</f>
        <v/>
      </c>
      <c r="Q715" s="12"/>
      <c r="R715" s="13"/>
    </row>
    <row r="716" spans="1:18" ht="15" x14ac:dyDescent="0.2">
      <c r="A716" s="382" t="str">
        <f>IF(TOTALCO!A1245="", "",TOTALCO!A1245)</f>
        <v/>
      </c>
      <c r="B716" s="4" t="str">
        <f>IF(TOTALCO!B1245="", "",TOTALCO!B1245)</f>
        <v/>
      </c>
      <c r="C716" s="4" t="str">
        <f>IF(TOTALCO!C1245="", "",TOTALCO!C1245)</f>
        <v/>
      </c>
      <c r="D716" s="12" t="str">
        <f>IF(TOTALCO!D1245="", "",TOTALCO!D1245)</f>
        <v/>
      </c>
      <c r="E716" s="12" t="str">
        <f>IF(TOTALCO!E1245="", "",TOTALCO!E1245)</f>
        <v/>
      </c>
      <c r="F716" s="12" t="str">
        <f>IF(TOTALCO!F1245="", "",TOTALCO!F1245)</f>
        <v/>
      </c>
      <c r="G716" s="12" t="str">
        <f>IF(TOTALCO!G1245="", "",TOTALCO!G1245)</f>
        <v/>
      </c>
      <c r="H716" s="12" t="str">
        <f>IF(TOTALCO!H1245="", "",TOTALCO!H1245)</f>
        <v/>
      </c>
      <c r="I716" s="12" t="str">
        <f>IF(TOTALCO!I1245="", "",TOTALCO!I1245)</f>
        <v/>
      </c>
      <c r="J716" s="12" t="str">
        <f>IF(TOTALCO!J1245="", "",TOTALCO!J1245)</f>
        <v/>
      </c>
      <c r="K716" s="12" t="str">
        <f>IF(TOTALCO!K1245="", "",TOTALCO!K1245)</f>
        <v/>
      </c>
      <c r="L716" s="12" t="str">
        <f>IF(TOTALCO!L1245="", "",TOTALCO!L1245)</f>
        <v/>
      </c>
      <c r="M716" s="12" t="str">
        <f>IF(TOTALCO!M1245="", "",TOTALCO!M1245)</f>
        <v/>
      </c>
      <c r="N716" s="12" t="str">
        <f>IF(TOTALCO!N1245="", "",TOTALCO!N1245)</f>
        <v/>
      </c>
      <c r="O716" s="12" t="str">
        <f>IF(TOTALCO!O1245="", "",TOTALCO!O1245)</f>
        <v/>
      </c>
      <c r="P716" s="12" t="str">
        <f>IF(TOTALCO!P1245="", "",TOTALCO!P1245)</f>
        <v/>
      </c>
      <c r="Q716" s="12"/>
      <c r="R716" s="13"/>
    </row>
    <row r="717" spans="1:18" ht="15" x14ac:dyDescent="0.2">
      <c r="A717" s="382" t="str">
        <f>IF(TOTALCO!A1246="", "",TOTALCO!A1246)</f>
        <v/>
      </c>
      <c r="B717" s="4" t="str">
        <f>IF(TOTALCO!B1246="", "",TOTALCO!B1246)</f>
        <v/>
      </c>
      <c r="C717" s="4" t="str">
        <f>IF(TOTALCO!C1246="", "",TOTALCO!C1246)</f>
        <v/>
      </c>
      <c r="D717" s="12" t="str">
        <f>IF(TOTALCO!D1246="", "",TOTALCO!D1246)</f>
        <v/>
      </c>
      <c r="E717" s="12" t="str">
        <f>IF(TOTALCO!E1246="", "",TOTALCO!E1246)</f>
        <v/>
      </c>
      <c r="F717" s="12" t="str">
        <f>IF(TOTALCO!F1246="", "",TOTALCO!F1246)</f>
        <v/>
      </c>
      <c r="G717" s="12" t="str">
        <f>IF(TOTALCO!G1246="", "",TOTALCO!G1246)</f>
        <v/>
      </c>
      <c r="H717" s="12" t="str">
        <f>IF(TOTALCO!H1246="", "",TOTALCO!H1246)</f>
        <v/>
      </c>
      <c r="I717" s="12" t="str">
        <f>IF(TOTALCO!I1246="", "",TOTALCO!I1246)</f>
        <v/>
      </c>
      <c r="J717" s="12" t="str">
        <f>IF(TOTALCO!J1246="", "",TOTALCO!J1246)</f>
        <v/>
      </c>
      <c r="K717" s="12" t="str">
        <f>IF(TOTALCO!K1246="", "",TOTALCO!K1246)</f>
        <v/>
      </c>
      <c r="L717" s="12" t="str">
        <f>IF(TOTALCO!L1246="", "",TOTALCO!L1246)</f>
        <v/>
      </c>
      <c r="M717" s="12" t="str">
        <f>IF(TOTALCO!M1246="", "",TOTALCO!M1246)</f>
        <v/>
      </c>
      <c r="N717" s="12" t="str">
        <f>IF(TOTALCO!N1246="", "",TOTALCO!N1246)</f>
        <v/>
      </c>
      <c r="O717" s="12" t="str">
        <f>IF(TOTALCO!O1246="", "",TOTALCO!O1246)</f>
        <v/>
      </c>
      <c r="P717" s="12" t="str">
        <f>IF(TOTALCO!P1246="", "",TOTALCO!P1246)</f>
        <v/>
      </c>
      <c r="Q717" s="12"/>
      <c r="R717" s="13"/>
    </row>
    <row r="718" spans="1:18" ht="15" x14ac:dyDescent="0.2">
      <c r="A718" s="382" t="str">
        <f>IF(TOTALCO!A1247="", "",TOTALCO!A1247)</f>
        <v/>
      </c>
      <c r="B718" s="4" t="str">
        <f>IF(TOTALCO!B1247="", "",TOTALCO!B1247)</f>
        <v/>
      </c>
      <c r="C718" s="4" t="str">
        <f>IF(TOTALCO!C1247="", "",TOTALCO!C1247)</f>
        <v/>
      </c>
      <c r="D718" s="12" t="str">
        <f>IF(TOTALCO!D1247="", "",TOTALCO!D1247)</f>
        <v/>
      </c>
      <c r="E718" s="12" t="str">
        <f>IF(TOTALCO!E1247="", "",TOTALCO!E1247)</f>
        <v/>
      </c>
      <c r="F718" s="12" t="str">
        <f>IF(TOTALCO!F1247="", "",TOTALCO!F1247)</f>
        <v/>
      </c>
      <c r="G718" s="12" t="str">
        <f>IF(TOTALCO!G1247="", "",TOTALCO!G1247)</f>
        <v/>
      </c>
      <c r="H718" s="12" t="str">
        <f>IF(TOTALCO!H1247="", "",TOTALCO!H1247)</f>
        <v/>
      </c>
      <c r="I718" s="12" t="str">
        <f>IF(TOTALCO!I1247="", "",TOTALCO!I1247)</f>
        <v/>
      </c>
      <c r="J718" s="12" t="str">
        <f>IF(TOTALCO!J1247="", "",TOTALCO!J1247)</f>
        <v/>
      </c>
      <c r="K718" s="12" t="str">
        <f>IF(TOTALCO!K1247="", "",TOTALCO!K1247)</f>
        <v/>
      </c>
      <c r="L718" s="12" t="str">
        <f>IF(TOTALCO!L1247="", "",TOTALCO!L1247)</f>
        <v/>
      </c>
      <c r="M718" s="12" t="str">
        <f>IF(TOTALCO!M1247="", "",TOTALCO!M1247)</f>
        <v/>
      </c>
      <c r="N718" s="12" t="str">
        <f>IF(TOTALCO!N1247="", "",TOTALCO!N1247)</f>
        <v/>
      </c>
      <c r="O718" s="12" t="str">
        <f>IF(TOTALCO!O1247="", "",TOTALCO!O1247)</f>
        <v/>
      </c>
      <c r="P718" s="12" t="str">
        <f>IF(TOTALCO!P1247="", "",TOTALCO!P1247)</f>
        <v/>
      </c>
      <c r="Q718" s="12"/>
      <c r="R718" s="13"/>
    </row>
    <row r="719" spans="1:18" ht="15" x14ac:dyDescent="0.2">
      <c r="A719" s="382" t="str">
        <f>IF(TOTALCO!A1248="", "",TOTALCO!A1248)</f>
        <v/>
      </c>
      <c r="B719" s="4" t="str">
        <f>IF(TOTALCO!B1248="", "",TOTALCO!B1248)</f>
        <v/>
      </c>
      <c r="C719" s="4" t="str">
        <f>IF(TOTALCO!C1248="", "",TOTALCO!C1248)</f>
        <v/>
      </c>
      <c r="D719" s="12" t="str">
        <f>IF(TOTALCO!D1248="", "",TOTALCO!D1248)</f>
        <v/>
      </c>
      <c r="E719" s="12" t="str">
        <f>IF(TOTALCO!E1248="", "",TOTALCO!E1248)</f>
        <v/>
      </c>
      <c r="F719" s="12" t="str">
        <f>IF(TOTALCO!F1248="", "",TOTALCO!F1248)</f>
        <v/>
      </c>
      <c r="G719" s="12" t="str">
        <f>IF(TOTALCO!G1248="", "",TOTALCO!G1248)</f>
        <v/>
      </c>
      <c r="H719" s="12" t="str">
        <f>IF(TOTALCO!H1248="", "",TOTALCO!H1248)</f>
        <v/>
      </c>
      <c r="I719" s="12" t="str">
        <f>IF(TOTALCO!I1248="", "",TOTALCO!I1248)</f>
        <v/>
      </c>
      <c r="J719" s="12" t="str">
        <f>IF(TOTALCO!J1248="", "",TOTALCO!J1248)</f>
        <v/>
      </c>
      <c r="K719" s="12" t="str">
        <f>IF(TOTALCO!K1248="", "",TOTALCO!K1248)</f>
        <v/>
      </c>
      <c r="L719" s="12" t="str">
        <f>IF(TOTALCO!L1248="", "",TOTALCO!L1248)</f>
        <v/>
      </c>
      <c r="M719" s="12" t="str">
        <f>IF(TOTALCO!M1248="", "",TOTALCO!M1248)</f>
        <v/>
      </c>
      <c r="N719" s="12" t="str">
        <f>IF(TOTALCO!N1248="", "",TOTALCO!N1248)</f>
        <v/>
      </c>
      <c r="O719" s="12" t="str">
        <f>IF(TOTALCO!O1248="", "",TOTALCO!O1248)</f>
        <v/>
      </c>
      <c r="P719" s="12" t="str">
        <f>IF(TOTALCO!P1248="", "",TOTALCO!P1248)</f>
        <v/>
      </c>
      <c r="Q719" s="12"/>
      <c r="R719" s="13"/>
    </row>
    <row r="720" spans="1:18" ht="15" x14ac:dyDescent="0.2">
      <c r="A720" s="382" t="str">
        <f>IF(TOTALCO!A1249="", "",TOTALCO!A1249)</f>
        <v/>
      </c>
      <c r="B720" s="4" t="str">
        <f>IF(TOTALCO!B1249="", "",TOTALCO!B1249)</f>
        <v/>
      </c>
      <c r="C720" s="4" t="str">
        <f>IF(TOTALCO!C1249="", "",TOTALCO!C1249)</f>
        <v/>
      </c>
      <c r="D720" s="12" t="str">
        <f>IF(TOTALCO!D1249="", "",TOTALCO!D1249)</f>
        <v/>
      </c>
      <c r="E720" s="12" t="str">
        <f>IF(TOTALCO!E1249="", "",TOTALCO!E1249)</f>
        <v/>
      </c>
      <c r="F720" s="12" t="str">
        <f>IF(TOTALCO!F1249="", "",TOTALCO!F1249)</f>
        <v/>
      </c>
      <c r="G720" s="12" t="str">
        <f>IF(TOTALCO!G1249="", "",TOTALCO!G1249)</f>
        <v/>
      </c>
      <c r="H720" s="12" t="str">
        <f>IF(TOTALCO!H1249="", "",TOTALCO!H1249)</f>
        <v/>
      </c>
      <c r="I720" s="12" t="str">
        <f>IF(TOTALCO!I1249="", "",TOTALCO!I1249)</f>
        <v/>
      </c>
      <c r="J720" s="12" t="str">
        <f>IF(TOTALCO!J1249="", "",TOTALCO!J1249)</f>
        <v/>
      </c>
      <c r="K720" s="12" t="str">
        <f>IF(TOTALCO!K1249="", "",TOTALCO!K1249)</f>
        <v/>
      </c>
      <c r="L720" s="12" t="str">
        <f>IF(TOTALCO!L1249="", "",TOTALCO!L1249)</f>
        <v/>
      </c>
      <c r="M720" s="12" t="str">
        <f>IF(TOTALCO!M1249="", "",TOTALCO!M1249)</f>
        <v/>
      </c>
      <c r="N720" s="12" t="str">
        <f>IF(TOTALCO!N1249="", "",TOTALCO!N1249)</f>
        <v/>
      </c>
      <c r="O720" s="12" t="str">
        <f>IF(TOTALCO!O1249="", "",TOTALCO!O1249)</f>
        <v/>
      </c>
      <c r="P720" s="12" t="str">
        <f>IF(TOTALCO!P1249="", "",TOTALCO!P1249)</f>
        <v/>
      </c>
      <c r="Q720" s="12"/>
      <c r="R720" s="13"/>
    </row>
    <row r="721" spans="1:18" ht="15" x14ac:dyDescent="0.2">
      <c r="A721" s="382" t="str">
        <f>IF(TOTALCO!A1250="", "",TOTALCO!A1250)</f>
        <v/>
      </c>
      <c r="B721" s="4" t="str">
        <f>IF(TOTALCO!B1250="", "",TOTALCO!B1250)</f>
        <v>INCOME TAXES</v>
      </c>
      <c r="C721" s="4" t="str">
        <f>IF(TOTALCO!C1250="", "",TOTALCO!C1250)</f>
        <v/>
      </c>
      <c r="D721" s="12" t="str">
        <f>IF(TOTALCO!D1250="", "",TOTALCO!D1250)</f>
        <v/>
      </c>
      <c r="E721" s="12" t="str">
        <f>IF(TOTALCO!E1250="", "",TOTALCO!E1250)</f>
        <v/>
      </c>
      <c r="F721" s="12" t="str">
        <f>IF(TOTALCO!F1250="", "",TOTALCO!F1250)</f>
        <v/>
      </c>
      <c r="G721" s="12" t="str">
        <f>IF(TOTALCO!G1250="", "",TOTALCO!G1250)</f>
        <v/>
      </c>
      <c r="H721" s="12" t="str">
        <f>IF(TOTALCO!H1250="", "",TOTALCO!H1250)</f>
        <v/>
      </c>
      <c r="I721" s="12" t="str">
        <f>IF(TOTALCO!I1250="", "",TOTALCO!I1250)</f>
        <v/>
      </c>
      <c r="J721" s="12" t="str">
        <f>IF(TOTALCO!J1250="", "",TOTALCO!J1250)</f>
        <v/>
      </c>
      <c r="K721" s="12" t="str">
        <f>IF(TOTALCO!K1250="", "",TOTALCO!K1250)</f>
        <v/>
      </c>
      <c r="L721" s="12" t="str">
        <f>IF(TOTALCO!L1250="", "",TOTALCO!L1250)</f>
        <v/>
      </c>
      <c r="M721" s="12" t="str">
        <f>IF(TOTALCO!M1250="", "",TOTALCO!M1250)</f>
        <v/>
      </c>
      <c r="N721" s="12" t="str">
        <f>IF(TOTALCO!N1250="", "",TOTALCO!N1250)</f>
        <v/>
      </c>
      <c r="O721" s="12" t="str">
        <f>IF(TOTALCO!O1250="", "",TOTALCO!O1250)</f>
        <v/>
      </c>
      <c r="P721" s="12" t="str">
        <f>IF(TOTALCO!P1250="", "",TOTALCO!P1250)</f>
        <v/>
      </c>
      <c r="Q721" s="12"/>
      <c r="R721" s="13"/>
    </row>
    <row r="722" spans="1:18" ht="15" x14ac:dyDescent="0.2">
      <c r="A722" s="382" t="str">
        <f>IF(TOTALCO!A1251="", "",TOTALCO!A1251)</f>
        <v/>
      </c>
      <c r="B722" s="4" t="str">
        <f>IF(TOTALCO!B1251="", "",TOTALCO!B1251)</f>
        <v/>
      </c>
      <c r="C722" s="4" t="str">
        <f>IF(TOTALCO!C1251="", "",TOTALCO!C1251)</f>
        <v/>
      </c>
      <c r="D722" s="12" t="str">
        <f>IF(TOTALCO!D1251="", "",TOTALCO!D1251)</f>
        <v/>
      </c>
      <c r="E722" s="12" t="str">
        <f>IF(TOTALCO!E1251="", "",TOTALCO!E1251)</f>
        <v/>
      </c>
      <c r="F722" s="12" t="str">
        <f>IF(TOTALCO!F1251="", "",TOTALCO!F1251)</f>
        <v/>
      </c>
      <c r="G722" s="12" t="str">
        <f>IF(TOTALCO!G1251="", "",TOTALCO!G1251)</f>
        <v/>
      </c>
      <c r="H722" s="12" t="str">
        <f>IF(TOTALCO!H1251="", "",TOTALCO!H1251)</f>
        <v/>
      </c>
      <c r="I722" s="12" t="str">
        <f>IF(TOTALCO!I1251="", "",TOTALCO!I1251)</f>
        <v/>
      </c>
      <c r="J722" s="12" t="str">
        <f>IF(TOTALCO!J1251="", "",TOTALCO!J1251)</f>
        <v/>
      </c>
      <c r="K722" s="12" t="str">
        <f>IF(TOTALCO!K1251="", "",TOTALCO!K1251)</f>
        <v/>
      </c>
      <c r="L722" s="12" t="str">
        <f>IF(TOTALCO!L1251="", "",TOTALCO!L1251)</f>
        <v/>
      </c>
      <c r="M722" s="12" t="str">
        <f>IF(TOTALCO!M1251="", "",TOTALCO!M1251)</f>
        <v/>
      </c>
      <c r="N722" s="12" t="str">
        <f>IF(TOTALCO!N1251="", "",TOTALCO!N1251)</f>
        <v/>
      </c>
      <c r="O722" s="12" t="str">
        <f>IF(TOTALCO!O1251="", "",TOTALCO!O1251)</f>
        <v/>
      </c>
      <c r="P722" s="12" t="str">
        <f>IF(TOTALCO!P1251="", "",TOTALCO!P1251)</f>
        <v/>
      </c>
      <c r="Q722" s="12"/>
      <c r="R722" s="13"/>
    </row>
    <row r="723" spans="1:18" ht="15" x14ac:dyDescent="0.2">
      <c r="A723" s="382">
        <f>IF(TOTALCO!A1252="", "",TOTALCO!A1252)</f>
        <v>1</v>
      </c>
      <c r="B723" s="4" t="str">
        <f>IF(TOTALCO!B1252="", "",TOTALCO!B1252)</f>
        <v>OPERATING INC BEFORE INC TAXES</v>
      </c>
      <c r="C723" s="4" t="str">
        <f>IF(TOTALCO!C1252="", "",TOTALCO!C1252)</f>
        <v/>
      </c>
      <c r="D723" s="12">
        <f ca="1">IF(TOTALCO!D1252="", "",TOTALCO!D1252)</f>
        <v>322916383</v>
      </c>
      <c r="E723" s="12" t="str">
        <f>IF(TOTALCO!E1252="", "",TOTALCO!E1252)</f>
        <v/>
      </c>
      <c r="F723" s="12">
        <f ca="1">IF(TOTALCO!F1252="", "",TOTALCO!F1252)</f>
        <v>292408257.49282849</v>
      </c>
      <c r="G723" s="12" t="str">
        <f>IF(TOTALCO!G1252="", "",TOTALCO!G1252)</f>
        <v/>
      </c>
      <c r="H723" s="12">
        <f ca="1">IF(TOTALCO!H1252="", "",TOTALCO!H1252)</f>
        <v>14743215.97138834</v>
      </c>
      <c r="I723" s="12">
        <f ca="1">IF(TOTALCO!I1252="", "",TOTALCO!I1252)</f>
        <v>15764909.135783214</v>
      </c>
      <c r="J723" s="12" t="str">
        <f>IF(TOTALCO!J1252="", "",TOTALCO!J1252)</f>
        <v/>
      </c>
      <c r="K723" s="12" t="str">
        <f>IF(TOTALCO!K1252="", "",TOTALCO!K1252)</f>
        <v/>
      </c>
      <c r="L723" s="12">
        <f ca="1">IF(TOTALCO!L1252="", "",TOTALCO!L1252)</f>
        <v>-11805.596104313612</v>
      </c>
      <c r="M723" s="12" t="str">
        <f>IF(TOTALCO!M1252="", "",TOTALCO!M1252)</f>
        <v/>
      </c>
      <c r="N723" s="12">
        <f ca="1">IF(TOTALCO!N1252="", "",TOTALCO!N1252)</f>
        <v>15776714.731887527</v>
      </c>
      <c r="O723" s="12">
        <f ca="1">IF(TOTALCO!O1252="", "",TOTALCO!O1252)</f>
        <v>5051969.7762059718</v>
      </c>
      <c r="P723" s="12">
        <f ca="1">IF(TOTALCO!P1252="", "",TOTALCO!P1252)</f>
        <v>10724744.955681555</v>
      </c>
      <c r="Q723" s="12"/>
      <c r="R723" s="13"/>
    </row>
    <row r="724" spans="1:18" ht="15" x14ac:dyDescent="0.2">
      <c r="A724" s="382" t="str">
        <f>IF(TOTALCO!A1253="", "",TOTALCO!A1253)</f>
        <v/>
      </c>
      <c r="B724" s="4" t="str">
        <f>IF(TOTALCO!B1253="", "",TOTALCO!B1253)</f>
        <v/>
      </c>
      <c r="C724" s="4" t="str">
        <f>IF(TOTALCO!C1253="", "",TOTALCO!C1253)</f>
        <v/>
      </c>
      <c r="D724" s="12" t="str">
        <f>IF(TOTALCO!D1253="", "",TOTALCO!D1253)</f>
        <v/>
      </c>
      <c r="E724" s="12" t="str">
        <f>IF(TOTALCO!E1253="", "",TOTALCO!E1253)</f>
        <v/>
      </c>
      <c r="F724" s="12" t="str">
        <f>IF(TOTALCO!F1253="", "",TOTALCO!F1253)</f>
        <v/>
      </c>
      <c r="G724" s="12" t="str">
        <f>IF(TOTALCO!G1253="", "",TOTALCO!G1253)</f>
        <v/>
      </c>
      <c r="H724" s="12" t="str">
        <f>IF(TOTALCO!H1253="", "",TOTALCO!H1253)</f>
        <v/>
      </c>
      <c r="I724" s="12" t="str">
        <f>IF(TOTALCO!I1253="", "",TOTALCO!I1253)</f>
        <v/>
      </c>
      <c r="J724" s="12" t="str">
        <f>IF(TOTALCO!J1253="", "",TOTALCO!J1253)</f>
        <v/>
      </c>
      <c r="K724" s="12" t="str">
        <f>IF(TOTALCO!K1253="", "",TOTALCO!K1253)</f>
        <v/>
      </c>
      <c r="L724" s="12" t="str">
        <f>IF(TOTALCO!L1253="", "",TOTALCO!L1253)</f>
        <v/>
      </c>
      <c r="M724" s="12" t="str">
        <f>IF(TOTALCO!M1253="", "",TOTALCO!M1253)</f>
        <v/>
      </c>
      <c r="N724" s="12" t="str">
        <f>IF(TOTALCO!N1253="", "",TOTALCO!N1253)</f>
        <v/>
      </c>
      <c r="O724" s="12" t="str">
        <f>IF(TOTALCO!O1253="", "",TOTALCO!O1253)</f>
        <v/>
      </c>
      <c r="P724" s="12" t="str">
        <f>IF(TOTALCO!P1253="", "",TOTALCO!P1253)</f>
        <v/>
      </c>
      <c r="Q724" s="12"/>
      <c r="R724" s="13"/>
    </row>
    <row r="725" spans="1:18" ht="15" x14ac:dyDescent="0.2">
      <c r="A725" s="382" t="str">
        <f>IF(TOTALCO!A1254="", "",TOTALCO!A1254)</f>
        <v/>
      </c>
      <c r="B725" s="4" t="str">
        <f>IF(TOTALCO!B1254="", "",TOTALCO!B1254)</f>
        <v>DEVELOPMENT OF FED INC TAX</v>
      </c>
      <c r="C725" s="4" t="str">
        <f>IF(TOTALCO!C1254="", "",TOTALCO!C1254)</f>
        <v/>
      </c>
      <c r="D725" s="12" t="str">
        <f>IF(TOTALCO!D1254="", "",TOTALCO!D1254)</f>
        <v/>
      </c>
      <c r="E725" s="12" t="str">
        <f>IF(TOTALCO!E1254="", "",TOTALCO!E1254)</f>
        <v/>
      </c>
      <c r="F725" s="12" t="str">
        <f>IF(TOTALCO!F1254="", "",TOTALCO!F1254)</f>
        <v/>
      </c>
      <c r="G725" s="12" t="str">
        <f>IF(TOTALCO!G1254="", "",TOTALCO!G1254)</f>
        <v/>
      </c>
      <c r="H725" s="12" t="str">
        <f>IF(TOTALCO!H1254="", "",TOTALCO!H1254)</f>
        <v/>
      </c>
      <c r="I725" s="12" t="str">
        <f>IF(TOTALCO!I1254="", "",TOTALCO!I1254)</f>
        <v/>
      </c>
      <c r="J725" s="12" t="str">
        <f>IF(TOTALCO!J1254="", "",TOTALCO!J1254)</f>
        <v/>
      </c>
      <c r="K725" s="12" t="str">
        <f>IF(TOTALCO!K1254="", "",TOTALCO!K1254)</f>
        <v/>
      </c>
      <c r="L725" s="12" t="str">
        <f>IF(TOTALCO!L1254="", "",TOTALCO!L1254)</f>
        <v/>
      </c>
      <c r="M725" s="12" t="str">
        <f>IF(TOTALCO!M1254="", "",TOTALCO!M1254)</f>
        <v/>
      </c>
      <c r="N725" s="12" t="str">
        <f>IF(TOTALCO!N1254="", "",TOTALCO!N1254)</f>
        <v/>
      </c>
      <c r="O725" s="12" t="str">
        <f>IF(TOTALCO!O1254="", "",TOTALCO!O1254)</f>
        <v/>
      </c>
      <c r="P725" s="12" t="str">
        <f>IF(TOTALCO!P1254="", "",TOTALCO!P1254)</f>
        <v/>
      </c>
      <c r="Q725" s="12"/>
      <c r="R725" s="13"/>
    </row>
    <row r="726" spans="1:18" ht="15" x14ac:dyDescent="0.2">
      <c r="A726" s="382" t="str">
        <f>IF(TOTALCO!A1255="", "",TOTALCO!A1255)</f>
        <v/>
      </c>
      <c r="B726" s="4" t="str">
        <f>IF(TOTALCO!B1255="", "",TOTALCO!B1255)</f>
        <v xml:space="preserve"> ADDITIONS TO INCOME</v>
      </c>
      <c r="C726" s="4" t="str">
        <f>IF(TOTALCO!C1255="", "",TOTALCO!C1255)</f>
        <v/>
      </c>
      <c r="D726" s="12" t="str">
        <f>IF(TOTALCO!D1255="", "",TOTALCO!D1255)</f>
        <v/>
      </c>
      <c r="E726" s="12" t="str">
        <f>IF(TOTALCO!E1255="", "",TOTALCO!E1255)</f>
        <v/>
      </c>
      <c r="F726" s="12" t="str">
        <f>IF(TOTALCO!F1255="", "",TOTALCO!F1255)</f>
        <v/>
      </c>
      <c r="G726" s="12" t="str">
        <f>IF(TOTALCO!G1255="", "",TOTALCO!G1255)</f>
        <v/>
      </c>
      <c r="H726" s="12" t="str">
        <f>IF(TOTALCO!H1255="", "",TOTALCO!H1255)</f>
        <v/>
      </c>
      <c r="I726" s="12" t="str">
        <f>IF(TOTALCO!I1255="", "",TOTALCO!I1255)</f>
        <v/>
      </c>
      <c r="J726" s="12" t="str">
        <f>IF(TOTALCO!J1255="", "",TOTALCO!J1255)</f>
        <v/>
      </c>
      <c r="K726" s="12" t="str">
        <f>IF(TOTALCO!K1255="", "",TOTALCO!K1255)</f>
        <v/>
      </c>
      <c r="L726" s="12" t="str">
        <f>IF(TOTALCO!L1255="", "",TOTALCO!L1255)</f>
        <v/>
      </c>
      <c r="M726" s="12" t="str">
        <f>IF(TOTALCO!M1255="", "",TOTALCO!M1255)</f>
        <v/>
      </c>
      <c r="N726" s="12" t="str">
        <f>IF(TOTALCO!N1255="", "",TOTALCO!N1255)</f>
        <v/>
      </c>
      <c r="O726" s="12" t="str">
        <f>IF(TOTALCO!O1255="", "",TOTALCO!O1255)</f>
        <v/>
      </c>
      <c r="P726" s="12" t="str">
        <f>IF(TOTALCO!P1255="", "",TOTALCO!P1255)</f>
        <v/>
      </c>
      <c r="Q726" s="12"/>
      <c r="R726" s="13"/>
    </row>
    <row r="727" spans="1:18" ht="15" x14ac:dyDescent="0.2">
      <c r="A727" s="382">
        <f>IF(TOTALCO!A1256="", "",TOTALCO!A1256)</f>
        <v>2</v>
      </c>
      <c r="B727" s="4" t="str">
        <f>IF(TOTALCO!B1256="", "",TOTALCO!B1256)</f>
        <v/>
      </c>
      <c r="C727" s="4" t="str">
        <f>IF(TOTALCO!C1256="", "",TOTALCO!C1256)</f>
        <v/>
      </c>
      <c r="D727" s="12" t="str">
        <f>IF(TOTALCO!D1256="", "",TOTALCO!D1256)</f>
        <v/>
      </c>
      <c r="E727" s="12" t="str">
        <f>IF(TOTALCO!E1256="", "",TOTALCO!E1256)</f>
        <v/>
      </c>
      <c r="F727" s="12" t="str">
        <f>IF(TOTALCO!F1256="", "",TOTALCO!F1256)</f>
        <v/>
      </c>
      <c r="G727" s="12" t="str">
        <f>IF(TOTALCO!G1256="", "",TOTALCO!G1256)</f>
        <v/>
      </c>
      <c r="H727" s="12" t="str">
        <f>IF(TOTALCO!H1256="", "",TOTALCO!H1256)</f>
        <v/>
      </c>
      <c r="I727" s="12" t="str">
        <f>IF(TOTALCO!I1256="", "",TOTALCO!I1256)</f>
        <v/>
      </c>
      <c r="J727" s="12" t="str">
        <f>IF(TOTALCO!J1256="", "",TOTALCO!J1256)</f>
        <v/>
      </c>
      <c r="K727" s="12" t="str">
        <f>IF(TOTALCO!K1256="", "",TOTALCO!K1256)</f>
        <v/>
      </c>
      <c r="L727" s="12" t="str">
        <f>IF(TOTALCO!L1256="", "",TOTALCO!L1256)</f>
        <v/>
      </c>
      <c r="M727" s="12" t="str">
        <f>IF(TOTALCO!M1256="", "",TOTALCO!M1256)</f>
        <v/>
      </c>
      <c r="N727" s="12" t="str">
        <f>IF(TOTALCO!N1256="", "",TOTALCO!N1256)</f>
        <v/>
      </c>
      <c r="O727" s="12" t="str">
        <f>IF(TOTALCO!O1256="", "",TOTALCO!O1256)</f>
        <v/>
      </c>
      <c r="P727" s="12" t="str">
        <f>IF(TOTALCO!P1256="", "",TOTALCO!P1256)</f>
        <v/>
      </c>
      <c r="Q727" s="12"/>
      <c r="R727" s="13"/>
    </row>
    <row r="728" spans="1:18" ht="15" x14ac:dyDescent="0.2">
      <c r="A728" s="382">
        <f>IF(TOTALCO!A1257="", "",TOTALCO!A1257)</f>
        <v>3</v>
      </c>
      <c r="B728" s="4" t="str">
        <f>IF(TOTALCO!B1257="", "",TOTALCO!B1257)</f>
        <v/>
      </c>
      <c r="C728" s="4" t="str">
        <f>IF(TOTALCO!C1257="", "",TOTALCO!C1257)</f>
        <v/>
      </c>
      <c r="D728" s="12" t="str">
        <f>IF(TOTALCO!D1257="", "",TOTALCO!D1257)</f>
        <v/>
      </c>
      <c r="E728" s="12" t="str">
        <f>IF(TOTALCO!E1257="", "",TOTALCO!E1257)</f>
        <v/>
      </c>
      <c r="F728" s="12" t="str">
        <f>IF(TOTALCO!F1257="", "",TOTALCO!F1257)</f>
        <v/>
      </c>
      <c r="G728" s="12" t="str">
        <f>IF(TOTALCO!G1257="", "",TOTALCO!G1257)</f>
        <v/>
      </c>
      <c r="H728" s="12" t="str">
        <f>IF(TOTALCO!H1257="", "",TOTALCO!H1257)</f>
        <v/>
      </c>
      <c r="I728" s="12" t="str">
        <f>IF(TOTALCO!I1257="", "",TOTALCO!I1257)</f>
        <v/>
      </c>
      <c r="J728" s="12" t="str">
        <f>IF(TOTALCO!J1257="", "",TOTALCO!J1257)</f>
        <v/>
      </c>
      <c r="K728" s="12" t="str">
        <f>IF(TOTALCO!K1257="", "",TOTALCO!K1257)</f>
        <v/>
      </c>
      <c r="L728" s="12" t="str">
        <f>IF(TOTALCO!L1257="", "",TOTALCO!L1257)</f>
        <v/>
      </c>
      <c r="M728" s="12" t="str">
        <f>IF(TOTALCO!M1257="", "",TOTALCO!M1257)</f>
        <v/>
      </c>
      <c r="N728" s="12" t="str">
        <f>IF(TOTALCO!N1257="", "",TOTALCO!N1257)</f>
        <v/>
      </c>
      <c r="O728" s="12" t="str">
        <f>IF(TOTALCO!O1257="", "",TOTALCO!O1257)</f>
        <v/>
      </c>
      <c r="P728" s="12" t="str">
        <f>IF(TOTALCO!P1257="", "",TOTALCO!P1257)</f>
        <v/>
      </c>
      <c r="Q728" s="12"/>
      <c r="R728" s="13"/>
    </row>
    <row r="729" spans="1:18" ht="15" x14ac:dyDescent="0.2">
      <c r="A729" s="382">
        <f>IF(TOTALCO!A1258="", "",TOTALCO!A1258)</f>
        <v>4</v>
      </c>
      <c r="B729" s="4" t="str">
        <f>IF(TOTALCO!B1258="", "",TOTALCO!B1258)</f>
        <v xml:space="preserve"> TOTAL ADDITIONS</v>
      </c>
      <c r="C729" s="4" t="str">
        <f>IF(TOTALCO!C1258="", "",TOTALCO!C1258)</f>
        <v/>
      </c>
      <c r="D729" s="12">
        <f>IF(TOTALCO!D1258="", "",TOTALCO!D1258)</f>
        <v>0</v>
      </c>
      <c r="E729" s="12" t="str">
        <f>IF(TOTALCO!E1258="", "",TOTALCO!E1258)</f>
        <v/>
      </c>
      <c r="F729" s="12">
        <f>IF(TOTALCO!F1258="", "",TOTALCO!F1258)</f>
        <v>0</v>
      </c>
      <c r="G729" s="12" t="str">
        <f>IF(TOTALCO!G1258="", "",TOTALCO!G1258)</f>
        <v/>
      </c>
      <c r="H729" s="12">
        <f>IF(TOTALCO!H1258="", "",TOTALCO!H1258)</f>
        <v>0</v>
      </c>
      <c r="I729" s="12">
        <f>IF(TOTALCO!I1258="", "",TOTALCO!I1258)</f>
        <v>0</v>
      </c>
      <c r="J729" s="12" t="str">
        <f>IF(TOTALCO!J1258="", "",TOTALCO!J1258)</f>
        <v/>
      </c>
      <c r="K729" s="12" t="str">
        <f>IF(TOTALCO!K1258="", "",TOTALCO!K1258)</f>
        <v/>
      </c>
      <c r="L729" s="12">
        <f>IF(TOTALCO!L1258="", "",TOTALCO!L1258)</f>
        <v>0</v>
      </c>
      <c r="M729" s="12" t="str">
        <f>IF(TOTALCO!M1258="", "",TOTALCO!M1258)</f>
        <v/>
      </c>
      <c r="N729" s="12">
        <f>IF(TOTALCO!N1258="", "",TOTALCO!N1258)</f>
        <v>0</v>
      </c>
      <c r="O729" s="12">
        <f>IF(TOTALCO!O1258="", "",TOTALCO!O1258)</f>
        <v>0</v>
      </c>
      <c r="P729" s="12">
        <f>IF(TOTALCO!P1258="", "",TOTALCO!P1258)</f>
        <v>0</v>
      </c>
      <c r="Q729" s="12"/>
      <c r="R729" s="13"/>
    </row>
    <row r="730" spans="1:18" ht="15" x14ac:dyDescent="0.2">
      <c r="A730" s="382" t="str">
        <f>IF(TOTALCO!A1259="", "",TOTALCO!A1259)</f>
        <v/>
      </c>
      <c r="B730" s="4" t="str">
        <f>IF(TOTALCO!B1259="", "",TOTALCO!B1259)</f>
        <v/>
      </c>
      <c r="C730" s="4" t="str">
        <f>IF(TOTALCO!C1259="", "",TOTALCO!C1259)</f>
        <v/>
      </c>
      <c r="D730" s="12" t="str">
        <f>IF(TOTALCO!D1259="", "",TOTALCO!D1259)</f>
        <v/>
      </c>
      <c r="E730" s="12" t="str">
        <f>IF(TOTALCO!E1259="", "",TOTALCO!E1259)</f>
        <v/>
      </c>
      <c r="F730" s="12" t="str">
        <f>IF(TOTALCO!F1259="", "",TOTALCO!F1259)</f>
        <v/>
      </c>
      <c r="G730" s="12" t="str">
        <f>IF(TOTALCO!G1259="", "",TOTALCO!G1259)</f>
        <v/>
      </c>
      <c r="H730" s="12" t="str">
        <f>IF(TOTALCO!H1259="", "",TOTALCO!H1259)</f>
        <v/>
      </c>
      <c r="I730" s="12" t="str">
        <f>IF(TOTALCO!I1259="", "",TOTALCO!I1259)</f>
        <v/>
      </c>
      <c r="J730" s="12" t="str">
        <f>IF(TOTALCO!J1259="", "",TOTALCO!J1259)</f>
        <v/>
      </c>
      <c r="K730" s="12" t="str">
        <f>IF(TOTALCO!K1259="", "",TOTALCO!K1259)</f>
        <v/>
      </c>
      <c r="L730" s="12" t="str">
        <f>IF(TOTALCO!L1259="", "",TOTALCO!L1259)</f>
        <v/>
      </c>
      <c r="M730" s="12" t="str">
        <f>IF(TOTALCO!M1259="", "",TOTALCO!M1259)</f>
        <v/>
      </c>
      <c r="N730" s="12" t="str">
        <f>IF(TOTALCO!N1259="", "",TOTALCO!N1259)</f>
        <v/>
      </c>
      <c r="O730" s="12" t="str">
        <f>IF(TOTALCO!O1259="", "",TOTALCO!O1259)</f>
        <v/>
      </c>
      <c r="P730" s="12" t="str">
        <f>IF(TOTALCO!P1259="", "",TOTALCO!P1259)</f>
        <v/>
      </c>
      <c r="Q730" s="12"/>
      <c r="R730" s="13"/>
    </row>
    <row r="731" spans="1:18" ht="15" x14ac:dyDescent="0.2">
      <c r="A731" s="382" t="str">
        <f>IF(TOTALCO!A1260="", "",TOTALCO!A1260)</f>
        <v/>
      </c>
      <c r="B731" s="4" t="str">
        <f>IF(TOTALCO!B1260="", "",TOTALCO!B1260)</f>
        <v xml:space="preserve"> DEDUCTIONS FROM INCOME</v>
      </c>
      <c r="C731" s="4" t="str">
        <f>IF(TOTALCO!C1260="", "",TOTALCO!C1260)</f>
        <v/>
      </c>
      <c r="D731" s="12" t="str">
        <f>IF(TOTALCO!D1260="", "",TOTALCO!D1260)</f>
        <v/>
      </c>
      <c r="E731" s="12" t="str">
        <f>IF(TOTALCO!E1260="", "",TOTALCO!E1260)</f>
        <v/>
      </c>
      <c r="F731" s="12" t="str">
        <f>IF(TOTALCO!F1260="", "",TOTALCO!F1260)</f>
        <v/>
      </c>
      <c r="G731" s="12" t="str">
        <f>IF(TOTALCO!G1260="", "",TOTALCO!G1260)</f>
        <v/>
      </c>
      <c r="H731" s="12" t="str">
        <f>IF(TOTALCO!H1260="", "",TOTALCO!H1260)</f>
        <v/>
      </c>
      <c r="I731" s="12" t="str">
        <f>IF(TOTALCO!I1260="", "",TOTALCO!I1260)</f>
        <v/>
      </c>
      <c r="J731" s="12" t="str">
        <f>IF(TOTALCO!J1260="", "",TOTALCO!J1260)</f>
        <v/>
      </c>
      <c r="K731" s="12" t="str">
        <f>IF(TOTALCO!K1260="", "",TOTALCO!K1260)</f>
        <v/>
      </c>
      <c r="L731" s="12" t="str">
        <f>IF(TOTALCO!L1260="", "",TOTALCO!L1260)</f>
        <v/>
      </c>
      <c r="M731" s="12" t="str">
        <f>IF(TOTALCO!M1260="", "",TOTALCO!M1260)</f>
        <v/>
      </c>
      <c r="N731" s="12" t="str">
        <f>IF(TOTALCO!N1260="", "",TOTALCO!N1260)</f>
        <v/>
      </c>
      <c r="O731" s="12" t="str">
        <f>IF(TOTALCO!O1260="", "",TOTALCO!O1260)</f>
        <v/>
      </c>
      <c r="P731" s="12" t="str">
        <f>IF(TOTALCO!P1260="", "",TOTALCO!P1260)</f>
        <v/>
      </c>
      <c r="Q731" s="12"/>
      <c r="R731" s="13"/>
    </row>
    <row r="732" spans="1:18" ht="15" x14ac:dyDescent="0.2">
      <c r="A732" s="382" t="str">
        <f>IF(TOTALCO!A1261="", "",TOTALCO!A1261)</f>
        <v/>
      </c>
      <c r="B732" s="4" t="str">
        <f>IF(TOTALCO!B1261="", "",TOTALCO!B1261)</f>
        <v xml:space="preserve">  INTEREST EXPENSE</v>
      </c>
      <c r="C732" s="4" t="str">
        <f>IF(TOTALCO!C1261="", "",TOTALCO!C1261)</f>
        <v/>
      </c>
      <c r="D732" s="12" t="str">
        <f>IF(TOTALCO!D1261="", "",TOTALCO!D1261)</f>
        <v/>
      </c>
      <c r="E732" s="12" t="str">
        <f>IF(TOTALCO!E1261="", "",TOTALCO!E1261)</f>
        <v/>
      </c>
      <c r="F732" s="12" t="str">
        <f>IF(TOTALCO!F1261="", "",TOTALCO!F1261)</f>
        <v/>
      </c>
      <c r="G732" s="12" t="str">
        <f>IF(TOTALCO!G1261="", "",TOTALCO!G1261)</f>
        <v/>
      </c>
      <c r="H732" s="12" t="str">
        <f>IF(TOTALCO!H1261="", "",TOTALCO!H1261)</f>
        <v/>
      </c>
      <c r="I732" s="12" t="str">
        <f>IF(TOTALCO!I1261="", "",TOTALCO!I1261)</f>
        <v/>
      </c>
      <c r="J732" s="12" t="str">
        <f>IF(TOTALCO!J1261="", "",TOTALCO!J1261)</f>
        <v/>
      </c>
      <c r="K732" s="12" t="str">
        <f>IF(TOTALCO!K1261="", "",TOTALCO!K1261)</f>
        <v/>
      </c>
      <c r="L732" s="12" t="str">
        <f>IF(TOTALCO!L1261="", "",TOTALCO!L1261)</f>
        <v/>
      </c>
      <c r="M732" s="12" t="str">
        <f>IF(TOTALCO!M1261="", "",TOTALCO!M1261)</f>
        <v/>
      </c>
      <c r="N732" s="12" t="str">
        <f>IF(TOTALCO!N1261="", "",TOTALCO!N1261)</f>
        <v/>
      </c>
      <c r="O732" s="12" t="str">
        <f>IF(TOTALCO!O1261="", "",TOTALCO!O1261)</f>
        <v/>
      </c>
      <c r="P732" s="12" t="str">
        <f>IF(TOTALCO!P1261="", "",TOTALCO!P1261)</f>
        <v/>
      </c>
      <c r="Q732" s="12"/>
      <c r="R732" s="13"/>
    </row>
    <row r="733" spans="1:18" ht="15" x14ac:dyDescent="0.2">
      <c r="A733" s="382">
        <f>IF(TOTALCO!A1262="", "",TOTALCO!A1262)</f>
        <v>5</v>
      </c>
      <c r="B733" s="4" t="str">
        <f>IF(TOTALCO!B1262="", "",TOTALCO!B1262)</f>
        <v xml:space="preserve">    LONG TERM DEBT OTHER</v>
      </c>
      <c r="C733" s="4" t="str">
        <f>IF(TOTALCO!C1262="", "",TOTALCO!C1262)</f>
        <v>RATEBASE</v>
      </c>
      <c r="D733" s="12">
        <f ca="1">IF(TOTALCO!D1262="", "",TOTALCO!D1262)</f>
        <v>68412281.090000018</v>
      </c>
      <c r="E733" s="12" t="str">
        <f>IF(TOTALCO!E1262="", "",TOTALCO!E1262)</f>
        <v/>
      </c>
      <c r="F733" s="12">
        <f ca="1">IF(TOTALCO!F1262="", "",TOTALCO!F1262)</f>
        <v>59882590.212777473</v>
      </c>
      <c r="G733" s="12" t="str">
        <f>IF(TOTALCO!G1262="", "",TOTALCO!G1262)</f>
        <v/>
      </c>
      <c r="H733" s="12">
        <f ca="1">IF(TOTALCO!H1262="", "",TOTALCO!H1262)</f>
        <v>3652286.9386506467</v>
      </c>
      <c r="I733" s="12">
        <f ca="1">IF(TOTALCO!I1262="", "",TOTALCO!I1262)</f>
        <v>4877403.9385718936</v>
      </c>
      <c r="J733" s="12" t="str">
        <f>IF(TOTALCO!J1262="", "",TOTALCO!J1262)</f>
        <v/>
      </c>
      <c r="K733" s="12" t="str">
        <f>IF(TOTALCO!K1262="", "",TOTALCO!K1262)</f>
        <v/>
      </c>
      <c r="L733" s="12">
        <f ca="1">IF(TOTALCO!L1262="", "",TOTALCO!L1262)</f>
        <v>638.31778416948544</v>
      </c>
      <c r="M733" s="12" t="str">
        <f>IF(TOTALCO!M1262="", "",TOTALCO!M1262)</f>
        <v/>
      </c>
      <c r="N733" s="12">
        <f ca="1">IF(TOTALCO!N1262="", "",TOTALCO!N1262)</f>
        <v>4876765.6207877239</v>
      </c>
      <c r="O733" s="12">
        <f ca="1">IF(TOTALCO!O1262="", "",TOTALCO!O1262)</f>
        <v>1548863.1395702772</v>
      </c>
      <c r="P733" s="12">
        <f ca="1">IF(TOTALCO!P1262="", "",TOTALCO!P1262)</f>
        <v>3327902.4812174467</v>
      </c>
      <c r="Q733" s="12"/>
      <c r="R733" s="13"/>
    </row>
    <row r="734" spans="1:18" ht="15" x14ac:dyDescent="0.2">
      <c r="A734" s="382">
        <f>IF(TOTALCO!A1263="", "",TOTALCO!A1263)</f>
        <v>6</v>
      </c>
      <c r="B734" s="4" t="str">
        <f>IF(TOTALCO!B1263="", "",TOTALCO!B1263)</f>
        <v xml:space="preserve">    INT ON CUSTOMER DEPOSITS</v>
      </c>
      <c r="C734" s="4" t="str">
        <f>IF(TOTALCO!C1263="", "",TOTALCO!C1263)</f>
        <v>CUSTDEPI</v>
      </c>
      <c r="D734" s="12">
        <f>IF(TOTALCO!D1263="", "",TOTALCO!D1263)</f>
        <v>0</v>
      </c>
      <c r="E734" s="12" t="str">
        <f>IF(TOTALCO!E1263="", "",TOTALCO!E1263)</f>
        <v/>
      </c>
      <c r="F734" s="12">
        <f ca="1">IF(TOTALCO!F1263="", "",TOTALCO!F1263)</f>
        <v>0</v>
      </c>
      <c r="G734" s="12" t="str">
        <f>IF(TOTALCO!G1263="", "",TOTALCO!G1263)</f>
        <v/>
      </c>
      <c r="H734" s="12">
        <f ca="1">IF(TOTALCO!H1263="", "",TOTALCO!H1263)</f>
        <v>1719.4505384607828</v>
      </c>
      <c r="I734" s="12">
        <f ca="1">IF(TOTALCO!I1263="", "",TOTALCO!I1263)</f>
        <v>0</v>
      </c>
      <c r="J734" s="12" t="str">
        <f>IF(TOTALCO!J1263="", "",TOTALCO!J1263)</f>
        <v/>
      </c>
      <c r="K734" s="12" t="str">
        <f>IF(TOTALCO!K1263="", "",TOTALCO!K1263)</f>
        <v/>
      </c>
      <c r="L734" s="12">
        <f ca="1">IF(TOTALCO!L1263="", "",TOTALCO!L1263)</f>
        <v>0</v>
      </c>
      <c r="M734" s="12" t="str">
        <f>IF(TOTALCO!M1263="", "",TOTALCO!M1263)</f>
        <v/>
      </c>
      <c r="N734" s="12">
        <f ca="1">IF(TOTALCO!N1263="", "",TOTALCO!N1263)</f>
        <v>0</v>
      </c>
      <c r="O734" s="12">
        <f ca="1">IF(TOTALCO!O1263="", "",TOTALCO!O1263)</f>
        <v>0</v>
      </c>
      <c r="P734" s="12">
        <f ca="1">IF(TOTALCO!P1263="", "",TOTALCO!P1263)</f>
        <v>0</v>
      </c>
      <c r="Q734" s="12"/>
      <c r="R734" s="13"/>
    </row>
    <row r="735" spans="1:18" ht="15" x14ac:dyDescent="0.2">
      <c r="A735" s="382">
        <f>IF(TOTALCO!A1264="", "",TOTALCO!A1264)</f>
        <v>7</v>
      </c>
      <c r="B735" s="4" t="str">
        <f>IF(TOTALCO!B1264="", "",TOTALCO!B1264)</f>
        <v xml:space="preserve">    AFUDC-INTEREST POST FERC</v>
      </c>
      <c r="C735" s="4" t="str">
        <f>IF(TOTALCO!C1264="", "",TOTALCO!C1264)</f>
        <v>AFUDC</v>
      </c>
      <c r="D735" s="12">
        <f ca="1">IF(TOTALCO!D1264="", "",TOTALCO!D1264)</f>
        <v>-13892.09</v>
      </c>
      <c r="E735" s="12" t="str">
        <f>IF(TOTALCO!E1264="", "",TOTALCO!E1264)</f>
        <v/>
      </c>
      <c r="F735" s="12">
        <f ca="1">IF(TOTALCO!F1264="", "",TOTALCO!F1264)</f>
        <v>0</v>
      </c>
      <c r="G735" s="12" t="str">
        <f>IF(TOTALCO!G1264="", "",TOTALCO!G1264)</f>
        <v/>
      </c>
      <c r="H735" s="12">
        <f ca="1">IF(TOTALCO!H1264="", "",TOTALCO!H1264)</f>
        <v>0</v>
      </c>
      <c r="I735" s="12">
        <f ca="1">IF(TOTALCO!I1264="", "",TOTALCO!I1264)</f>
        <v>-13892.09</v>
      </c>
      <c r="J735" s="12" t="str">
        <f>IF(TOTALCO!J1264="", "",TOTALCO!J1264)</f>
        <v/>
      </c>
      <c r="K735" s="12" t="str">
        <f>IF(TOTALCO!K1264="", "",TOTALCO!K1264)</f>
        <v/>
      </c>
      <c r="L735" s="12">
        <f ca="1">IF(TOTALCO!L1264="", "",TOTALCO!L1264)</f>
        <v>0</v>
      </c>
      <c r="M735" s="12" t="str">
        <f>IF(TOTALCO!M1264="", "",TOTALCO!M1264)</f>
        <v/>
      </c>
      <c r="N735" s="12">
        <f ca="1">IF(TOTALCO!N1264="", "",TOTALCO!N1264)</f>
        <v>-13892.09</v>
      </c>
      <c r="O735" s="12">
        <f ca="1">IF(TOTALCO!O1264="", "",TOTALCO!O1264)</f>
        <v>-4334.6845538785155</v>
      </c>
      <c r="P735" s="12">
        <f ca="1">IF(TOTALCO!P1264="", "",TOTALCO!P1264)</f>
        <v>-9557.4054461214855</v>
      </c>
      <c r="Q735" s="12"/>
      <c r="R735" s="13"/>
    </row>
    <row r="736" spans="1:18" ht="15" x14ac:dyDescent="0.2">
      <c r="A736" s="382">
        <f>IF(TOTALCO!A1265="", "",TOTALCO!A1265)</f>
        <v>8</v>
      </c>
      <c r="B736" s="4" t="str">
        <f>IF(TOTALCO!B1265="", "",TOTALCO!B1265)</f>
        <v xml:space="preserve"> TOTAL DEDUCTIONS</v>
      </c>
      <c r="C736" s="4" t="str">
        <f>IF(TOTALCO!C1265="", "",TOTALCO!C1265)</f>
        <v/>
      </c>
      <c r="D736" s="12">
        <f ca="1">IF(TOTALCO!D1265="", "",TOTALCO!D1265)</f>
        <v>68398389.000000015</v>
      </c>
      <c r="E736" s="12" t="str">
        <f>IF(TOTALCO!E1265="", "",TOTALCO!E1265)</f>
        <v/>
      </c>
      <c r="F736" s="12">
        <f ca="1">IF(TOTALCO!F1265="", "",TOTALCO!F1265)</f>
        <v>59882590.212777473</v>
      </c>
      <c r="G736" s="12" t="str">
        <f>IF(TOTALCO!G1265="", "",TOTALCO!G1265)</f>
        <v/>
      </c>
      <c r="H736" s="12">
        <f ca="1">IF(TOTALCO!H1265="", "",TOTALCO!H1265)</f>
        <v>3654006.3891891073</v>
      </c>
      <c r="I736" s="12">
        <f ca="1">IF(TOTALCO!I1265="", "",TOTALCO!I1265)</f>
        <v>4863511.8485718938</v>
      </c>
      <c r="J736" s="12" t="str">
        <f>IF(TOTALCO!J1265="", "",TOTALCO!J1265)</f>
        <v/>
      </c>
      <c r="K736" s="12" t="str">
        <f>IF(TOTALCO!K1265="", "",TOTALCO!K1265)</f>
        <v/>
      </c>
      <c r="L736" s="12">
        <f ca="1">IF(TOTALCO!L1265="", "",TOTALCO!L1265)</f>
        <v>638.31778416948544</v>
      </c>
      <c r="M736" s="12" t="str">
        <f>IF(TOTALCO!M1265="", "",TOTALCO!M1265)</f>
        <v/>
      </c>
      <c r="N736" s="12">
        <f ca="1">IF(TOTALCO!N1265="", "",TOTALCO!N1265)</f>
        <v>4862873.5307877241</v>
      </c>
      <c r="O736" s="12">
        <f ca="1">IF(TOTALCO!O1265="", "",TOTALCO!O1265)</f>
        <v>1544528.4550163986</v>
      </c>
      <c r="P736" s="12">
        <f ca="1">IF(TOTALCO!P1265="", "",TOTALCO!P1265)</f>
        <v>3318345.0757713253</v>
      </c>
      <c r="Q736" s="12"/>
      <c r="R736" s="13"/>
    </row>
    <row r="737" spans="1:18" ht="15" x14ac:dyDescent="0.2">
      <c r="A737" s="382" t="str">
        <f>IF(TOTALCO!A1266="", "",TOTALCO!A1266)</f>
        <v/>
      </c>
      <c r="B737" s="4" t="str">
        <f>IF(TOTALCO!B1266="", "",TOTALCO!B1266)</f>
        <v/>
      </c>
      <c r="C737" s="4" t="str">
        <f>IF(TOTALCO!C1266="", "",TOTALCO!C1266)</f>
        <v/>
      </c>
      <c r="D737" s="12" t="str">
        <f>IF(TOTALCO!D1266="", "",TOTALCO!D1266)</f>
        <v/>
      </c>
      <c r="E737" s="12" t="str">
        <f>IF(TOTALCO!E1266="", "",TOTALCO!E1266)</f>
        <v/>
      </c>
      <c r="F737" s="12" t="str">
        <f>IF(TOTALCO!F1266="", "",TOTALCO!F1266)</f>
        <v/>
      </c>
      <c r="G737" s="12" t="str">
        <f>IF(TOTALCO!G1266="", "",TOTALCO!G1266)</f>
        <v/>
      </c>
      <c r="H737" s="12" t="str">
        <f>IF(TOTALCO!H1266="", "",TOTALCO!H1266)</f>
        <v/>
      </c>
      <c r="I737" s="12" t="str">
        <f>IF(TOTALCO!I1266="", "",TOTALCO!I1266)</f>
        <v/>
      </c>
      <c r="J737" s="12" t="str">
        <f>IF(TOTALCO!J1266="", "",TOTALCO!J1266)</f>
        <v/>
      </c>
      <c r="K737" s="12" t="str">
        <f>IF(TOTALCO!K1266="", "",TOTALCO!K1266)</f>
        <v/>
      </c>
      <c r="L737" s="12" t="str">
        <f>IF(TOTALCO!L1266="", "",TOTALCO!L1266)</f>
        <v/>
      </c>
      <c r="M737" s="12" t="str">
        <f>IF(TOTALCO!M1266="", "",TOTALCO!M1266)</f>
        <v/>
      </c>
      <c r="N737" s="12" t="str">
        <f>IF(TOTALCO!N1266="", "",TOTALCO!N1266)</f>
        <v/>
      </c>
      <c r="O737" s="12" t="str">
        <f>IF(TOTALCO!O1266="", "",TOTALCO!O1266)</f>
        <v/>
      </c>
      <c r="P737" s="12" t="str">
        <f>IF(TOTALCO!P1266="", "",TOTALCO!P1266)</f>
        <v/>
      </c>
      <c r="Q737" s="12"/>
      <c r="R737" s="13"/>
    </row>
    <row r="738" spans="1:18" ht="15" x14ac:dyDescent="0.2">
      <c r="A738" s="382" t="str">
        <f>IF(TOTALCO!A1267="", "",TOTALCO!A1267)</f>
        <v/>
      </c>
      <c r="B738" s="4" t="str">
        <f>IF(TOTALCO!B1267="", "",TOTALCO!B1267)</f>
        <v xml:space="preserve"> PLUS: ABOVE THE LINE DIFF:</v>
      </c>
      <c r="C738" s="4" t="str">
        <f>IF(TOTALCO!C1267="", "",TOTALCO!C1267)</f>
        <v/>
      </c>
      <c r="D738" s="12" t="str">
        <f>IF(TOTALCO!D1267="", "",TOTALCO!D1267)</f>
        <v/>
      </c>
      <c r="E738" s="12" t="str">
        <f>IF(TOTALCO!E1267="", "",TOTALCO!E1267)</f>
        <v/>
      </c>
      <c r="F738" s="12" t="str">
        <f>IF(TOTALCO!F1267="", "",TOTALCO!F1267)</f>
        <v/>
      </c>
      <c r="G738" s="12" t="str">
        <f>IF(TOTALCO!G1267="", "",TOTALCO!G1267)</f>
        <v/>
      </c>
      <c r="H738" s="12" t="str">
        <f>IF(TOTALCO!H1267="", "",TOTALCO!H1267)</f>
        <v/>
      </c>
      <c r="I738" s="12" t="str">
        <f>IF(TOTALCO!I1267="", "",TOTALCO!I1267)</f>
        <v/>
      </c>
      <c r="J738" s="12" t="str">
        <f>IF(TOTALCO!J1267="", "",TOTALCO!J1267)</f>
        <v/>
      </c>
      <c r="K738" s="12" t="str">
        <f>IF(TOTALCO!K1267="", "",TOTALCO!K1267)</f>
        <v/>
      </c>
      <c r="L738" s="12" t="str">
        <f>IF(TOTALCO!L1267="", "",TOTALCO!L1267)</f>
        <v/>
      </c>
      <c r="M738" s="12" t="str">
        <f>IF(TOTALCO!M1267="", "",TOTALCO!M1267)</f>
        <v/>
      </c>
      <c r="N738" s="12" t="str">
        <f>IF(TOTALCO!N1267="", "",TOTALCO!N1267)</f>
        <v/>
      </c>
      <c r="O738" s="12" t="str">
        <f>IF(TOTALCO!O1267="", "",TOTALCO!O1267)</f>
        <v/>
      </c>
      <c r="P738" s="12" t="str">
        <f>IF(TOTALCO!P1267="", "",TOTALCO!P1267)</f>
        <v/>
      </c>
      <c r="Q738" s="12"/>
      <c r="R738" s="13"/>
    </row>
    <row r="739" spans="1:18" ht="15" x14ac:dyDescent="0.2">
      <c r="A739" s="382">
        <f>IF(TOTALCO!A1268="", "",TOTALCO!A1268)</f>
        <v>9</v>
      </c>
      <c r="B739" s="4" t="str">
        <f>IF(TOTALCO!B1268="", "",TOTALCO!B1268)</f>
        <v xml:space="preserve">  SEC. 199 DEDUCTION-STATE</v>
      </c>
      <c r="C739" s="4" t="str">
        <f>IF(TOTALCO!C1268="", "",TOTALCO!C1268)</f>
        <v>STMSYS</v>
      </c>
      <c r="D739" s="12">
        <f ca="1">IF(TOTALCO!D1268="", "",TOTALCO!D1268)</f>
        <v>-3773628</v>
      </c>
      <c r="E739" s="12" t="str">
        <f>IF(TOTALCO!E1268="", "",TOTALCO!E1268)</f>
        <v/>
      </c>
      <c r="F739" s="12">
        <f ca="1">IF(TOTALCO!F1268="", "",TOTALCO!F1268)</f>
        <v>-3266037.9510952863</v>
      </c>
      <c r="G739" s="12" t="str">
        <f>IF(TOTALCO!G1268="", "",TOTALCO!G1268)</f>
        <v/>
      </c>
      <c r="H739" s="12">
        <f ca="1">IF(TOTALCO!H1268="", "",TOTALCO!H1268)</f>
        <v>-191804.71373442453</v>
      </c>
      <c r="I739" s="12">
        <f ca="1">IF(TOTALCO!I1268="", "",TOTALCO!I1268)</f>
        <v>-315785.33517028921</v>
      </c>
      <c r="J739" s="12" t="str">
        <f>IF(TOTALCO!J1268="", "",TOTALCO!J1268)</f>
        <v/>
      </c>
      <c r="K739" s="12" t="str">
        <f>IF(TOTALCO!K1268="", "",TOTALCO!K1268)</f>
        <v/>
      </c>
      <c r="L739" s="12">
        <f ca="1">IF(TOTALCO!L1268="", "",TOTALCO!L1268)</f>
        <v>-28.877554010000679</v>
      </c>
      <c r="M739" s="12" t="str">
        <f>IF(TOTALCO!M1268="", "",TOTALCO!M1268)</f>
        <v/>
      </c>
      <c r="N739" s="12">
        <f ca="1">IF(TOTALCO!N1268="", "",TOTALCO!N1268)</f>
        <v>-315756.45761627919</v>
      </c>
      <c r="O739" s="12">
        <f ca="1">IF(TOTALCO!O1268="", "",TOTALCO!O1268)</f>
        <v>-98524.02623483444</v>
      </c>
      <c r="P739" s="12">
        <f ca="1">IF(TOTALCO!P1268="", "",TOTALCO!P1268)</f>
        <v>-217232.43138144474</v>
      </c>
      <c r="Q739" s="12"/>
      <c r="R739" s="13"/>
    </row>
    <row r="740" spans="1:18" ht="15" x14ac:dyDescent="0.2">
      <c r="A740" s="382">
        <f>IF(TOTALCO!A1269="", "",TOTALCO!A1269)</f>
        <v>10</v>
      </c>
      <c r="B740" s="4" t="str">
        <f>IF(TOTALCO!B1269="", "",TOTALCO!B1269)</f>
        <v xml:space="preserve">  DEPREC-EQUITY AFUDC PRE</v>
      </c>
      <c r="C740" s="4" t="str">
        <f>IF(TOTALCO!C1269="", "",TOTALCO!C1269)</f>
        <v>DEMFERC</v>
      </c>
      <c r="D740" s="12">
        <f ca="1">IF(TOTALCO!D1269="", "",TOTALCO!D1269)</f>
        <v>219243</v>
      </c>
      <c r="E740" s="12" t="str">
        <f>IF(TOTALCO!E1269="", "",TOTALCO!E1269)</f>
        <v/>
      </c>
      <c r="F740" s="12">
        <f ca="1">IF(TOTALCO!F1269="", "",TOTALCO!F1269)</f>
        <v>0</v>
      </c>
      <c r="G740" s="12" t="str">
        <f>IF(TOTALCO!G1269="", "",TOTALCO!G1269)</f>
        <v/>
      </c>
      <c r="H740" s="12">
        <f ca="1">IF(TOTALCO!H1269="", "",TOTALCO!H1269)</f>
        <v>82850.783761432278</v>
      </c>
      <c r="I740" s="12">
        <f ca="1">IF(TOTALCO!I1269="", "",TOTALCO!I1269)</f>
        <v>136392.21623856772</v>
      </c>
      <c r="J740" s="12" t="str">
        <f>IF(TOTALCO!J1269="", "",TOTALCO!J1269)</f>
        <v/>
      </c>
      <c r="K740" s="12" t="str">
        <f>IF(TOTALCO!K1269="", "",TOTALCO!K1269)</f>
        <v/>
      </c>
      <c r="L740" s="12">
        <f ca="1">IF(TOTALCO!L1269="", "",TOTALCO!L1269)</f>
        <v>0</v>
      </c>
      <c r="M740" s="12" t="str">
        <f>IF(TOTALCO!M1269="", "",TOTALCO!M1269)</f>
        <v/>
      </c>
      <c r="N740" s="12">
        <f ca="1">IF(TOTALCO!N1269="", "",TOTALCO!N1269)</f>
        <v>136392.21623856772</v>
      </c>
      <c r="O740" s="12">
        <f ca="1">IF(TOTALCO!O1269="", "",TOTALCO!O1269)</f>
        <v>42557.832046767464</v>
      </c>
      <c r="P740" s="12">
        <f ca="1">IF(TOTALCO!P1269="", "",TOTALCO!P1269)</f>
        <v>93834.384191800244</v>
      </c>
      <c r="Q740" s="12"/>
      <c r="R740" s="13"/>
    </row>
    <row r="741" spans="1:18" ht="15" x14ac:dyDescent="0.2">
      <c r="A741" s="382">
        <f>IF(TOTALCO!A1270="", "",TOTALCO!A1270)</f>
        <v>11</v>
      </c>
      <c r="B741" s="4" t="str">
        <f>IF(TOTALCO!B1270="", "",TOTALCO!B1270)</f>
        <v xml:space="preserve">  DEPREC-EQUITY AFUDC POST</v>
      </c>
      <c r="C741" s="4" t="str">
        <f>IF(TOTALCO!C1270="", "",TOTALCO!C1270)</f>
        <v>DEMFERCP</v>
      </c>
      <c r="D741" s="12">
        <f ca="1">IF(TOTALCO!D1270="", "",TOTALCO!D1270)</f>
        <v>785219.99999999988</v>
      </c>
      <c r="E741" s="12" t="str">
        <f>IF(TOTALCO!E1270="", "",TOTALCO!E1270)</f>
        <v/>
      </c>
      <c r="F741" s="12">
        <f ca="1">IF(TOTALCO!F1270="", "",TOTALCO!F1270)</f>
        <v>0</v>
      </c>
      <c r="G741" s="12" t="str">
        <f>IF(TOTALCO!G1270="", "",TOTALCO!G1270)</f>
        <v/>
      </c>
      <c r="H741" s="12">
        <f ca="1">IF(TOTALCO!H1270="", "",TOTALCO!H1270)</f>
        <v>0</v>
      </c>
      <c r="I741" s="12">
        <f ca="1">IF(TOTALCO!I1270="", "",TOTALCO!I1270)</f>
        <v>785219.99999999988</v>
      </c>
      <c r="J741" s="12" t="str">
        <f>IF(TOTALCO!J1270="", "",TOTALCO!J1270)</f>
        <v/>
      </c>
      <c r="K741" s="12" t="str">
        <f>IF(TOTALCO!K1270="", "",TOTALCO!K1270)</f>
        <v/>
      </c>
      <c r="L741" s="12">
        <f ca="1">IF(TOTALCO!L1270="", "",TOTALCO!L1270)</f>
        <v>0</v>
      </c>
      <c r="M741" s="12" t="str">
        <f>IF(TOTALCO!M1270="", "",TOTALCO!M1270)</f>
        <v/>
      </c>
      <c r="N741" s="12">
        <f ca="1">IF(TOTALCO!N1270="", "",TOTALCO!N1270)</f>
        <v>785219.99999999988</v>
      </c>
      <c r="O741" s="12">
        <f ca="1">IF(TOTALCO!O1270="", "",TOTALCO!O1270)</f>
        <v>245008.56281498951</v>
      </c>
      <c r="P741" s="12">
        <f ca="1">IF(TOTALCO!P1270="", "",TOTALCO!P1270)</f>
        <v>540211.43718501041</v>
      </c>
      <c r="Q741" s="12"/>
      <c r="R741" s="13"/>
    </row>
    <row r="742" spans="1:18" ht="15" x14ac:dyDescent="0.2">
      <c r="A742" s="382">
        <f>IF(TOTALCO!A1271="", "",TOTALCO!A1271)</f>
        <v>12</v>
      </c>
      <c r="B742" s="4" t="str">
        <f>IF(TOTALCO!B1271="", "",TOTALCO!B1271)</f>
        <v xml:space="preserve">  OTHER</v>
      </c>
      <c r="C742" s="4" t="str">
        <f>IF(TOTALCO!C1271="", "",TOTALCO!C1271)</f>
        <v>RATEBASE</v>
      </c>
      <c r="D742" s="12">
        <f ca="1">IF(TOTALCO!D1271="", "",TOTALCO!D1271)</f>
        <v>137097</v>
      </c>
      <c r="E742" s="12" t="str">
        <f>IF(TOTALCO!E1271="", "",TOTALCO!E1271)</f>
        <v/>
      </c>
      <c r="F742" s="12">
        <f ca="1">IF(TOTALCO!F1271="", "",TOTALCO!F1271)</f>
        <v>120003.6505083177</v>
      </c>
      <c r="G742" s="12" t="str">
        <f>IF(TOTALCO!G1271="", "",TOTALCO!G1271)</f>
        <v/>
      </c>
      <c r="H742" s="12">
        <f ca="1">IF(TOTALCO!H1271="", "",TOTALCO!H1271)</f>
        <v>7319.1183578496239</v>
      </c>
      <c r="I742" s="12">
        <f ca="1">IF(TOTALCO!I1271="", "",TOTALCO!I1271)</f>
        <v>9774.2311338326836</v>
      </c>
      <c r="J742" s="12" t="str">
        <f>IF(TOTALCO!J1271="", "",TOTALCO!J1271)</f>
        <v/>
      </c>
      <c r="K742" s="12" t="str">
        <f>IF(TOTALCO!K1271="", "",TOTALCO!K1271)</f>
        <v/>
      </c>
      <c r="L742" s="12">
        <f ca="1">IF(TOTALCO!L1271="", "",TOTALCO!L1271)</f>
        <v>1.2791775374535159</v>
      </c>
      <c r="M742" s="12" t="str">
        <f>IF(TOTALCO!M1271="", "",TOTALCO!M1271)</f>
        <v/>
      </c>
      <c r="N742" s="12">
        <f ca="1">IF(TOTALCO!N1271="", "",TOTALCO!N1271)</f>
        <v>9772.95195629523</v>
      </c>
      <c r="O742" s="12">
        <f ca="1">IF(TOTALCO!O1271="", "",TOTALCO!O1271)</f>
        <v>3103.8943076070773</v>
      </c>
      <c r="P742" s="12">
        <f ca="1">IF(TOTALCO!P1271="", "",TOTALCO!P1271)</f>
        <v>6669.0576486881519</v>
      </c>
      <c r="Q742" s="12"/>
      <c r="R742" s="13"/>
    </row>
    <row r="743" spans="1:18" ht="15" x14ac:dyDescent="0.2">
      <c r="A743" s="382">
        <f>IF(TOTALCO!A1272="", "",TOTALCO!A1272)</f>
        <v>13</v>
      </c>
      <c r="B743" s="4" t="str">
        <f>IF(TOTALCO!B1272="", "",TOTALCO!B1272)</f>
        <v xml:space="preserve"> TOTAL PERMANENT DIFFERENCES</v>
      </c>
      <c r="C743" s="4" t="str">
        <f>IF(TOTALCO!C1272="", "",TOTALCO!C1272)</f>
        <v/>
      </c>
      <c r="D743" s="12">
        <f ca="1">IF(TOTALCO!D1272="", "",TOTALCO!D1272)</f>
        <v>-2632068</v>
      </c>
      <c r="E743" s="12" t="str">
        <f>IF(TOTALCO!E1272="", "",TOTALCO!E1272)</f>
        <v/>
      </c>
      <c r="F743" s="12">
        <f ca="1">IF(TOTALCO!F1272="", "",TOTALCO!F1272)</f>
        <v>-3146034.3005869687</v>
      </c>
      <c r="G743" s="12" t="str">
        <f>IF(TOTALCO!G1272="", "",TOTALCO!G1272)</f>
        <v/>
      </c>
      <c r="H743" s="12">
        <f ca="1">IF(TOTALCO!H1272="", "",TOTALCO!H1272)</f>
        <v>-101634.81161514262</v>
      </c>
      <c r="I743" s="12">
        <f ca="1">IF(TOTALCO!I1272="", "",TOTALCO!I1272)</f>
        <v>615601.11220211105</v>
      </c>
      <c r="J743" s="12" t="str">
        <f>IF(TOTALCO!J1272="", "",TOTALCO!J1272)</f>
        <v/>
      </c>
      <c r="K743" s="12" t="str">
        <f>IF(TOTALCO!K1272="", "",TOTALCO!K1272)</f>
        <v/>
      </c>
      <c r="L743" s="12">
        <f ca="1">IF(TOTALCO!L1272="", "",TOTALCO!L1272)</f>
        <v>-27.598376472547162</v>
      </c>
      <c r="M743" s="12" t="str">
        <f>IF(TOTALCO!M1272="", "",TOTALCO!M1272)</f>
        <v/>
      </c>
      <c r="N743" s="12">
        <f ca="1">IF(TOTALCO!N1272="", "",TOTALCO!N1272)</f>
        <v>615628.71057858365</v>
      </c>
      <c r="O743" s="12">
        <f ca="1">IF(TOTALCO!O1272="", "",TOTALCO!O1272)</f>
        <v>192146.26293452963</v>
      </c>
      <c r="P743" s="12">
        <f ca="1">IF(TOTALCO!P1272="", "",TOTALCO!P1272)</f>
        <v>423482.44764405407</v>
      </c>
      <c r="Q743" s="12"/>
      <c r="R743" s="13"/>
    </row>
    <row r="744" spans="1:18" ht="15" x14ac:dyDescent="0.2">
      <c r="A744" s="382" t="str">
        <f>IF(TOTALCO!A1273="", "",TOTALCO!A1273)</f>
        <v/>
      </c>
      <c r="B744" s="4" t="str">
        <f>IF(TOTALCO!B1273="", "",TOTALCO!B1273)</f>
        <v/>
      </c>
      <c r="C744" s="4" t="str">
        <f>IF(TOTALCO!C1273="", "",TOTALCO!C1273)</f>
        <v/>
      </c>
      <c r="D744" s="12" t="str">
        <f>IF(TOTALCO!D1273="", "",TOTALCO!D1273)</f>
        <v/>
      </c>
      <c r="E744" s="12" t="str">
        <f>IF(TOTALCO!E1273="", "",TOTALCO!E1273)</f>
        <v/>
      </c>
      <c r="F744" s="12" t="str">
        <f>IF(TOTALCO!F1273="", "",TOTALCO!F1273)</f>
        <v/>
      </c>
      <c r="G744" s="12" t="str">
        <f>IF(TOTALCO!G1273="", "",TOTALCO!G1273)</f>
        <v/>
      </c>
      <c r="H744" s="12" t="str">
        <f>IF(TOTALCO!H1273="", "",TOTALCO!H1273)</f>
        <v/>
      </c>
      <c r="I744" s="12" t="str">
        <f>IF(TOTALCO!I1273="", "",TOTALCO!I1273)</f>
        <v/>
      </c>
      <c r="J744" s="12" t="str">
        <f>IF(TOTALCO!J1273="", "",TOTALCO!J1273)</f>
        <v/>
      </c>
      <c r="K744" s="12" t="str">
        <f>IF(TOTALCO!K1273="", "",TOTALCO!K1273)</f>
        <v/>
      </c>
      <c r="L744" s="12" t="str">
        <f>IF(TOTALCO!L1273="", "",TOTALCO!L1273)</f>
        <v/>
      </c>
      <c r="M744" s="12" t="str">
        <f>IF(TOTALCO!M1273="", "",TOTALCO!M1273)</f>
        <v/>
      </c>
      <c r="N744" s="12" t="str">
        <f>IF(TOTALCO!N1273="", "",TOTALCO!N1273)</f>
        <v/>
      </c>
      <c r="O744" s="12" t="str">
        <f>IF(TOTALCO!O1273="", "",TOTALCO!O1273)</f>
        <v/>
      </c>
      <c r="P744" s="12" t="str">
        <f>IF(TOTALCO!P1273="", "",TOTALCO!P1273)</f>
        <v/>
      </c>
      <c r="Q744" s="12"/>
      <c r="R744" s="13"/>
    </row>
    <row r="745" spans="1:18" ht="15" x14ac:dyDescent="0.2">
      <c r="A745" s="382">
        <f>IF(TOTALCO!A1274="", "",TOTALCO!A1274)</f>
        <v>14</v>
      </c>
      <c r="B745" s="4" t="str">
        <f>IF(TOTALCO!B1274="", "",TOTALCO!B1274)</f>
        <v>STATE TAXABLE INCOME</v>
      </c>
      <c r="C745" s="4" t="str">
        <f>IF(TOTALCO!C1274="", "",TOTALCO!C1274)</f>
        <v/>
      </c>
      <c r="D745" s="12">
        <f ca="1">IF(TOTALCO!D1274="", "",TOTALCO!D1274)</f>
        <v>251885926</v>
      </c>
      <c r="E745" s="12" t="str">
        <f>IF(TOTALCO!E1274="", "",TOTALCO!E1274)</f>
        <v/>
      </c>
      <c r="F745" s="12">
        <f ca="1">IF(TOTALCO!F1274="", "",TOTALCO!F1274)</f>
        <v>229379633</v>
      </c>
      <c r="G745" s="12" t="str">
        <f>IF(TOTALCO!G1274="", "",TOTALCO!G1274)</f>
        <v/>
      </c>
      <c r="H745" s="12">
        <f ca="1">IF(TOTALCO!H1274="", "",TOTALCO!H1274)</f>
        <v>10987575</v>
      </c>
      <c r="I745" s="12">
        <f ca="1">IF(TOTALCO!I1274="", "",TOTALCO!I1274)</f>
        <v>11516998</v>
      </c>
      <c r="J745" s="12" t="str">
        <f>IF(TOTALCO!J1274="", "",TOTALCO!J1274)</f>
        <v/>
      </c>
      <c r="K745" s="12" t="str">
        <f>IF(TOTALCO!K1274="", "",TOTALCO!K1274)</f>
        <v/>
      </c>
      <c r="L745" s="12">
        <f ca="1">IF(TOTALCO!L1274="", "",TOTALCO!L1274)</f>
        <v>-12472</v>
      </c>
      <c r="M745" s="12" t="str">
        <f>IF(TOTALCO!M1274="", "",TOTALCO!M1274)</f>
        <v/>
      </c>
      <c r="N745" s="12">
        <f ca="1">IF(TOTALCO!N1274="", "",TOTALCO!N1274)</f>
        <v>11529470</v>
      </c>
      <c r="O745" s="12">
        <f ca="1">IF(TOTALCO!O1274="", "",TOTALCO!O1274)</f>
        <v>3699588</v>
      </c>
      <c r="P745" s="12">
        <f ca="1">IF(TOTALCO!P1274="", "",TOTALCO!P1274)</f>
        <v>7829882</v>
      </c>
      <c r="Q745" s="12"/>
      <c r="R745" s="13"/>
    </row>
    <row r="746" spans="1:18" ht="15" x14ac:dyDescent="0.2">
      <c r="A746" s="382">
        <f>IF(TOTALCO!A1275="", "",TOTALCO!A1275)</f>
        <v>15</v>
      </c>
      <c r="B746" s="4" t="str">
        <f>IF(TOTALCO!B1275="", "",TOTALCO!B1275)</f>
        <v>APPORTIONED STATE TAXABLE INCOME</v>
      </c>
      <c r="C746" s="4" t="str">
        <f>IF(TOTALCO!C1275="", "",TOTALCO!C1275)</f>
        <v/>
      </c>
      <c r="D746" s="12">
        <f ca="1">IF(TOTALCO!D1275="", "",TOTALCO!D1275)</f>
        <v>251885926</v>
      </c>
      <c r="E746" s="12" t="str">
        <f>IF(TOTALCO!E1275="", "",TOTALCO!E1275)</f>
        <v/>
      </c>
      <c r="F746" s="12">
        <f ca="1">IF(TOTALCO!F1275="", "",TOTALCO!F1275)</f>
        <v>229379633</v>
      </c>
      <c r="G746" s="12" t="str">
        <f>IF(TOTALCO!G1275="", "",TOTALCO!G1275)</f>
        <v/>
      </c>
      <c r="H746" s="12">
        <f ca="1">IF(TOTALCO!H1275="", "",TOTALCO!H1275)</f>
        <v>9863124.6805565674</v>
      </c>
      <c r="I746" s="12">
        <f ca="1">IF(TOTALCO!I1275="", "",TOTALCO!I1275)</f>
        <v>11516998</v>
      </c>
      <c r="J746" s="12" t="str">
        <f>IF(TOTALCO!J1275="", "",TOTALCO!J1275)</f>
        <v/>
      </c>
      <c r="K746" s="12" t="str">
        <f>IF(TOTALCO!K1275="", "",TOTALCO!K1275)</f>
        <v/>
      </c>
      <c r="L746" s="12">
        <f ca="1">IF(TOTALCO!L1275="", "",TOTALCO!L1275)</f>
        <v>-12472</v>
      </c>
      <c r="M746" s="12" t="str">
        <f>IF(TOTALCO!M1275="", "",TOTALCO!M1275)</f>
        <v/>
      </c>
      <c r="N746" s="12">
        <f ca="1">IF(TOTALCO!N1275="", "",TOTALCO!N1275)</f>
        <v>11529470</v>
      </c>
      <c r="O746" s="12">
        <f ca="1">IF(TOTALCO!O1275="", "",TOTALCO!O1275)</f>
        <v>3699588</v>
      </c>
      <c r="P746" s="12">
        <f ca="1">IF(TOTALCO!P1275="", "",TOTALCO!P1275)</f>
        <v>7829882</v>
      </c>
      <c r="Q746" s="12"/>
      <c r="R746" s="13"/>
    </row>
    <row r="747" spans="1:18" ht="15" x14ac:dyDescent="0.2">
      <c r="A747" s="382" t="str">
        <f>IF(TOTALCO!A1276="", "",TOTALCO!A1276)</f>
        <v/>
      </c>
      <c r="B747" s="4" t="str">
        <f>IF(TOTALCO!B1276="", "",TOTALCO!B1276)</f>
        <v/>
      </c>
      <c r="C747" s="4" t="str">
        <f>IF(TOTALCO!C1276="", "",TOTALCO!C1276)</f>
        <v/>
      </c>
      <c r="D747" s="12" t="str">
        <f>IF(TOTALCO!D1276="", "",TOTALCO!D1276)</f>
        <v/>
      </c>
      <c r="E747" s="12" t="str">
        <f>IF(TOTALCO!E1276="", "",TOTALCO!E1276)</f>
        <v/>
      </c>
      <c r="F747" s="12" t="str">
        <f>IF(TOTALCO!F1276="", "",TOTALCO!F1276)</f>
        <v/>
      </c>
      <c r="G747" s="12" t="str">
        <f>IF(TOTALCO!G1276="", "",TOTALCO!G1276)</f>
        <v/>
      </c>
      <c r="H747" s="12" t="str">
        <f>IF(TOTALCO!H1276="", "",TOTALCO!H1276)</f>
        <v/>
      </c>
      <c r="I747" s="12" t="str">
        <f>IF(TOTALCO!I1276="", "",TOTALCO!I1276)</f>
        <v/>
      </c>
      <c r="J747" s="12" t="str">
        <f>IF(TOTALCO!J1276="", "",TOTALCO!J1276)</f>
        <v/>
      </c>
      <c r="K747" s="12" t="str">
        <f>IF(TOTALCO!K1276="", "",TOTALCO!K1276)</f>
        <v/>
      </c>
      <c r="L747" s="12" t="str">
        <f>IF(TOTALCO!L1276="", "",TOTALCO!L1276)</f>
        <v/>
      </c>
      <c r="M747" s="12" t="str">
        <f>IF(TOTALCO!M1276="", "",TOTALCO!M1276)</f>
        <v/>
      </c>
      <c r="N747" s="12" t="str">
        <f>IF(TOTALCO!N1276="", "",TOTALCO!N1276)</f>
        <v/>
      </c>
      <c r="O747" s="12" t="str">
        <f>IF(TOTALCO!O1276="", "",TOTALCO!O1276)</f>
        <v/>
      </c>
      <c r="P747" s="12" t="str">
        <f>IF(TOTALCO!P1276="", "",TOTALCO!P1276)</f>
        <v/>
      </c>
      <c r="Q747" s="12"/>
      <c r="R747" s="13"/>
    </row>
    <row r="748" spans="1:18" ht="15" x14ac:dyDescent="0.2">
      <c r="A748" s="382">
        <f>IF(TOTALCO!A1277="", "",TOTALCO!A1277)</f>
        <v>16</v>
      </c>
      <c r="B748" s="4" t="str">
        <f>IF(TOTALCO!B1277="", "",TOTALCO!B1277)</f>
        <v>STATE TAX</v>
      </c>
      <c r="C748" s="4" t="str">
        <f>IF(TOTALCO!C1277="", "",TOTALCO!C1277)</f>
        <v/>
      </c>
      <c r="D748" s="12">
        <f ca="1">IF(TOTALCO!D1277="", "",TOTALCO!D1277)</f>
        <v>15113155.559999999</v>
      </c>
      <c r="E748" s="12" t="str">
        <f>IF(TOTALCO!E1277="", "",TOTALCO!E1277)</f>
        <v/>
      </c>
      <c r="F748" s="12">
        <f ca="1">IF(TOTALCO!F1277="", "",TOTALCO!F1277)</f>
        <v>13762777.979999999</v>
      </c>
      <c r="G748" s="12" t="str">
        <f>IF(TOTALCO!G1277="", "",TOTALCO!G1277)</f>
        <v/>
      </c>
      <c r="H748" s="12">
        <f ca="1">IF(TOTALCO!H1277="", "",TOTALCO!H1277)</f>
        <v>591787.48083339399</v>
      </c>
      <c r="I748" s="12">
        <f ca="1">IF(TOTALCO!I1277="", "",TOTALCO!I1277)</f>
        <v>691019.88</v>
      </c>
      <c r="J748" s="12" t="str">
        <f>IF(TOTALCO!J1277="", "",TOTALCO!J1277)</f>
        <v/>
      </c>
      <c r="K748" s="12" t="str">
        <f>IF(TOTALCO!K1277="", "",TOTALCO!K1277)</f>
        <v/>
      </c>
      <c r="L748" s="12">
        <f ca="1">IF(TOTALCO!L1277="", "",TOTALCO!L1277)</f>
        <v>-748.31999999999994</v>
      </c>
      <c r="M748" s="12" t="str">
        <f>IF(TOTALCO!M1277="", "",TOTALCO!M1277)</f>
        <v/>
      </c>
      <c r="N748" s="12">
        <f ca="1">IF(TOTALCO!N1277="", "",TOTALCO!N1277)</f>
        <v>691768.2</v>
      </c>
      <c r="O748" s="12">
        <f ca="1">IF(TOTALCO!O1277="", "",TOTALCO!O1277)</f>
        <v>221975.28</v>
      </c>
      <c r="P748" s="12">
        <f ca="1">IF(TOTALCO!P1277="", "",TOTALCO!P1277)</f>
        <v>469792.92</v>
      </c>
      <c r="Q748" s="12"/>
      <c r="R748" s="13"/>
    </row>
    <row r="749" spans="1:18" ht="15" x14ac:dyDescent="0.2">
      <c r="A749" s="382">
        <f>IF(TOTALCO!A1278="", "",TOTALCO!A1278)</f>
        <v>17</v>
      </c>
      <c r="B749" s="4" t="str">
        <f>IF(TOTALCO!B1278="", "",TOTALCO!B1278)</f>
        <v>STATE TAX TRUE-UP AND ADJ</v>
      </c>
      <c r="C749" s="4" t="str">
        <f>IF(TOTALCO!C1278="", "",TOTALCO!C1278)</f>
        <v>RATEBASE</v>
      </c>
      <c r="D749" s="12">
        <f ca="1">IF(TOTALCO!D1278="", "",TOTALCO!D1278)</f>
        <v>-194310</v>
      </c>
      <c r="E749" s="12" t="str">
        <f>IF(TOTALCO!E1278="", "",TOTALCO!E1278)</f>
        <v/>
      </c>
      <c r="F749" s="12">
        <f ca="1">IF(TOTALCO!F1278="", "",TOTALCO!F1278)</f>
        <v>-170083</v>
      </c>
      <c r="G749" s="12" t="str">
        <f>IF(TOTALCO!G1278="", "",TOTALCO!G1278)</f>
        <v/>
      </c>
      <c r="H749" s="12">
        <f ca="1">IF(TOTALCO!H1278="", "",TOTALCO!H1278)</f>
        <v>-10374</v>
      </c>
      <c r="I749" s="12">
        <f ca="1">IF(TOTALCO!I1278="", "",TOTALCO!I1278)</f>
        <v>-13853</v>
      </c>
      <c r="J749" s="12" t="str">
        <f>IF(TOTALCO!J1278="", "",TOTALCO!J1278)</f>
        <v/>
      </c>
      <c r="K749" s="12" t="str">
        <f>IF(TOTALCO!K1278="", "",TOTALCO!K1278)</f>
        <v/>
      </c>
      <c r="L749" s="12">
        <f ca="1">IF(TOTALCO!L1278="", "",TOTALCO!L1278)</f>
        <v>-2</v>
      </c>
      <c r="M749" s="12" t="str">
        <f>IF(TOTALCO!M1278="", "",TOTALCO!M1278)</f>
        <v/>
      </c>
      <c r="N749" s="12">
        <f ca="1">IF(TOTALCO!N1278="", "",TOTALCO!N1278)</f>
        <v>-13851</v>
      </c>
      <c r="O749" s="12">
        <f ca="1">IF(TOTALCO!O1278="", "",TOTALCO!O1278)</f>
        <v>-4399</v>
      </c>
      <c r="P749" s="12">
        <f ca="1">IF(TOTALCO!P1278="", "",TOTALCO!P1278)</f>
        <v>-9452</v>
      </c>
      <c r="Q749" s="12"/>
      <c r="R749" s="13"/>
    </row>
    <row r="750" spans="1:18" ht="15" x14ac:dyDescent="0.2">
      <c r="A750" s="382">
        <f>IF(TOTALCO!A1279="", "",TOTALCO!A1279)</f>
        <v>18</v>
      </c>
      <c r="B750" s="4" t="str">
        <f>IF(TOTALCO!B1279="", "",TOTALCO!B1279)</f>
        <v>203(E) EXCESS-STATE</v>
      </c>
      <c r="C750" s="4" t="str">
        <f>IF(TOTALCO!C1279="", "",TOTALCO!C1279)</f>
        <v>KYRATEBASE</v>
      </c>
      <c r="D750" s="12">
        <f ca="1">IF(TOTALCO!D1279="", "",TOTALCO!D1279)</f>
        <v>-148917</v>
      </c>
      <c r="E750" s="12" t="str">
        <f>IF(TOTALCO!E1279="", "",TOTALCO!E1279)</f>
        <v/>
      </c>
      <c r="F750" s="12">
        <f ca="1">IF(TOTALCO!F1279="", "",TOTALCO!F1279)</f>
        <v>-137702</v>
      </c>
      <c r="G750" s="12" t="str">
        <f>IF(TOTALCO!G1279="", "",TOTALCO!G1279)</f>
        <v/>
      </c>
      <c r="H750" s="12">
        <f ca="1">IF(TOTALCO!H1279="", "",TOTALCO!H1279)</f>
        <v>0</v>
      </c>
      <c r="I750" s="12">
        <f ca="1">IF(TOTALCO!I1279="", "",TOTALCO!I1279)</f>
        <v>-11215</v>
      </c>
      <c r="J750" s="12" t="str">
        <f>IF(TOTALCO!J1279="", "",TOTALCO!J1279)</f>
        <v/>
      </c>
      <c r="K750" s="12" t="str">
        <f>IF(TOTALCO!K1279="", "",TOTALCO!K1279)</f>
        <v/>
      </c>
      <c r="L750" s="12">
        <f ca="1">IF(TOTALCO!L1279="", "",TOTALCO!L1279)</f>
        <v>0</v>
      </c>
      <c r="M750" s="12" t="str">
        <f>IF(TOTALCO!M1279="", "",TOTALCO!M1279)</f>
        <v/>
      </c>
      <c r="N750" s="12">
        <f ca="1">IF(TOTALCO!N1279="", "",TOTALCO!N1279)</f>
        <v>-11215</v>
      </c>
      <c r="O750" s="12">
        <f ca="1">IF(TOTALCO!O1279="", "",TOTALCO!O1279)</f>
        <v>-3562</v>
      </c>
      <c r="P750" s="12">
        <f ca="1">IF(TOTALCO!P1279="", "",TOTALCO!P1279)</f>
        <v>-7653</v>
      </c>
      <c r="Q750" s="12"/>
      <c r="R750" s="13"/>
    </row>
    <row r="751" spans="1:18" ht="15" x14ac:dyDescent="0.2">
      <c r="A751" s="382">
        <f>IF(TOTALCO!A1280="", "",TOTALCO!A1280)</f>
        <v>19</v>
      </c>
      <c r="B751" s="4" t="str">
        <f>IF(TOTALCO!B1280="", "",TOTALCO!B1280)</f>
        <v>KY COAL TAX CREDIT</v>
      </c>
      <c r="C751" s="4" t="str">
        <f>IF(TOTALCO!C1280="", "",TOTALCO!C1280)</f>
        <v>KYRATEBASE</v>
      </c>
      <c r="D751" s="12">
        <f ca="1">IF(TOTALCO!D1280="", "",TOTALCO!D1280)</f>
        <v>-1773106</v>
      </c>
      <c r="E751" s="12" t="str">
        <f>IF(TOTALCO!E1280="", "",TOTALCO!E1280)</f>
        <v/>
      </c>
      <c r="F751" s="12">
        <f ca="1">IF(TOTALCO!F1280="", "",TOTALCO!F1280)</f>
        <v>-1639580</v>
      </c>
      <c r="G751" s="12" t="str">
        <f>IF(TOTALCO!G1280="", "",TOTALCO!G1280)</f>
        <v/>
      </c>
      <c r="H751" s="12">
        <f ca="1">IF(TOTALCO!H1280="", "",TOTALCO!H1280)</f>
        <v>0</v>
      </c>
      <c r="I751" s="12">
        <f ca="1">IF(TOTALCO!I1280="", "",TOTALCO!I1280)</f>
        <v>-133526</v>
      </c>
      <c r="J751" s="12" t="str">
        <f>IF(TOTALCO!J1280="", "",TOTALCO!J1280)</f>
        <v/>
      </c>
      <c r="K751" s="12" t="str">
        <f>IF(TOTALCO!K1280="", "",TOTALCO!K1280)</f>
        <v/>
      </c>
      <c r="L751" s="12">
        <f ca="1">IF(TOTALCO!L1280="", "",TOTALCO!L1280)</f>
        <v>0</v>
      </c>
      <c r="M751" s="12" t="str">
        <f>IF(TOTALCO!M1280="", "",TOTALCO!M1280)</f>
        <v/>
      </c>
      <c r="N751" s="12">
        <f ca="1">IF(TOTALCO!N1280="", "",TOTALCO!N1280)</f>
        <v>-133526</v>
      </c>
      <c r="O751" s="12">
        <f ca="1">IF(TOTALCO!O1280="", "",TOTALCO!O1280)</f>
        <v>-42408</v>
      </c>
      <c r="P751" s="12">
        <f ca="1">IF(TOTALCO!P1280="", "",TOTALCO!P1280)</f>
        <v>-91118</v>
      </c>
      <c r="Q751" s="12"/>
      <c r="R751" s="13"/>
    </row>
    <row r="752" spans="1:18" ht="15" x14ac:dyDescent="0.2">
      <c r="A752" s="382">
        <f>IF(TOTALCO!A1281="", "",TOTALCO!A1281)</f>
        <v>20</v>
      </c>
      <c r="B752" s="4" t="str">
        <f>IF(TOTALCO!B1281="", "",TOTALCO!B1281)</f>
        <v>STATE TAX TOTAL</v>
      </c>
      <c r="C752" s="4" t="str">
        <f>IF(TOTALCO!C1281="", "",TOTALCO!C1281)</f>
        <v/>
      </c>
      <c r="D752" s="12">
        <f ca="1">IF(TOTALCO!D1281="", "",TOTALCO!D1281)</f>
        <v>12996822.559999999</v>
      </c>
      <c r="E752" s="12" t="str">
        <f>IF(TOTALCO!E1281="", "",TOTALCO!E1281)</f>
        <v/>
      </c>
      <c r="F752" s="12">
        <f ca="1">IF(TOTALCO!F1281="", "",TOTALCO!F1281)</f>
        <v>11815412.979999999</v>
      </c>
      <c r="G752" s="12" t="str">
        <f>IF(TOTALCO!G1281="", "",TOTALCO!G1281)</f>
        <v/>
      </c>
      <c r="H752" s="12">
        <f ca="1">IF(TOTALCO!H1281="", "",TOTALCO!H1281)</f>
        <v>581413.48083339399</v>
      </c>
      <c r="I752" s="12">
        <f ca="1">IF(TOTALCO!I1281="", "",TOTALCO!I1281)</f>
        <v>532425.88</v>
      </c>
      <c r="J752" s="12" t="str">
        <f>IF(TOTALCO!J1281="", "",TOTALCO!J1281)</f>
        <v/>
      </c>
      <c r="K752" s="12" t="str">
        <f>IF(TOTALCO!K1281="", "",TOTALCO!K1281)</f>
        <v/>
      </c>
      <c r="L752" s="12">
        <f ca="1">IF(TOTALCO!L1281="", "",TOTALCO!L1281)</f>
        <v>-750.31999999999994</v>
      </c>
      <c r="M752" s="12" t="str">
        <f>IF(TOTALCO!M1281="", "",TOTALCO!M1281)</f>
        <v/>
      </c>
      <c r="N752" s="12">
        <f ca="1">IF(TOTALCO!N1281="", "",TOTALCO!N1281)</f>
        <v>533176.19999999995</v>
      </c>
      <c r="O752" s="12">
        <f ca="1">IF(TOTALCO!O1281="", "",TOTALCO!O1281)</f>
        <v>171606.28</v>
      </c>
      <c r="P752" s="12">
        <f ca="1">IF(TOTALCO!P1281="", "",TOTALCO!P1281)</f>
        <v>361569.92</v>
      </c>
      <c r="Q752" s="12"/>
      <c r="R752" s="13"/>
    </row>
    <row r="753" spans="1:18" ht="15" x14ac:dyDescent="0.2">
      <c r="A753" s="382">
        <f>IF(TOTALCO!A1282="", "",TOTALCO!A1282)</f>
        <v>21</v>
      </c>
      <c r="B753" s="4" t="str">
        <f>IF(TOTALCO!B1282="", "",TOTALCO!B1282)</f>
        <v>SEC. 199 DEDUCTION-FEDERAL INCREMENT</v>
      </c>
      <c r="C753" s="4" t="str">
        <f>IF(TOTALCO!C1282="", "",TOTALCO!C1282)</f>
        <v>STMSYS</v>
      </c>
      <c r="D753" s="12">
        <f ca="1">IF(TOTALCO!D1282="", "",TOTALCO!D1282)</f>
        <v>3803487</v>
      </c>
      <c r="E753" s="12" t="str">
        <f>IF(TOTALCO!E1282="", "",TOTALCO!E1282)</f>
        <v/>
      </c>
      <c r="F753" s="12">
        <f ca="1">IF(TOTALCO!F1282="", "",TOTALCO!F1282)</f>
        <v>3291881</v>
      </c>
      <c r="G753" s="12" t="str">
        <f>IF(TOTALCO!G1282="", "",TOTALCO!G1282)</f>
        <v/>
      </c>
      <c r="H753" s="12">
        <f ca="1">IF(TOTALCO!H1282="", "",TOTALCO!H1282)</f>
        <v>193322</v>
      </c>
      <c r="I753" s="12">
        <f ca="1">IF(TOTALCO!I1282="", "",TOTALCO!I1282)</f>
        <v>318284</v>
      </c>
      <c r="J753" s="12" t="str">
        <f>IF(TOTALCO!J1282="", "",TOTALCO!J1282)</f>
        <v/>
      </c>
      <c r="K753" s="12" t="str">
        <f>IF(TOTALCO!K1282="", "",TOTALCO!K1282)</f>
        <v/>
      </c>
      <c r="L753" s="12">
        <f ca="1">IF(TOTALCO!L1282="", "",TOTALCO!L1282)</f>
        <v>29</v>
      </c>
      <c r="M753" s="12" t="str">
        <f>IF(TOTALCO!M1282="", "",TOTALCO!M1282)</f>
        <v/>
      </c>
      <c r="N753" s="12">
        <f ca="1">IF(TOTALCO!N1282="", "",TOTALCO!N1282)</f>
        <v>318255</v>
      </c>
      <c r="O753" s="12">
        <f ca="1">IF(TOTALCO!O1282="", "",TOTALCO!O1282)</f>
        <v>99304</v>
      </c>
      <c r="P753" s="12">
        <f ca="1">IF(TOTALCO!P1282="", "",TOTALCO!P1282)</f>
        <v>218951</v>
      </c>
      <c r="Q753" s="12"/>
      <c r="R753" s="13"/>
    </row>
    <row r="754" spans="1:18" ht="15" x14ac:dyDescent="0.2">
      <c r="A754" s="382">
        <f>IF(TOTALCO!A1283="", "",TOTALCO!A1283)</f>
        <v>22</v>
      </c>
      <c r="B754" s="4" t="str">
        <f>IF(TOTALCO!B1283="", "",TOTALCO!B1283)</f>
        <v>STATE TAX ADJUSTS FOR FEDERAL</v>
      </c>
      <c r="C754" s="4" t="str">
        <f>IF(TOTALCO!C1283="", "",TOTALCO!C1283)</f>
        <v>RATEBASE</v>
      </c>
      <c r="D754" s="12">
        <f ca="1">IF(TOTALCO!D1283="", "",TOTALCO!D1283)</f>
        <v>0</v>
      </c>
      <c r="E754" s="12" t="str">
        <f>IF(TOTALCO!E1283="", "",TOTALCO!E1283)</f>
        <v/>
      </c>
      <c r="F754" s="12">
        <f ca="1">IF(TOTALCO!F1283="", "",TOTALCO!F1283)</f>
        <v>0</v>
      </c>
      <c r="G754" s="12" t="str">
        <f>IF(TOTALCO!G1283="", "",TOTALCO!G1283)</f>
        <v/>
      </c>
      <c r="H754" s="12">
        <f ca="1">IF(TOTALCO!H1283="", "",TOTALCO!H1283)</f>
        <v>0</v>
      </c>
      <c r="I754" s="12">
        <f ca="1">IF(TOTALCO!I1283="", "",TOTALCO!I1283)</f>
        <v>0</v>
      </c>
      <c r="J754" s="12" t="str">
        <f>IF(TOTALCO!J1283="", "",TOTALCO!J1283)</f>
        <v/>
      </c>
      <c r="K754" s="12" t="str">
        <f>IF(TOTALCO!K1283="", "",TOTALCO!K1283)</f>
        <v/>
      </c>
      <c r="L754" s="12">
        <f ca="1">IF(TOTALCO!L1283="", "",TOTALCO!L1283)</f>
        <v>0</v>
      </c>
      <c r="M754" s="12" t="str">
        <f>IF(TOTALCO!M1283="", "",TOTALCO!M1283)</f>
        <v/>
      </c>
      <c r="N754" s="12">
        <f ca="1">IF(TOTALCO!N1283="", "",TOTALCO!N1283)</f>
        <v>0</v>
      </c>
      <c r="O754" s="12">
        <f ca="1">IF(TOTALCO!O1283="", "",TOTALCO!O1283)</f>
        <v>0</v>
      </c>
      <c r="P754" s="12">
        <f ca="1">IF(TOTALCO!P1283="", "",TOTALCO!P1283)</f>
        <v>0</v>
      </c>
      <c r="Q754" s="12"/>
      <c r="R754" s="13"/>
    </row>
    <row r="755" spans="1:18" ht="15" x14ac:dyDescent="0.2">
      <c r="A755" s="382">
        <f>IF(TOTALCO!A1284="", "",TOTALCO!A1284)</f>
        <v>23</v>
      </c>
      <c r="B755" s="4" t="str">
        <f>IF(TOTALCO!B1284="", "",TOTALCO!B1284)</f>
        <v>FEDERAL TAXABLE INCOME (LINE 14-20-21)</v>
      </c>
      <c r="C755" s="4" t="str">
        <f>IF(TOTALCO!C1284="", "",TOTALCO!C1284)</f>
        <v/>
      </c>
      <c r="D755" s="12">
        <f ca="1">IF(TOTALCO!D1284="", "",TOTALCO!D1284)</f>
        <v>242692590.44</v>
      </c>
      <c r="E755" s="12" t="str">
        <f>IF(TOTALCO!E1284="", "",TOTALCO!E1284)</f>
        <v/>
      </c>
      <c r="F755" s="12">
        <f ca="1">IF(TOTALCO!F1284="", "",TOTALCO!F1284)</f>
        <v>220856101.02000001</v>
      </c>
      <c r="G755" s="12" t="str">
        <f>IF(TOTALCO!G1284="", "",TOTALCO!G1284)</f>
        <v/>
      </c>
      <c r="H755" s="12">
        <f ca="1">IF(TOTALCO!H1284="", "",TOTALCO!H1284)</f>
        <v>10599483.519166606</v>
      </c>
      <c r="I755" s="12">
        <f ca="1">IF(TOTALCO!I1284="", "",TOTALCO!I1284)</f>
        <v>11302856.120000001</v>
      </c>
      <c r="J755" s="12" t="str">
        <f>IF(TOTALCO!J1284="", "",TOTALCO!J1284)</f>
        <v/>
      </c>
      <c r="K755" s="12" t="str">
        <f>IF(TOTALCO!K1284="", "",TOTALCO!K1284)</f>
        <v/>
      </c>
      <c r="L755" s="12">
        <f ca="1">IF(TOTALCO!L1284="", "",TOTALCO!L1284)</f>
        <v>-11692.68</v>
      </c>
      <c r="M755" s="12" t="str">
        <f>IF(TOTALCO!M1284="", "",TOTALCO!M1284)</f>
        <v/>
      </c>
      <c r="N755" s="12">
        <f ca="1">IF(TOTALCO!N1284="", "",TOTALCO!N1284)</f>
        <v>11314548.800000001</v>
      </c>
      <c r="O755" s="12">
        <f ca="1">IF(TOTALCO!O1284="", "",TOTALCO!O1284)</f>
        <v>3627285.72</v>
      </c>
      <c r="P755" s="12">
        <f ca="1">IF(TOTALCO!P1284="", "",TOTALCO!P1284)</f>
        <v>7687263.0800000001</v>
      </c>
      <c r="Q755" s="12"/>
      <c r="R755" s="13"/>
    </row>
    <row r="756" spans="1:18" ht="15" x14ac:dyDescent="0.2">
      <c r="A756" s="382" t="str">
        <f>IF(TOTALCO!A1285="", "",TOTALCO!A1285)</f>
        <v/>
      </c>
      <c r="B756" s="4" t="str">
        <f>IF(TOTALCO!B1285="", "",TOTALCO!B1285)</f>
        <v/>
      </c>
      <c r="C756" s="4" t="str">
        <f>IF(TOTALCO!C1285="", "",TOTALCO!C1285)</f>
        <v/>
      </c>
      <c r="D756" s="12" t="str">
        <f>IF(TOTALCO!D1285="", "",TOTALCO!D1285)</f>
        <v/>
      </c>
      <c r="E756" s="12" t="str">
        <f>IF(TOTALCO!E1285="", "",TOTALCO!E1285)</f>
        <v/>
      </c>
      <c r="F756" s="12" t="str">
        <f>IF(TOTALCO!F1285="", "",TOTALCO!F1285)</f>
        <v/>
      </c>
      <c r="G756" s="12" t="str">
        <f>IF(TOTALCO!G1285="", "",TOTALCO!G1285)</f>
        <v/>
      </c>
      <c r="H756" s="12" t="str">
        <f>IF(TOTALCO!H1285="", "",TOTALCO!H1285)</f>
        <v/>
      </c>
      <c r="I756" s="12" t="str">
        <f>IF(TOTALCO!I1285="", "",TOTALCO!I1285)</f>
        <v/>
      </c>
      <c r="J756" s="12" t="str">
        <f>IF(TOTALCO!J1285="", "",TOTALCO!J1285)</f>
        <v/>
      </c>
      <c r="K756" s="12" t="str">
        <f>IF(TOTALCO!K1285="", "",TOTALCO!K1285)</f>
        <v/>
      </c>
      <c r="L756" s="12" t="str">
        <f>IF(TOTALCO!L1285="", "",TOTALCO!L1285)</f>
        <v/>
      </c>
      <c r="M756" s="12" t="str">
        <f>IF(TOTALCO!M1285="", "",TOTALCO!M1285)</f>
        <v/>
      </c>
      <c r="N756" s="12" t="str">
        <f>IF(TOTALCO!N1285="", "",TOTALCO!N1285)</f>
        <v/>
      </c>
      <c r="O756" s="12" t="str">
        <f>IF(TOTALCO!O1285="", "",TOTALCO!O1285)</f>
        <v/>
      </c>
      <c r="P756" s="12" t="str">
        <f>IF(TOTALCO!P1285="", "",TOTALCO!P1285)</f>
        <v/>
      </c>
      <c r="Q756" s="12"/>
      <c r="R756" s="13"/>
    </row>
    <row r="757" spans="1:18" ht="15" x14ac:dyDescent="0.2">
      <c r="A757" s="382">
        <f>IF(TOTALCO!A1286="", "",TOTALCO!A1286)</f>
        <v>24</v>
      </c>
      <c r="B757" s="4" t="str">
        <f>IF(TOTALCO!B1286="", "",TOTALCO!B1286)</f>
        <v>FEDERAL TAXES @ 35%</v>
      </c>
      <c r="C757" s="4" t="str">
        <f>IF(TOTALCO!C1286="", "",TOTALCO!C1286)</f>
        <v/>
      </c>
      <c r="D757" s="12">
        <f ca="1">IF(TOTALCO!D1286="", "",TOTALCO!D1286)</f>
        <v>84942407</v>
      </c>
      <c r="E757" s="12" t="str">
        <f>IF(TOTALCO!E1286="", "",TOTALCO!E1286)</f>
        <v/>
      </c>
      <c r="F757" s="12">
        <f ca="1">IF(TOTALCO!F1286="", "",TOTALCO!F1286)</f>
        <v>77299635</v>
      </c>
      <c r="G757" s="12" t="str">
        <f>IF(TOTALCO!G1286="", "",TOTALCO!G1286)</f>
        <v/>
      </c>
      <c r="H757" s="12">
        <f ca="1">IF(TOTALCO!H1286="", "",TOTALCO!H1286)</f>
        <v>3709819</v>
      </c>
      <c r="I757" s="12">
        <f ca="1">IF(TOTALCO!I1286="", "",TOTALCO!I1286)</f>
        <v>3956000</v>
      </c>
      <c r="J757" s="12" t="str">
        <f>IF(TOTALCO!J1286="", "",TOTALCO!J1286)</f>
        <v/>
      </c>
      <c r="K757" s="12" t="str">
        <f>IF(TOTALCO!K1286="", "",TOTALCO!K1286)</f>
        <v/>
      </c>
      <c r="L757" s="12">
        <f ca="1">IF(TOTALCO!L1286="", "",TOTALCO!L1286)</f>
        <v>-4092</v>
      </c>
      <c r="M757" s="12" t="str">
        <f>IF(TOTALCO!M1286="", "",TOTALCO!M1286)</f>
        <v/>
      </c>
      <c r="N757" s="12">
        <f ca="1">IF(TOTALCO!N1286="", "",TOTALCO!N1286)</f>
        <v>3960092</v>
      </c>
      <c r="O757" s="12">
        <f ca="1">IF(TOTALCO!O1286="", "",TOTALCO!O1286)</f>
        <v>1269550</v>
      </c>
      <c r="P757" s="12">
        <f ca="1">IF(TOTALCO!P1286="", "",TOTALCO!P1286)</f>
        <v>2690542</v>
      </c>
      <c r="Q757" s="12"/>
      <c r="R757" s="13"/>
    </row>
    <row r="758" spans="1:18" ht="15" x14ac:dyDescent="0.2">
      <c r="A758" s="382">
        <f>IF(TOTALCO!A1287="", "",TOTALCO!A1287)</f>
        <v>25</v>
      </c>
      <c r="B758" s="4" t="str">
        <f>IF(TOTALCO!B1287="", "",TOTALCO!B1287)</f>
        <v>EXCESS DEFERRED TAXES</v>
      </c>
      <c r="C758" s="4" t="str">
        <f>IF(TOTALCO!C1287="", "",TOTALCO!C1287)</f>
        <v>RATEBASE</v>
      </c>
      <c r="D758" s="12">
        <f ca="1">IF(TOTALCO!D1287="", "",TOTALCO!D1287)</f>
        <v>0</v>
      </c>
      <c r="E758" s="12" t="str">
        <f>IF(TOTALCO!E1287="", "",TOTALCO!E1287)</f>
        <v/>
      </c>
      <c r="F758" s="12">
        <f ca="1">IF(TOTALCO!F1287="", "",TOTALCO!F1287)</f>
        <v>0</v>
      </c>
      <c r="G758" s="12" t="str">
        <f>IF(TOTALCO!G1287="", "",TOTALCO!G1287)</f>
        <v/>
      </c>
      <c r="H758" s="12">
        <f ca="1">IF(TOTALCO!H1287="", "",TOTALCO!H1287)</f>
        <v>0</v>
      </c>
      <c r="I758" s="12">
        <f ca="1">IF(TOTALCO!I1287="", "",TOTALCO!I1287)</f>
        <v>0</v>
      </c>
      <c r="J758" s="12" t="str">
        <f>IF(TOTALCO!J1287="", "",TOTALCO!J1287)</f>
        <v/>
      </c>
      <c r="K758" s="12" t="str">
        <f>IF(TOTALCO!K1287="", "",TOTALCO!K1287)</f>
        <v/>
      </c>
      <c r="L758" s="12">
        <f ca="1">IF(TOTALCO!L1287="", "",TOTALCO!L1287)</f>
        <v>0</v>
      </c>
      <c r="M758" s="12" t="str">
        <f>IF(TOTALCO!M1287="", "",TOTALCO!M1287)</f>
        <v/>
      </c>
      <c r="N758" s="12">
        <f ca="1">IF(TOTALCO!N1287="", "",TOTALCO!N1287)</f>
        <v>0</v>
      </c>
      <c r="O758" s="12">
        <f ca="1">IF(TOTALCO!O1287="", "",TOTALCO!O1287)</f>
        <v>0</v>
      </c>
      <c r="P758" s="12">
        <f ca="1">IF(TOTALCO!P1287="", "",TOTALCO!P1287)</f>
        <v>0</v>
      </c>
      <c r="Q758" s="12"/>
      <c r="R758" s="13"/>
    </row>
    <row r="759" spans="1:18" ht="15" x14ac:dyDescent="0.2">
      <c r="A759" s="382">
        <f>IF(TOTALCO!A1288="", "",TOTALCO!A1288)</f>
        <v>26</v>
      </c>
      <c r="B759" s="4" t="str">
        <f>IF(TOTALCO!B1288="", "",TOTALCO!B1288)</f>
        <v>203(E) EXCESS-FEDERAL</v>
      </c>
      <c r="C759" s="4" t="str">
        <f>IF(TOTALCO!C1288="", "",TOTALCO!C1288)</f>
        <v>RATEBASE</v>
      </c>
      <c r="D759" s="12">
        <f ca="1">IF(TOTALCO!D1288="", "",TOTALCO!D1288)</f>
        <v>-515496</v>
      </c>
      <c r="E759" s="12" t="str">
        <f>IF(TOTALCO!E1288="", "",TOTALCO!E1288)</f>
        <v/>
      </c>
      <c r="F759" s="12">
        <f ca="1">IF(TOTALCO!F1288="", "",TOTALCO!F1288)</f>
        <v>-451224</v>
      </c>
      <c r="G759" s="12" t="str">
        <f>IF(TOTALCO!G1288="", "",TOTALCO!G1288)</f>
        <v/>
      </c>
      <c r="H759" s="12">
        <f ca="1">IF(TOTALCO!H1288="", "",TOTALCO!H1288)</f>
        <v>-27520</v>
      </c>
      <c r="I759" s="12">
        <f ca="1">IF(TOTALCO!I1288="", "",TOTALCO!I1288)</f>
        <v>-36752</v>
      </c>
      <c r="J759" s="12" t="str">
        <f>IF(TOTALCO!J1288="", "",TOTALCO!J1288)</f>
        <v/>
      </c>
      <c r="K759" s="12" t="str">
        <f>IF(TOTALCO!K1288="", "",TOTALCO!K1288)</f>
        <v/>
      </c>
      <c r="L759" s="12">
        <f ca="1">IF(TOTALCO!L1288="", "",TOTALCO!L1288)</f>
        <v>-5</v>
      </c>
      <c r="M759" s="12" t="str">
        <f>IF(TOTALCO!M1288="", "",TOTALCO!M1288)</f>
        <v/>
      </c>
      <c r="N759" s="12">
        <f ca="1">IF(TOTALCO!N1288="", "",TOTALCO!N1288)</f>
        <v>-36747</v>
      </c>
      <c r="O759" s="12">
        <f ca="1">IF(TOTALCO!O1288="", "",TOTALCO!O1288)</f>
        <v>-11671</v>
      </c>
      <c r="P759" s="12">
        <f ca="1">IF(TOTALCO!P1288="", "",TOTALCO!P1288)</f>
        <v>-25076</v>
      </c>
      <c r="Q759" s="12"/>
      <c r="R759" s="13"/>
    </row>
    <row r="760" spans="1:18" ht="15" x14ac:dyDescent="0.2">
      <c r="A760" s="382">
        <f>IF(TOTALCO!A1289="", "",TOTALCO!A1289)</f>
        <v>27</v>
      </c>
      <c r="B760" s="4" t="str">
        <f>IF(TOTALCO!B1289="", "",TOTALCO!B1289)</f>
        <v>INVESTMENT TAX CREDIT ADJ</v>
      </c>
      <c r="C760" s="4" t="str">
        <f>IF(TOTALCO!C1289="", "",TOTALCO!C1289)</f>
        <v/>
      </c>
      <c r="D760" s="12">
        <f ca="1">IF(TOTALCO!D1289="", "",TOTALCO!D1289)</f>
        <v>0</v>
      </c>
      <c r="E760" s="12" t="str">
        <f>IF(TOTALCO!E1289="", "",TOTALCO!E1289)</f>
        <v/>
      </c>
      <c r="F760" s="12">
        <f ca="1">IF(TOTALCO!F1289="", "",TOTALCO!F1289)</f>
        <v>0</v>
      </c>
      <c r="G760" s="12" t="str">
        <f>IF(TOTALCO!G1289="", "",TOTALCO!G1289)</f>
        <v/>
      </c>
      <c r="H760" s="12">
        <f ca="1">IF(TOTALCO!H1289="", "",TOTALCO!H1289)</f>
        <v>0</v>
      </c>
      <c r="I760" s="12">
        <f ca="1">IF(TOTALCO!I1289="", "",TOTALCO!I1289)</f>
        <v>0</v>
      </c>
      <c r="J760" s="12" t="str">
        <f>IF(TOTALCO!J1289="", "",TOTALCO!J1289)</f>
        <v/>
      </c>
      <c r="K760" s="12" t="str">
        <f>IF(TOTALCO!K1289="", "",TOTALCO!K1289)</f>
        <v/>
      </c>
      <c r="L760" s="12">
        <f ca="1">IF(TOTALCO!L1289="", "",TOTALCO!L1289)</f>
        <v>0</v>
      </c>
      <c r="M760" s="12" t="str">
        <f>IF(TOTALCO!M1289="", "",TOTALCO!M1289)</f>
        <v/>
      </c>
      <c r="N760" s="12">
        <f ca="1">IF(TOTALCO!N1289="", "",TOTALCO!N1289)</f>
        <v>0</v>
      </c>
      <c r="O760" s="12">
        <f ca="1">IF(TOTALCO!O1289="", "",TOTALCO!O1289)</f>
        <v>0</v>
      </c>
      <c r="P760" s="12">
        <f ca="1">IF(TOTALCO!P1289="", "",TOTALCO!P1289)</f>
        <v>0</v>
      </c>
      <c r="Q760" s="12"/>
      <c r="R760" s="13"/>
    </row>
    <row r="761" spans="1:18" ht="15" x14ac:dyDescent="0.2">
      <c r="A761" s="382">
        <f>IF(TOTALCO!A1290="", "",TOTALCO!A1290)</f>
        <v>28</v>
      </c>
      <c r="B761" s="4" t="str">
        <f>IF(TOTALCO!B1290="", "",TOTALCO!B1290)</f>
        <v>FEDERAL TAX TRUE-UP AND ADJ</v>
      </c>
      <c r="C761" s="4" t="str">
        <f>IF(TOTALCO!C1290="", "",TOTALCO!C1290)</f>
        <v>RATEBASE</v>
      </c>
      <c r="D761" s="12">
        <f ca="1">IF(TOTALCO!D1290="", "",TOTALCO!D1290)</f>
        <v>1137311</v>
      </c>
      <c r="E761" s="12" t="str">
        <f>IF(TOTALCO!E1290="", "",TOTALCO!E1290)</f>
        <v/>
      </c>
      <c r="F761" s="12">
        <f ca="1">IF(TOTALCO!F1290="", "",TOTALCO!F1290)</f>
        <v>995510</v>
      </c>
      <c r="G761" s="12" t="str">
        <f>IF(TOTALCO!G1290="", "",TOTALCO!G1290)</f>
        <v/>
      </c>
      <c r="H761" s="12">
        <f ca="1">IF(TOTALCO!H1290="", "",TOTALCO!H1290)</f>
        <v>60717</v>
      </c>
      <c r="I761" s="12">
        <f ca="1">IF(TOTALCO!I1290="", "",TOTALCO!I1290)</f>
        <v>81084</v>
      </c>
      <c r="J761" s="12" t="str">
        <f>IF(TOTALCO!J1290="", "",TOTALCO!J1290)</f>
        <v/>
      </c>
      <c r="K761" s="12" t="str">
        <f>IF(TOTALCO!K1290="", "",TOTALCO!K1290)</f>
        <v/>
      </c>
      <c r="L761" s="12">
        <f ca="1">IF(TOTALCO!L1290="", "",TOTALCO!L1290)</f>
        <v>11</v>
      </c>
      <c r="M761" s="12" t="str">
        <f>IF(TOTALCO!M1290="", "",TOTALCO!M1290)</f>
        <v/>
      </c>
      <c r="N761" s="12">
        <f ca="1">IF(TOTALCO!N1290="", "",TOTALCO!N1290)</f>
        <v>81073</v>
      </c>
      <c r="O761" s="12">
        <f ca="1">IF(TOTALCO!O1290="", "",TOTALCO!O1290)</f>
        <v>25749</v>
      </c>
      <c r="P761" s="12">
        <f ca="1">IF(TOTALCO!P1290="", "",TOTALCO!P1290)</f>
        <v>55324</v>
      </c>
      <c r="Q761" s="12"/>
      <c r="R761" s="13"/>
    </row>
    <row r="762" spans="1:18" ht="15" x14ac:dyDescent="0.2">
      <c r="A762" s="382">
        <f>IF(TOTALCO!A1291="", "",TOTALCO!A1291)</f>
        <v>29</v>
      </c>
      <c r="B762" s="4" t="str">
        <f>IF(TOTALCO!B1291="", "",TOTALCO!B1291)</f>
        <v xml:space="preserve"> FEDERAL TAX TOTAL</v>
      </c>
      <c r="C762" s="4" t="str">
        <f>IF(TOTALCO!C1291="", "",TOTALCO!C1291)</f>
        <v/>
      </c>
      <c r="D762" s="12">
        <f ca="1">IF(TOTALCO!D1291="", "",TOTALCO!D1291)</f>
        <v>85564222</v>
      </c>
      <c r="E762" s="12" t="str">
        <f>IF(TOTALCO!E1291="", "",TOTALCO!E1291)</f>
        <v/>
      </c>
      <c r="F762" s="12">
        <f ca="1">IF(TOTALCO!F1291="", "",TOTALCO!F1291)</f>
        <v>77843921</v>
      </c>
      <c r="G762" s="12" t="str">
        <f>IF(TOTALCO!G1291="", "",TOTALCO!G1291)</f>
        <v/>
      </c>
      <c r="H762" s="12">
        <f ca="1">IF(TOTALCO!H1291="", "",TOTALCO!H1291)</f>
        <v>3743016</v>
      </c>
      <c r="I762" s="12">
        <f ca="1">IF(TOTALCO!I1291="", "",TOTALCO!I1291)</f>
        <v>4000332</v>
      </c>
      <c r="J762" s="12" t="str">
        <f>IF(TOTALCO!J1291="", "",TOTALCO!J1291)</f>
        <v/>
      </c>
      <c r="K762" s="12" t="str">
        <f>IF(TOTALCO!K1291="", "",TOTALCO!K1291)</f>
        <v/>
      </c>
      <c r="L762" s="12">
        <f ca="1">IF(TOTALCO!L1291="", "",TOTALCO!L1291)</f>
        <v>-4086</v>
      </c>
      <c r="M762" s="12" t="str">
        <f>IF(TOTALCO!M1291="", "",TOTALCO!M1291)</f>
        <v/>
      </c>
      <c r="N762" s="12">
        <f ca="1">IF(TOTALCO!N1291="", "",TOTALCO!N1291)</f>
        <v>4004418</v>
      </c>
      <c r="O762" s="12">
        <f ca="1">IF(TOTALCO!O1291="", "",TOTALCO!O1291)</f>
        <v>1283628</v>
      </c>
      <c r="P762" s="12">
        <f ca="1">IF(TOTALCO!P1291="", "",TOTALCO!P1291)</f>
        <v>2720790</v>
      </c>
      <c r="Q762" s="12"/>
      <c r="R762" s="13"/>
    </row>
    <row r="763" spans="1:18" ht="15" x14ac:dyDescent="0.2">
      <c r="A763" s="382" t="str">
        <f>IF(TOTALCO!A1292="", "",TOTALCO!A1292)</f>
        <v/>
      </c>
      <c r="B763" s="4" t="str">
        <f>IF(TOTALCO!B1292="", "",TOTALCO!B1292)</f>
        <v/>
      </c>
      <c r="C763" s="4" t="str">
        <f>IF(TOTALCO!C1292="", "",TOTALCO!C1292)</f>
        <v/>
      </c>
      <c r="D763" s="12" t="str">
        <f>IF(TOTALCO!D1292="", "",TOTALCO!D1292)</f>
        <v/>
      </c>
      <c r="E763" s="12" t="str">
        <f>IF(TOTALCO!E1292="", "",TOTALCO!E1292)</f>
        <v/>
      </c>
      <c r="F763" s="12" t="str">
        <f>IF(TOTALCO!F1292="", "",TOTALCO!F1292)</f>
        <v/>
      </c>
      <c r="G763" s="12" t="str">
        <f>IF(TOTALCO!G1292="", "",TOTALCO!G1292)</f>
        <v/>
      </c>
      <c r="H763" s="12" t="str">
        <f>IF(TOTALCO!H1292="", "",TOTALCO!H1292)</f>
        <v/>
      </c>
      <c r="I763" s="12" t="str">
        <f>IF(TOTALCO!I1292="", "",TOTALCO!I1292)</f>
        <v/>
      </c>
      <c r="J763" s="12" t="str">
        <f>IF(TOTALCO!J1292="", "",TOTALCO!J1292)</f>
        <v/>
      </c>
      <c r="K763" s="12" t="str">
        <f>IF(TOTALCO!K1292="", "",TOTALCO!K1292)</f>
        <v/>
      </c>
      <c r="L763" s="12" t="str">
        <f>IF(TOTALCO!L1292="", "",TOTALCO!L1292)</f>
        <v/>
      </c>
      <c r="M763" s="12" t="str">
        <f>IF(TOTALCO!M1292="", "",TOTALCO!M1292)</f>
        <v/>
      </c>
      <c r="N763" s="12" t="str">
        <f>IF(TOTALCO!N1292="", "",TOTALCO!N1292)</f>
        <v/>
      </c>
      <c r="O763" s="12" t="str">
        <f>IF(TOTALCO!O1292="", "",TOTALCO!O1292)</f>
        <v/>
      </c>
      <c r="P763" s="12" t="str">
        <f>IF(TOTALCO!P1292="", "",TOTALCO!P1292)</f>
        <v/>
      </c>
      <c r="Q763" s="12"/>
      <c r="R763" s="13"/>
    </row>
    <row r="764" spans="1:18" ht="15" x14ac:dyDescent="0.2">
      <c r="A764" s="382">
        <f>IF(TOTALCO!A1293="", "",TOTALCO!A1293)</f>
        <v>30</v>
      </c>
      <c r="B764" s="4" t="str">
        <f>IF(TOTALCO!B1293="", "",TOTALCO!B1293)</f>
        <v>RETURN</v>
      </c>
      <c r="C764" s="4" t="str">
        <f>IF(TOTALCO!C1293="", "",TOTALCO!C1293)</f>
        <v/>
      </c>
      <c r="D764" s="12">
        <f ca="1">IF(TOTALCO!D1293="", "",TOTALCO!D1293)</f>
        <v>224355338.0399999</v>
      </c>
      <c r="E764" s="12" t="str">
        <f>IF(TOTALCO!E1293="", "",TOTALCO!E1293)</f>
        <v/>
      </c>
      <c r="F764" s="12">
        <f ca="1">IF(TOTALCO!F1293="", "",TOTALCO!F1293)</f>
        <v>202748923.51282847</v>
      </c>
      <c r="G764" s="12" t="str">
        <f>IF(TOTALCO!G1293="", "",TOTALCO!G1293)</f>
        <v/>
      </c>
      <c r="H764" s="12">
        <f ca="1">IF(TOTALCO!H1293="", "",TOTALCO!H1293)</f>
        <v>10418786.490554946</v>
      </c>
      <c r="I764" s="12">
        <f ca="1">IF(TOTALCO!I1293="", "",TOTALCO!I1293)</f>
        <v>11232151.255783213</v>
      </c>
      <c r="J764" s="12" t="str">
        <f>IF(TOTALCO!J1293="", "",TOTALCO!J1293)</f>
        <v/>
      </c>
      <c r="K764" s="12" t="str">
        <f>IF(TOTALCO!K1293="", "",TOTALCO!K1293)</f>
        <v/>
      </c>
      <c r="L764" s="12">
        <f ca="1">IF(TOTALCO!L1293="", "",TOTALCO!L1293)</f>
        <v>-6969.2761043136124</v>
      </c>
      <c r="M764" s="12" t="str">
        <f>IF(TOTALCO!M1293="", "",TOTALCO!M1293)</f>
        <v/>
      </c>
      <c r="N764" s="12">
        <f ca="1">IF(TOTALCO!N1293="", "",TOTALCO!N1293)</f>
        <v>11239120.531887528</v>
      </c>
      <c r="O764" s="12">
        <f ca="1">IF(TOTALCO!O1293="", "",TOTALCO!O1293)</f>
        <v>3596735.4962059716</v>
      </c>
      <c r="P764" s="12">
        <f ca="1">IF(TOTALCO!P1293="", "",TOTALCO!P1293)</f>
        <v>7642385.035681555</v>
      </c>
      <c r="Q764" s="12"/>
      <c r="R764" s="13"/>
    </row>
    <row r="765" spans="1:18" ht="15" x14ac:dyDescent="0.2">
      <c r="A765" s="382">
        <f>IF(TOTALCO!A1294="", "",TOTALCO!A1294)</f>
        <v>31</v>
      </c>
      <c r="B765" s="4" t="str">
        <f>IF(TOTALCO!B1294="", "",TOTALCO!B1294)</f>
        <v>RATE OF RETURN</v>
      </c>
      <c r="C765" s="4" t="str">
        <f>IF(TOTALCO!C1294="", "",TOTALCO!C1294)</f>
        <v/>
      </c>
      <c r="D765" s="15">
        <f ca="1">IF(TOTALCO!D1294="", "",TOTALCO!D1294)</f>
        <v>5.6409979363913343E-2</v>
      </c>
      <c r="E765" s="15" t="str">
        <f>IF(TOTALCO!E1294="", "",TOTALCO!E1294)</f>
        <v/>
      </c>
      <c r="F765" s="15">
        <f ca="1">IF(TOTALCO!F1294="", "",TOTALCO!F1294)</f>
        <v>5.7106326001415242E-2</v>
      </c>
      <c r="G765" s="15" t="str">
        <f>IF(TOTALCO!G1294="", "",TOTALCO!G1294)</f>
        <v/>
      </c>
      <c r="H765" s="15">
        <f ca="1">IF(TOTALCO!H1294="", "",TOTALCO!H1294)</f>
        <v>4.8114778267614421E-2</v>
      </c>
      <c r="I765" s="15">
        <f ca="1">IF(TOTALCO!I1294="", "",TOTALCO!I1294)</f>
        <v>3.8841899407701122E-2</v>
      </c>
      <c r="J765" s="15" t="str">
        <f>IF(TOTALCO!J1294="", "",TOTALCO!J1294)</f>
        <v/>
      </c>
      <c r="K765" s="15" t="str">
        <f>IF(TOTALCO!K1294="", "",TOTALCO!K1294)</f>
        <v/>
      </c>
      <c r="L765" s="15">
        <f ca="1">IF(TOTALCO!L1294="", "",TOTALCO!L1294)</f>
        <v>-0.18415222334440329</v>
      </c>
      <c r="M765" s="15" t="str">
        <f>IF(TOTALCO!M1294="", "",TOTALCO!M1294)</f>
        <v/>
      </c>
      <c r="N765" s="15">
        <f ca="1">IF(TOTALCO!N1294="", "",TOTALCO!N1294)</f>
        <v>3.8871087013870091E-2</v>
      </c>
      <c r="O765" s="15">
        <f ca="1">IF(TOTALCO!O1294="", "",TOTALCO!O1294)</f>
        <v>3.9167125291229517E-2</v>
      </c>
      <c r="P765" s="15">
        <f ca="1">IF(TOTALCO!P1294="", "",TOTALCO!P1294)</f>
        <v>3.873330570017721E-2</v>
      </c>
      <c r="Q765" s="15"/>
      <c r="R765" s="13"/>
    </row>
    <row r="766" spans="1:18" ht="15" x14ac:dyDescent="0.2">
      <c r="A766" s="382" t="str">
        <f>IF(TOTALCO!A1295="", "",TOTALCO!A1295)</f>
        <v/>
      </c>
      <c r="B766" s="4" t="str">
        <f>IF(TOTALCO!B1295="", "",TOTALCO!B1295)</f>
        <v/>
      </c>
      <c r="C766" s="4" t="str">
        <f>IF(TOTALCO!C1295="", "",TOTALCO!C1295)</f>
        <v/>
      </c>
      <c r="D766" s="12" t="str">
        <f>IF(TOTALCO!D1295="", "",TOTALCO!D1295)</f>
        <v/>
      </c>
      <c r="E766" s="12" t="str">
        <f>IF(TOTALCO!E1295="", "",TOTALCO!E1295)</f>
        <v/>
      </c>
      <c r="F766" s="12" t="str">
        <f>IF(TOTALCO!F1295="", "",TOTALCO!F1295)</f>
        <v/>
      </c>
      <c r="G766" s="12" t="str">
        <f>IF(TOTALCO!G1295="", "",TOTALCO!G1295)</f>
        <v/>
      </c>
      <c r="H766" s="12" t="str">
        <f>IF(TOTALCO!H1295="", "",TOTALCO!H1295)</f>
        <v/>
      </c>
      <c r="I766" s="12" t="str">
        <f>IF(TOTALCO!I1295="", "",TOTALCO!I1295)</f>
        <v/>
      </c>
      <c r="J766" s="12" t="str">
        <f>IF(TOTALCO!J1295="", "",TOTALCO!J1295)</f>
        <v/>
      </c>
      <c r="K766" s="12" t="str">
        <f>IF(TOTALCO!K1295="", "",TOTALCO!K1295)</f>
        <v/>
      </c>
      <c r="L766" s="12" t="str">
        <f>IF(TOTALCO!L1295="", "",TOTALCO!L1295)</f>
        <v/>
      </c>
      <c r="M766" s="12" t="str">
        <f>IF(TOTALCO!M1295="", "",TOTALCO!M1295)</f>
        <v/>
      </c>
      <c r="N766" s="12" t="str">
        <f>IF(TOTALCO!N1295="", "",TOTALCO!N1295)</f>
        <v/>
      </c>
      <c r="O766" s="12" t="str">
        <f>IF(TOTALCO!O1295="", "",TOTALCO!O1295)</f>
        <v/>
      </c>
      <c r="P766" s="12" t="str">
        <f>IF(TOTALCO!P1295="", "",TOTALCO!P1295)</f>
        <v/>
      </c>
      <c r="Q766" s="12"/>
      <c r="R766" s="13"/>
    </row>
    <row r="767" spans="1:18" ht="15" x14ac:dyDescent="0.2">
      <c r="A767" s="382" t="str">
        <f>IF(TOTALCO!A1296="", "",TOTALCO!A1296)</f>
        <v/>
      </c>
      <c r="B767" s="4" t="str">
        <f>IF(TOTALCO!B1296="", "",TOTALCO!B1296)</f>
        <v/>
      </c>
      <c r="C767" s="4" t="str">
        <f>IF(TOTALCO!C1296="", "",TOTALCO!C1296)</f>
        <v/>
      </c>
      <c r="D767" s="12" t="str">
        <f>IF(TOTALCO!D1296="", "",TOTALCO!D1296)</f>
        <v/>
      </c>
      <c r="E767" s="12" t="str">
        <f>IF(TOTALCO!E1296="", "",TOTALCO!E1296)</f>
        <v/>
      </c>
      <c r="F767" s="12" t="str">
        <f>IF(TOTALCO!F1296="", "",TOTALCO!F1296)</f>
        <v/>
      </c>
      <c r="G767" s="12" t="str">
        <f>IF(TOTALCO!G1296="", "",TOTALCO!G1296)</f>
        <v/>
      </c>
      <c r="H767" s="12" t="str">
        <f>IF(TOTALCO!H1296="", "",TOTALCO!H1296)</f>
        <v/>
      </c>
      <c r="I767" s="12" t="str">
        <f>IF(TOTALCO!I1296="", "",TOTALCO!I1296)</f>
        <v/>
      </c>
      <c r="J767" s="12" t="str">
        <f>IF(TOTALCO!J1296="", "",TOTALCO!J1296)</f>
        <v/>
      </c>
      <c r="K767" s="12" t="str">
        <f>IF(TOTALCO!K1296="", "",TOTALCO!K1296)</f>
        <v/>
      </c>
      <c r="L767" s="12" t="str">
        <f>IF(TOTALCO!L1296="", "",TOTALCO!L1296)</f>
        <v/>
      </c>
      <c r="M767" s="12" t="str">
        <f>IF(TOTALCO!M1296="", "",TOTALCO!M1296)</f>
        <v/>
      </c>
      <c r="N767" s="12" t="str">
        <f>IF(TOTALCO!N1296="", "",TOTALCO!N1296)</f>
        <v/>
      </c>
      <c r="O767" s="12" t="str">
        <f>IF(TOTALCO!O1296="", "",TOTALCO!O1296)</f>
        <v/>
      </c>
      <c r="P767" s="12" t="str">
        <f>IF(TOTALCO!P1296="", "",TOTALCO!P1296)</f>
        <v/>
      </c>
      <c r="Q767" s="12"/>
      <c r="R767" s="13"/>
    </row>
    <row r="768" spans="1:18" ht="15" x14ac:dyDescent="0.2">
      <c r="A768" s="382" t="str">
        <f>IF(TOTALCO!A1297="", "",TOTALCO!A1297)</f>
        <v/>
      </c>
      <c r="B768" s="4" t="str">
        <f>IF(TOTALCO!B1297="", "",TOTALCO!B1297)</f>
        <v>STATE TAX RATE</v>
      </c>
      <c r="C768" s="4" t="str">
        <f>IF(TOTALCO!C1297="", "",TOTALCO!C1297)</f>
        <v/>
      </c>
      <c r="D768" s="14">
        <f>IF(TOTALCO!D1297="", "",TOTALCO!D1297)</f>
        <v>0.06</v>
      </c>
      <c r="E768" s="14" t="str">
        <f>IF(TOTALCO!E1297="", "",TOTALCO!E1297)</f>
        <v/>
      </c>
      <c r="F768" s="14">
        <f>IF(TOTALCO!F1297="", "",TOTALCO!F1297)</f>
        <v>0.06</v>
      </c>
      <c r="G768" s="14" t="str">
        <f>IF(TOTALCO!G1297="", "",TOTALCO!G1297)</f>
        <v/>
      </c>
      <c r="H768" s="14">
        <f>IF(TOTALCO!H1297="", "",TOTALCO!H1297)</f>
        <v>0.06</v>
      </c>
      <c r="I768" s="14">
        <f>IF(TOTALCO!I1297="", "",TOTALCO!I1297)</f>
        <v>0.06</v>
      </c>
      <c r="J768" s="14" t="str">
        <f>IF(TOTALCO!J1297="", "",TOTALCO!J1297)</f>
        <v/>
      </c>
      <c r="K768" s="14" t="str">
        <f>IF(TOTALCO!K1297="", "",TOTALCO!K1297)</f>
        <v/>
      </c>
      <c r="L768" s="14">
        <f>IF(TOTALCO!L1297="", "",TOTALCO!L1297)</f>
        <v>0.06</v>
      </c>
      <c r="M768" s="14" t="str">
        <f>IF(TOTALCO!M1297="", "",TOTALCO!M1297)</f>
        <v/>
      </c>
      <c r="N768" s="14">
        <f>IF(TOTALCO!N1297="", "",TOTALCO!N1297)</f>
        <v>0.06</v>
      </c>
      <c r="O768" s="14">
        <f>IF(TOTALCO!O1297="", "",TOTALCO!O1297)</f>
        <v>0.06</v>
      </c>
      <c r="P768" s="14">
        <f>IF(TOTALCO!P1297="", "",TOTALCO!P1297)</f>
        <v>0.06</v>
      </c>
      <c r="Q768" s="14"/>
      <c r="R768" s="13"/>
    </row>
    <row r="769" spans="1:18" ht="15" x14ac:dyDescent="0.2">
      <c r="A769" s="382" t="str">
        <f>IF(TOTALCO!A1298="", "",TOTALCO!A1298)</f>
        <v/>
      </c>
      <c r="B769" s="4" t="str">
        <f>IF(TOTALCO!B1298="", "",TOTALCO!B1298)</f>
        <v>FEDERAL TAX RATE - CURRENT</v>
      </c>
      <c r="C769" s="4" t="str">
        <f>IF(TOTALCO!C1298="", "",TOTALCO!C1298)</f>
        <v/>
      </c>
      <c r="D769" s="14">
        <f>IF(TOTALCO!D1298="", "",TOTALCO!D1298)</f>
        <v>0.35</v>
      </c>
      <c r="E769" s="14" t="str">
        <f>IF(TOTALCO!E1298="", "",TOTALCO!E1298)</f>
        <v/>
      </c>
      <c r="F769" s="14">
        <f>IF(TOTALCO!F1298="", "",TOTALCO!F1298)</f>
        <v>0.35</v>
      </c>
      <c r="G769" s="14" t="str">
        <f>IF(TOTALCO!G1298="", "",TOTALCO!G1298)</f>
        <v/>
      </c>
      <c r="H769" s="14">
        <f>IF(TOTALCO!H1298="", "",TOTALCO!H1298)</f>
        <v>0.35</v>
      </c>
      <c r="I769" s="14">
        <f>IF(TOTALCO!I1298="", "",TOTALCO!I1298)</f>
        <v>0.35</v>
      </c>
      <c r="J769" s="14" t="str">
        <f>IF(TOTALCO!J1298="", "",TOTALCO!J1298)</f>
        <v/>
      </c>
      <c r="K769" s="14" t="str">
        <f>IF(TOTALCO!K1298="", "",TOTALCO!K1298)</f>
        <v/>
      </c>
      <c r="L769" s="14">
        <f>IF(TOTALCO!L1298="", "",TOTALCO!L1298)</f>
        <v>0.35</v>
      </c>
      <c r="M769" s="14" t="str">
        <f>IF(TOTALCO!M1298="", "",TOTALCO!M1298)</f>
        <v/>
      </c>
      <c r="N769" s="14">
        <f>IF(TOTALCO!N1298="", "",TOTALCO!N1298)</f>
        <v>0.35</v>
      </c>
      <c r="O769" s="14">
        <f>IF(TOTALCO!O1298="", "",TOTALCO!O1298)</f>
        <v>0.35</v>
      </c>
      <c r="P769" s="14">
        <f>IF(TOTALCO!P1298="", "",TOTALCO!P1298)</f>
        <v>0.35</v>
      </c>
      <c r="Q769" s="14"/>
      <c r="R769" s="13"/>
    </row>
    <row r="770" spans="1:18" ht="15" x14ac:dyDescent="0.2">
      <c r="A770" s="382" t="str">
        <f>IF(TOTALCO!A1299="", "",TOTALCO!A1299)</f>
        <v/>
      </c>
      <c r="B770" s="4" t="str">
        <f>IF(TOTALCO!B1299="", "",TOTALCO!B1299)</f>
        <v>1 - EFFECTIVE TAX RATE</v>
      </c>
      <c r="C770" s="4" t="str">
        <f>IF(TOTALCO!C1299="", "",TOTALCO!C1299)</f>
        <v/>
      </c>
      <c r="D770" s="14">
        <f>IF(TOTALCO!D1299="", "",TOTALCO!D1299)</f>
        <v>0.61099999999999999</v>
      </c>
      <c r="E770" s="14" t="str">
        <f>IF(TOTALCO!E1299="", "",TOTALCO!E1299)</f>
        <v/>
      </c>
      <c r="F770" s="14">
        <f>IF(TOTALCO!F1299="", "",TOTALCO!F1299)</f>
        <v>0.61099999999999999</v>
      </c>
      <c r="G770" s="14" t="str">
        <f>IF(TOTALCO!G1299="", "",TOTALCO!G1299)</f>
        <v/>
      </c>
      <c r="H770" s="14">
        <f>IF(TOTALCO!H1299="", "",TOTALCO!H1299)</f>
        <v>0.61099999999999999</v>
      </c>
      <c r="I770" s="14">
        <f>IF(TOTALCO!I1299="", "",TOTALCO!I1299)</f>
        <v>0.61099999999999999</v>
      </c>
      <c r="J770" s="14" t="str">
        <f>IF(TOTALCO!J1299="", "",TOTALCO!J1299)</f>
        <v/>
      </c>
      <c r="K770" s="14" t="str">
        <f>IF(TOTALCO!K1299="", "",TOTALCO!K1299)</f>
        <v/>
      </c>
      <c r="L770" s="14">
        <f>IF(TOTALCO!L1299="", "",TOTALCO!L1299)</f>
        <v>0.61099999999999999</v>
      </c>
      <c r="M770" s="14" t="str">
        <f>IF(TOTALCO!M1299="", "",TOTALCO!M1299)</f>
        <v/>
      </c>
      <c r="N770" s="14">
        <f>IF(TOTALCO!N1299="", "",TOTALCO!N1299)</f>
        <v>0.61099999999999999</v>
      </c>
      <c r="O770" s="14">
        <f>IF(TOTALCO!O1299="", "",TOTALCO!O1299)</f>
        <v>0.61099999999999999</v>
      </c>
      <c r="P770" s="14">
        <f>IF(TOTALCO!P1299="", "",TOTALCO!P1299)</f>
        <v>0.61099999999999999</v>
      </c>
      <c r="Q770" s="14"/>
      <c r="R770" s="13"/>
    </row>
    <row r="771" spans="1:18" ht="15" x14ac:dyDescent="0.2">
      <c r="A771" s="382" t="str">
        <f>IF(TOTALCO!A1300="", "",TOTALCO!A1300)</f>
        <v/>
      </c>
      <c r="B771" s="4" t="str">
        <f>IF(TOTALCO!B1300="", "",TOTALCO!B1300)</f>
        <v>EFFECTIVE TAX RATE</v>
      </c>
      <c r="C771" s="4" t="str">
        <f>IF(TOTALCO!C1300="", "",TOTALCO!C1300)</f>
        <v/>
      </c>
      <c r="D771" s="14">
        <f>IF(TOTALCO!D1300="", "",TOTALCO!D1300)</f>
        <v>0.38899999999999996</v>
      </c>
      <c r="E771" s="14" t="str">
        <f>IF(TOTALCO!E1300="", "",TOTALCO!E1300)</f>
        <v/>
      </c>
      <c r="F771" s="14">
        <f>IF(TOTALCO!F1300="", "",TOTALCO!F1300)</f>
        <v>0.38899999999999996</v>
      </c>
      <c r="G771" s="14" t="str">
        <f>IF(TOTALCO!G1300="", "",TOTALCO!G1300)</f>
        <v/>
      </c>
      <c r="H771" s="14">
        <f>IF(TOTALCO!H1300="", "",TOTALCO!H1300)</f>
        <v>0.38899999999999996</v>
      </c>
      <c r="I771" s="14">
        <f>IF(TOTALCO!I1300="", "",TOTALCO!I1300)</f>
        <v>0.38899999999999996</v>
      </c>
      <c r="J771" s="14" t="str">
        <f>IF(TOTALCO!J1300="", "",TOTALCO!J1300)</f>
        <v/>
      </c>
      <c r="K771" s="14" t="str">
        <f>IF(TOTALCO!K1300="", "",TOTALCO!K1300)</f>
        <v/>
      </c>
      <c r="L771" s="14">
        <f>IF(TOTALCO!L1300="", "",TOTALCO!L1300)</f>
        <v>0.38899999999999996</v>
      </c>
      <c r="M771" s="14" t="str">
        <f>IF(TOTALCO!M1300="", "",TOTALCO!M1300)</f>
        <v/>
      </c>
      <c r="N771" s="14">
        <f>IF(TOTALCO!N1300="", "",TOTALCO!N1300)</f>
        <v>0.38899999999999996</v>
      </c>
      <c r="O771" s="14">
        <f>IF(TOTALCO!O1300="", "",TOTALCO!O1300)</f>
        <v>0.38899999999999996</v>
      </c>
      <c r="P771" s="14">
        <f>IF(TOTALCO!P1300="", "",TOTALCO!P1300)</f>
        <v>0.38899999999999996</v>
      </c>
      <c r="Q771" s="14"/>
      <c r="R771" s="13"/>
    </row>
    <row r="772" spans="1:18" ht="15" x14ac:dyDescent="0.2">
      <c r="A772" s="382" t="str">
        <f>IF(TOTALCO!A1301="", "",TOTALCO!A1301)</f>
        <v/>
      </c>
      <c r="B772" s="4" t="str">
        <f>IF(TOTALCO!B1301="", "",TOTALCO!B1301)</f>
        <v>FACTOR FOR TAXABLE BASIS</v>
      </c>
      <c r="C772" s="4" t="str">
        <f>IF(TOTALCO!C1301="", "",TOTALCO!C1301)</f>
        <v/>
      </c>
      <c r="D772" s="14">
        <f>IF(TOTALCO!D1301="", "",TOTALCO!D1301)</f>
        <v>1.6366612111292962</v>
      </c>
      <c r="E772" s="14" t="str">
        <f>IF(TOTALCO!E1301="", "",TOTALCO!E1301)</f>
        <v/>
      </c>
      <c r="F772" s="14">
        <f>IF(TOTALCO!F1301="", "",TOTALCO!F1301)</f>
        <v>1.6366612111292962</v>
      </c>
      <c r="G772" s="14" t="str">
        <f>IF(TOTALCO!G1301="", "",TOTALCO!G1301)</f>
        <v/>
      </c>
      <c r="H772" s="14">
        <f>IF(TOTALCO!H1301="", "",TOTALCO!H1301)</f>
        <v>1.6366612111292962</v>
      </c>
      <c r="I772" s="14">
        <f>IF(TOTALCO!I1301="", "",TOTALCO!I1301)</f>
        <v>1.6366612111292962</v>
      </c>
      <c r="J772" s="14" t="str">
        <f>IF(TOTALCO!J1301="", "",TOTALCO!J1301)</f>
        <v/>
      </c>
      <c r="K772" s="14" t="str">
        <f>IF(TOTALCO!K1301="", "",TOTALCO!K1301)</f>
        <v/>
      </c>
      <c r="L772" s="14">
        <f>IF(TOTALCO!L1301="", "",TOTALCO!L1301)</f>
        <v>1.6366612111292962</v>
      </c>
      <c r="M772" s="14" t="str">
        <f>IF(TOTALCO!M1301="", "",TOTALCO!M1301)</f>
        <v/>
      </c>
      <c r="N772" s="14">
        <f>IF(TOTALCO!N1301="", "",TOTALCO!N1301)</f>
        <v>1.6366612111292962</v>
      </c>
      <c r="O772" s="14">
        <f>IF(TOTALCO!O1301="", "",TOTALCO!O1301)</f>
        <v>1.6366612111292962</v>
      </c>
      <c r="P772" s="14">
        <f>IF(TOTALCO!P1301="", "",TOTALCO!P1301)</f>
        <v>1.6366612111292962</v>
      </c>
      <c r="Q772" s="14"/>
      <c r="R772" s="13"/>
    </row>
    <row r="773" spans="1:18" ht="15" x14ac:dyDescent="0.2">
      <c r="A773" s="382" t="str">
        <f>IF(TOTALCO!A1302="", "",TOTALCO!A1302)</f>
        <v/>
      </c>
      <c r="B773" s="4" t="str">
        <f>IF(TOTALCO!B1302="", "",TOTALCO!B1302)</f>
        <v/>
      </c>
      <c r="C773" s="4" t="str">
        <f>IF(TOTALCO!C1302="", "",TOTALCO!C1302)</f>
        <v/>
      </c>
      <c r="D773" s="12" t="str">
        <f>IF(TOTALCO!D1302="", "",TOTALCO!D1302)</f>
        <v/>
      </c>
      <c r="E773" s="12" t="str">
        <f>IF(TOTALCO!E1302="", "",TOTALCO!E1302)</f>
        <v/>
      </c>
      <c r="F773" s="12" t="str">
        <f>IF(TOTALCO!F1302="", "",TOTALCO!F1302)</f>
        <v/>
      </c>
      <c r="G773" s="12" t="str">
        <f>IF(TOTALCO!G1302="", "",TOTALCO!G1302)</f>
        <v/>
      </c>
      <c r="H773" s="12" t="str">
        <f>IF(TOTALCO!H1302="", "",TOTALCO!H1302)</f>
        <v/>
      </c>
      <c r="I773" s="12" t="str">
        <f>IF(TOTALCO!I1302="", "",TOTALCO!I1302)</f>
        <v/>
      </c>
      <c r="J773" s="12" t="str">
        <f>IF(TOTALCO!J1302="", "",TOTALCO!J1302)</f>
        <v/>
      </c>
      <c r="K773" s="12" t="str">
        <f>IF(TOTALCO!K1302="", "",TOTALCO!K1302)</f>
        <v/>
      </c>
      <c r="L773" s="12" t="str">
        <f>IF(TOTALCO!L1302="", "",TOTALCO!L1302)</f>
        <v/>
      </c>
      <c r="M773" s="12" t="str">
        <f>IF(TOTALCO!M1302="", "",TOTALCO!M1302)</f>
        <v/>
      </c>
      <c r="N773" s="12" t="str">
        <f>IF(TOTALCO!N1302="", "",TOTALCO!N1302)</f>
        <v/>
      </c>
      <c r="O773" s="12" t="str">
        <f>IF(TOTALCO!O1302="", "",TOTALCO!O1302)</f>
        <v/>
      </c>
      <c r="P773" s="12" t="str">
        <f>IF(TOTALCO!P1302="", "",TOTALCO!P1302)</f>
        <v/>
      </c>
      <c r="Q773" s="12"/>
      <c r="R773" s="13"/>
    </row>
    <row r="774" spans="1:18" ht="15" x14ac:dyDescent="0.2">
      <c r="A774" s="382" t="str">
        <f>IF(TOTALCO!A1306="", "",TOTALCO!A1306)</f>
        <v/>
      </c>
      <c r="B774" s="4" t="str">
        <f>IF(TOTALCO!B1306="", "",TOTALCO!B1306)</f>
        <v>LABOR ALLOCATOR</v>
      </c>
      <c r="C774" s="4" t="str">
        <f>IF(TOTALCO!C1306="", "",TOTALCO!C1306)</f>
        <v/>
      </c>
      <c r="D774" s="12" t="str">
        <f>IF(TOTALCO!D1306="", "",TOTALCO!D1306)</f>
        <v/>
      </c>
      <c r="E774" s="12" t="str">
        <f>IF(TOTALCO!E1306="", "",TOTALCO!E1306)</f>
        <v/>
      </c>
      <c r="F774" s="12" t="str">
        <f>IF(TOTALCO!F1306="", "",TOTALCO!F1306)</f>
        <v/>
      </c>
      <c r="G774" s="12" t="str">
        <f>IF(TOTALCO!G1306="", "",TOTALCO!G1306)</f>
        <v/>
      </c>
      <c r="H774" s="12" t="str">
        <f>IF(TOTALCO!H1306="", "",TOTALCO!H1306)</f>
        <v/>
      </c>
      <c r="I774" s="12" t="str">
        <f>IF(TOTALCO!I1306="", "",TOTALCO!I1306)</f>
        <v/>
      </c>
      <c r="J774" s="12" t="str">
        <f>IF(TOTALCO!J1306="", "",TOTALCO!J1306)</f>
        <v/>
      </c>
      <c r="K774" s="12" t="str">
        <f>IF(TOTALCO!K1306="", "",TOTALCO!K1306)</f>
        <v/>
      </c>
      <c r="L774" s="12" t="str">
        <f>IF(TOTALCO!L1306="", "",TOTALCO!L1306)</f>
        <v/>
      </c>
      <c r="M774" s="12" t="str">
        <f>IF(TOTALCO!M1306="", "",TOTALCO!M1306)</f>
        <v/>
      </c>
      <c r="N774" s="12" t="str">
        <f>IF(TOTALCO!N1306="", "",TOTALCO!N1306)</f>
        <v/>
      </c>
      <c r="O774" s="12" t="str">
        <f>IF(TOTALCO!O1306="", "",TOTALCO!O1306)</f>
        <v/>
      </c>
      <c r="P774" s="12" t="str">
        <f>IF(TOTALCO!P1306="", "",TOTALCO!P1306)</f>
        <v/>
      </c>
      <c r="Q774" s="12"/>
      <c r="R774" s="13"/>
    </row>
    <row r="775" spans="1:18" ht="15" x14ac:dyDescent="0.2">
      <c r="A775" s="382" t="str">
        <f>IF(TOTALCO!A1307="", "",TOTALCO!A1307)</f>
        <v/>
      </c>
      <c r="B775" s="4" t="str">
        <f>IF(TOTALCO!B1307="", "",TOTALCO!B1307)</f>
        <v/>
      </c>
      <c r="C775" s="4" t="str">
        <f>IF(TOTALCO!C1307="", "",TOTALCO!C1307)</f>
        <v/>
      </c>
      <c r="D775" s="12" t="str">
        <f>IF(TOTALCO!D1307="", "",TOTALCO!D1307)</f>
        <v/>
      </c>
      <c r="E775" s="12" t="str">
        <f>IF(TOTALCO!E1307="", "",TOTALCO!E1307)</f>
        <v/>
      </c>
      <c r="F775" s="12" t="str">
        <f>IF(TOTALCO!F1307="", "",TOTALCO!F1307)</f>
        <v/>
      </c>
      <c r="G775" s="12" t="str">
        <f>IF(TOTALCO!G1307="", "",TOTALCO!G1307)</f>
        <v/>
      </c>
      <c r="H775" s="12" t="str">
        <f>IF(TOTALCO!H1307="", "",TOTALCO!H1307)</f>
        <v/>
      </c>
      <c r="I775" s="12" t="str">
        <f>IF(TOTALCO!I1307="", "",TOTALCO!I1307)</f>
        <v/>
      </c>
      <c r="J775" s="12" t="str">
        <f>IF(TOTALCO!J1307="", "",TOTALCO!J1307)</f>
        <v/>
      </c>
      <c r="K775" s="12" t="str">
        <f>IF(TOTALCO!K1307="", "",TOTALCO!K1307)</f>
        <v/>
      </c>
      <c r="L775" s="12" t="str">
        <f>IF(TOTALCO!L1307="", "",TOTALCO!L1307)</f>
        <v/>
      </c>
      <c r="M775" s="12" t="str">
        <f>IF(TOTALCO!M1307="", "",TOTALCO!M1307)</f>
        <v/>
      </c>
      <c r="N775" s="12" t="str">
        <f>IF(TOTALCO!N1307="", "",TOTALCO!N1307)</f>
        <v/>
      </c>
      <c r="O775" s="12" t="str">
        <f>IF(TOTALCO!O1307="", "",TOTALCO!O1307)</f>
        <v/>
      </c>
      <c r="P775" s="12" t="str">
        <f>IF(TOTALCO!P1307="", "",TOTALCO!P1307)</f>
        <v/>
      </c>
      <c r="Q775" s="12"/>
      <c r="R775" s="13"/>
    </row>
    <row r="776" spans="1:18" ht="15" x14ac:dyDescent="0.2">
      <c r="A776" s="382" t="str">
        <f>IF(TOTALCO!A1308="", "",TOTALCO!A1308)</f>
        <v/>
      </c>
      <c r="B776" s="4" t="str">
        <f>IF(TOTALCO!B1308="", "",TOTALCO!B1308)</f>
        <v>LABOR EXPENSE</v>
      </c>
      <c r="C776" s="4" t="str">
        <f>IF(TOTALCO!C1308="", "",TOTALCO!C1308)</f>
        <v/>
      </c>
      <c r="D776" s="12" t="str">
        <f>IF(TOTALCO!D1308="", "",TOTALCO!D1308)</f>
        <v/>
      </c>
      <c r="E776" s="12" t="str">
        <f>IF(TOTALCO!E1308="", "",TOTALCO!E1308)</f>
        <v/>
      </c>
      <c r="F776" s="12" t="str">
        <f>IF(TOTALCO!F1308="", "",TOTALCO!F1308)</f>
        <v/>
      </c>
      <c r="G776" s="12" t="str">
        <f>IF(TOTALCO!G1308="", "",TOTALCO!G1308)</f>
        <v/>
      </c>
      <c r="H776" s="12" t="str">
        <f>IF(TOTALCO!H1308="", "",TOTALCO!H1308)</f>
        <v/>
      </c>
      <c r="I776" s="12" t="str">
        <f>IF(TOTALCO!I1308="", "",TOTALCO!I1308)</f>
        <v/>
      </c>
      <c r="J776" s="12" t="str">
        <f>IF(TOTALCO!J1308="", "",TOTALCO!J1308)</f>
        <v/>
      </c>
      <c r="K776" s="12" t="str">
        <f>IF(TOTALCO!K1308="", "",TOTALCO!K1308)</f>
        <v/>
      </c>
      <c r="L776" s="12" t="str">
        <f>IF(TOTALCO!L1308="", "",TOTALCO!L1308)</f>
        <v/>
      </c>
      <c r="M776" s="12" t="str">
        <f>IF(TOTALCO!M1308="", "",TOTALCO!M1308)</f>
        <v/>
      </c>
      <c r="N776" s="12" t="str">
        <f>IF(TOTALCO!N1308="", "",TOTALCO!N1308)</f>
        <v/>
      </c>
      <c r="O776" s="12" t="str">
        <f>IF(TOTALCO!O1308="", "",TOTALCO!O1308)</f>
        <v/>
      </c>
      <c r="P776" s="12" t="str">
        <f>IF(TOTALCO!P1308="", "",TOTALCO!P1308)</f>
        <v/>
      </c>
      <c r="Q776" s="12"/>
      <c r="R776" s="13"/>
    </row>
    <row r="777" spans="1:18" ht="15" x14ac:dyDescent="0.2">
      <c r="A777" s="382" t="str">
        <f>IF(TOTALCO!A1309="", "",TOTALCO!A1309)</f>
        <v/>
      </c>
      <c r="B777" s="4" t="str">
        <f>IF(TOTALCO!B1309="", "",TOTALCO!B1309)</f>
        <v xml:space="preserve"> PRODUCTION LABOR</v>
      </c>
      <c r="C777" s="4" t="str">
        <f>IF(TOTALCO!C1309="", "",TOTALCO!C1309)</f>
        <v/>
      </c>
      <c r="D777" s="12" t="str">
        <f>IF(TOTALCO!D1309="", "",TOTALCO!D1309)</f>
        <v/>
      </c>
      <c r="E777" s="12" t="str">
        <f>IF(TOTALCO!E1309="", "",TOTALCO!E1309)</f>
        <v/>
      </c>
      <c r="F777" s="12" t="str">
        <f>IF(TOTALCO!F1309="", "",TOTALCO!F1309)</f>
        <v/>
      </c>
      <c r="G777" s="12" t="str">
        <f>IF(TOTALCO!G1309="", "",TOTALCO!G1309)</f>
        <v/>
      </c>
      <c r="H777" s="12" t="str">
        <f>IF(TOTALCO!H1309="", "",TOTALCO!H1309)</f>
        <v/>
      </c>
      <c r="I777" s="12" t="str">
        <f>IF(TOTALCO!I1309="", "",TOTALCO!I1309)</f>
        <v/>
      </c>
      <c r="J777" s="12" t="str">
        <f>IF(TOTALCO!J1309="", "",TOTALCO!J1309)</f>
        <v/>
      </c>
      <c r="K777" s="12" t="str">
        <f>IF(TOTALCO!K1309="", "",TOTALCO!K1309)</f>
        <v/>
      </c>
      <c r="L777" s="12" t="str">
        <f>IF(TOTALCO!L1309="", "",TOTALCO!L1309)</f>
        <v/>
      </c>
      <c r="M777" s="12" t="str">
        <f>IF(TOTALCO!M1309="", "",TOTALCO!M1309)</f>
        <v/>
      </c>
      <c r="N777" s="12" t="str">
        <f>IF(TOTALCO!N1309="", "",TOTALCO!N1309)</f>
        <v/>
      </c>
      <c r="O777" s="12" t="str">
        <f>IF(TOTALCO!O1309="", "",TOTALCO!O1309)</f>
        <v/>
      </c>
      <c r="P777" s="12" t="str">
        <f>IF(TOTALCO!P1309="", "",TOTALCO!P1309)</f>
        <v/>
      </c>
      <c r="Q777" s="12"/>
      <c r="R777" s="13"/>
    </row>
    <row r="778" spans="1:18" ht="15" x14ac:dyDescent="0.2">
      <c r="A778" s="382" t="str">
        <f>IF(TOTALCO!A1310="", "",TOTALCO!A1310)</f>
        <v/>
      </c>
      <c r="B778" s="4" t="str">
        <f>IF(TOTALCO!B1310="", "",TOTALCO!B1310)</f>
        <v xml:space="preserve">   ENERGY RELATED</v>
      </c>
      <c r="C778" s="4" t="str">
        <f>IF(TOTALCO!C1310="", "",TOTALCO!C1310)</f>
        <v/>
      </c>
      <c r="D778" s="12" t="str">
        <f>IF(TOTALCO!D1310="", "",TOTALCO!D1310)</f>
        <v/>
      </c>
      <c r="E778" s="12" t="str">
        <f>IF(TOTALCO!E1310="", "",TOTALCO!E1310)</f>
        <v/>
      </c>
      <c r="F778" s="12" t="str">
        <f>IF(TOTALCO!F1310="", "",TOTALCO!F1310)</f>
        <v/>
      </c>
      <c r="G778" s="12" t="str">
        <f>IF(TOTALCO!G1310="", "",TOTALCO!G1310)</f>
        <v/>
      </c>
      <c r="H778" s="12" t="str">
        <f>IF(TOTALCO!H1310="", "",TOTALCO!H1310)</f>
        <v/>
      </c>
      <c r="I778" s="12" t="str">
        <f>IF(TOTALCO!I1310="", "",TOTALCO!I1310)</f>
        <v/>
      </c>
      <c r="J778" s="12" t="str">
        <f>IF(TOTALCO!J1310="", "",TOTALCO!J1310)</f>
        <v/>
      </c>
      <c r="K778" s="12" t="str">
        <f>IF(TOTALCO!K1310="", "",TOTALCO!K1310)</f>
        <v/>
      </c>
      <c r="L778" s="12" t="str">
        <f>IF(TOTALCO!L1310="", "",TOTALCO!L1310)</f>
        <v/>
      </c>
      <c r="M778" s="12" t="str">
        <f>IF(TOTALCO!M1310="", "",TOTALCO!M1310)</f>
        <v/>
      </c>
      <c r="N778" s="12" t="str">
        <f>IF(TOTALCO!N1310="", "",TOTALCO!N1310)</f>
        <v/>
      </c>
      <c r="O778" s="12" t="str">
        <f>IF(TOTALCO!O1310="", "",TOTALCO!O1310)</f>
        <v/>
      </c>
      <c r="P778" s="12" t="str">
        <f>IF(TOTALCO!P1310="", "",TOTALCO!P1310)</f>
        <v/>
      </c>
      <c r="Q778" s="12"/>
      <c r="R778" s="13"/>
    </row>
    <row r="779" spans="1:18" ht="15" x14ac:dyDescent="0.2">
      <c r="A779" s="382">
        <f>IF(TOTALCO!A1311="", "",TOTALCO!A1311)</f>
        <v>1</v>
      </c>
      <c r="B779" s="4" t="str">
        <f>IF(TOTALCO!B1311="", "",TOTALCO!B1311)</f>
        <v xml:space="preserve">   FERC 501</v>
      </c>
      <c r="C779" s="4" t="str">
        <f>IF(TOTALCO!C1311="", "",TOTALCO!C1311)</f>
        <v>ENERGY</v>
      </c>
      <c r="D779" s="12">
        <f ca="1">IF(TOTALCO!D1311="", "",TOTALCO!D1311)</f>
        <v>3499087.08</v>
      </c>
      <c r="E779" s="12" t="str">
        <f>IF(TOTALCO!E1311="", "",TOTALCO!E1311)</f>
        <v/>
      </c>
      <c r="F779" s="12">
        <f ca="1">IF(TOTALCO!F1311="", "",TOTALCO!F1311)</f>
        <v>3035692.05574243</v>
      </c>
      <c r="G779" s="12" t="str">
        <f>IF(TOTALCO!G1311="", "",TOTALCO!G1311)</f>
        <v/>
      </c>
      <c r="H779" s="12">
        <f ca="1">IF(TOTALCO!H1311="", "",TOTALCO!H1311)</f>
        <v>160510.33260387252</v>
      </c>
      <c r="I779" s="12">
        <f ca="1">IF(TOTALCO!I1311="", "",TOTALCO!I1311)</f>
        <v>302884.69165369758</v>
      </c>
      <c r="J779" s="12" t="str">
        <f>IF(TOTALCO!J1311="", "",TOTALCO!J1311)</f>
        <v/>
      </c>
      <c r="K779" s="12" t="str">
        <f>IF(TOTALCO!K1311="", "",TOTALCO!K1311)</f>
        <v/>
      </c>
      <c r="L779" s="12">
        <f ca="1">IF(TOTALCO!L1311="", "",TOTALCO!L1311)</f>
        <v>16.687558299686359</v>
      </c>
      <c r="M779" s="12" t="str">
        <f>IF(TOTALCO!M1311="", "",TOTALCO!M1311)</f>
        <v/>
      </c>
      <c r="N779" s="12">
        <f ca="1">IF(TOTALCO!N1311="", "",TOTALCO!N1311)</f>
        <v>302868.00409539789</v>
      </c>
      <c r="O779" s="12">
        <f ca="1">IF(TOTALCO!O1311="", "",TOTALCO!O1311)</f>
        <v>98870.218592800971</v>
      </c>
      <c r="P779" s="12">
        <f ca="1">IF(TOTALCO!P1311="", "",TOTALCO!P1311)</f>
        <v>203997.78550259693</v>
      </c>
      <c r="Q779" s="12"/>
      <c r="R779" s="13"/>
    </row>
    <row r="780" spans="1:18" ht="15" x14ac:dyDescent="0.2">
      <c r="A780" s="382">
        <f>IF(TOTALCO!A1312="", "",TOTALCO!A1312)</f>
        <v>2</v>
      </c>
      <c r="B780" s="4" t="str">
        <f>IF(TOTALCO!B1312="", "",TOTALCO!B1312)</f>
        <v xml:space="preserve">   FERC 510</v>
      </c>
      <c r="C780" s="4" t="str">
        <f>IF(TOTALCO!C1312="", "",TOTALCO!C1312)</f>
        <v>ENERGY</v>
      </c>
      <c r="D780" s="12">
        <f ca="1">IF(TOTALCO!D1312="", "",TOTALCO!D1312)</f>
        <v>6556678.6600000001</v>
      </c>
      <c r="E780" s="12" t="str">
        <f>IF(TOTALCO!E1312="", "",TOTALCO!E1312)</f>
        <v/>
      </c>
      <c r="F780" s="12">
        <f ca="1">IF(TOTALCO!F1312="", "",TOTALCO!F1312)</f>
        <v>5688357.2386594964</v>
      </c>
      <c r="G780" s="12" t="str">
        <f>IF(TOTALCO!G1312="", "",TOTALCO!G1312)</f>
        <v/>
      </c>
      <c r="H780" s="12">
        <f ca="1">IF(TOTALCO!H1312="", "",TOTALCO!H1312)</f>
        <v>300768.35712625744</v>
      </c>
      <c r="I780" s="12">
        <f ca="1">IF(TOTALCO!I1312="", "",TOTALCO!I1312)</f>
        <v>567553.06421424623</v>
      </c>
      <c r="J780" s="12" t="str">
        <f>IF(TOTALCO!J1312="", "",TOTALCO!J1312)</f>
        <v/>
      </c>
      <c r="K780" s="12" t="str">
        <f>IF(TOTALCO!K1312="", "",TOTALCO!K1312)</f>
        <v/>
      </c>
      <c r="L780" s="12">
        <f ca="1">IF(TOTALCO!L1312="", "",TOTALCO!L1312)</f>
        <v>31.269572574072502</v>
      </c>
      <c r="M780" s="12" t="str">
        <f>IF(TOTALCO!M1312="", "",TOTALCO!M1312)</f>
        <v/>
      </c>
      <c r="N780" s="12">
        <f ca="1">IF(TOTALCO!N1312="", "",TOTALCO!N1312)</f>
        <v>567521.79464167217</v>
      </c>
      <c r="O780" s="12">
        <f ca="1">IF(TOTALCO!O1312="", "",TOTALCO!O1312)</f>
        <v>185265.53856354824</v>
      </c>
      <c r="P780" s="12">
        <f ca="1">IF(TOTALCO!P1312="", "",TOTALCO!P1312)</f>
        <v>382256.25607812387</v>
      </c>
      <c r="Q780" s="12"/>
      <c r="R780" s="13"/>
    </row>
    <row r="781" spans="1:18" ht="15" x14ac:dyDescent="0.2">
      <c r="A781" s="382">
        <f>IF(TOTALCO!A1313="", "",TOTALCO!A1313)</f>
        <v>3</v>
      </c>
      <c r="B781" s="4" t="str">
        <f>IF(TOTALCO!B1313="", "",TOTALCO!B1313)</f>
        <v xml:space="preserve">   FERC 512</v>
      </c>
      <c r="C781" s="4" t="str">
        <f>IF(TOTALCO!C1313="", "",TOTALCO!C1313)</f>
        <v>ENERGY</v>
      </c>
      <c r="D781" s="12">
        <f ca="1">IF(TOTALCO!D1313="", "",TOTALCO!D1313)</f>
        <v>9034370.0099999998</v>
      </c>
      <c r="E781" s="12" t="str">
        <f>IF(TOTALCO!E1313="", "",TOTALCO!E1313)</f>
        <v/>
      </c>
      <c r="F781" s="12">
        <f ca="1">IF(TOTALCO!F1313="", "",TOTALCO!F1313)</f>
        <v>7837920.1891696434</v>
      </c>
      <c r="G781" s="12" t="str">
        <f>IF(TOTALCO!G1313="", "",TOTALCO!G1313)</f>
        <v/>
      </c>
      <c r="H781" s="12">
        <f ca="1">IF(TOTALCO!H1313="", "",TOTALCO!H1313)</f>
        <v>414425.16348337097</v>
      </c>
      <c r="I781" s="12">
        <f ca="1">IF(TOTALCO!I1313="", "",TOTALCO!I1313)</f>
        <v>782024.65734698507</v>
      </c>
      <c r="J781" s="12" t="str">
        <f>IF(TOTALCO!J1313="", "",TOTALCO!J1313)</f>
        <v/>
      </c>
      <c r="K781" s="12" t="str">
        <f>IF(TOTALCO!K1313="", "",TOTALCO!K1313)</f>
        <v/>
      </c>
      <c r="L781" s="12">
        <f ca="1">IF(TOTALCO!L1313="", "",TOTALCO!L1313)</f>
        <v>43.085974368723917</v>
      </c>
      <c r="M781" s="12" t="str">
        <f>IF(TOTALCO!M1313="", "",TOTALCO!M1313)</f>
        <v/>
      </c>
      <c r="N781" s="12">
        <f ca="1">IF(TOTALCO!N1313="", "",TOTALCO!N1313)</f>
        <v>781981.57137261634</v>
      </c>
      <c r="O781" s="12">
        <f ca="1">IF(TOTALCO!O1313="", "",TOTALCO!O1313)</f>
        <v>255275.19530521243</v>
      </c>
      <c r="P781" s="12">
        <f ca="1">IF(TOTALCO!P1313="", "",TOTALCO!P1313)</f>
        <v>526706.37606740394</v>
      </c>
      <c r="Q781" s="12"/>
      <c r="R781" s="13"/>
    </row>
    <row r="782" spans="1:18" ht="15" x14ac:dyDescent="0.2">
      <c r="A782" s="382">
        <f>IF(TOTALCO!A1314="", "",TOTALCO!A1314)</f>
        <v>4</v>
      </c>
      <c r="B782" s="4" t="str">
        <f>IF(TOTALCO!B1314="", "",TOTALCO!B1314)</f>
        <v xml:space="preserve">   FERC 513</v>
      </c>
      <c r="C782" s="4" t="str">
        <f>IF(TOTALCO!C1314="", "",TOTALCO!C1314)</f>
        <v>ENERGY</v>
      </c>
      <c r="D782" s="12">
        <f ca="1">IF(TOTALCO!D1314="", "",TOTALCO!D1314)</f>
        <v>2257567.96</v>
      </c>
      <c r="E782" s="12" t="str">
        <f>IF(TOTALCO!E1314="", "",TOTALCO!E1314)</f>
        <v/>
      </c>
      <c r="F782" s="12">
        <f ca="1">IF(TOTALCO!F1314="", "",TOTALCO!F1314)</f>
        <v>1958591.1881537521</v>
      </c>
      <c r="G782" s="12" t="str">
        <f>IF(TOTALCO!G1314="", "",TOTALCO!G1314)</f>
        <v/>
      </c>
      <c r="H782" s="12">
        <f ca="1">IF(TOTALCO!H1314="", "",TOTALCO!H1314)</f>
        <v>103559.29299577362</v>
      </c>
      <c r="I782" s="12">
        <f ca="1">IF(TOTALCO!I1314="", "",TOTALCO!I1314)</f>
        <v>195417.47885047406</v>
      </c>
      <c r="J782" s="12" t="str">
        <f>IF(TOTALCO!J1314="", "",TOTALCO!J1314)</f>
        <v/>
      </c>
      <c r="K782" s="12" t="str">
        <f>IF(TOTALCO!K1314="", "",TOTALCO!K1314)</f>
        <v/>
      </c>
      <c r="L782" s="12">
        <f ca="1">IF(TOTALCO!L1314="", "",TOTALCO!L1314)</f>
        <v>10.766607428359285</v>
      </c>
      <c r="M782" s="12" t="str">
        <f>IF(TOTALCO!M1314="", "",TOTALCO!M1314)</f>
        <v/>
      </c>
      <c r="N782" s="12">
        <f ca="1">IF(TOTALCO!N1314="", "",TOTALCO!N1314)</f>
        <v>195406.71224304571</v>
      </c>
      <c r="O782" s="12">
        <f ca="1">IF(TOTALCO!O1314="", "",TOTALCO!O1314)</f>
        <v>63789.849349306205</v>
      </c>
      <c r="P782" s="12">
        <f ca="1">IF(TOTALCO!P1314="", "",TOTALCO!P1314)</f>
        <v>131616.86289373951</v>
      </c>
      <c r="Q782" s="12"/>
      <c r="R782" s="13"/>
    </row>
    <row r="783" spans="1:18" ht="15" x14ac:dyDescent="0.2">
      <c r="A783" s="382">
        <f>IF(TOTALCO!A1315="", "",TOTALCO!A1315)</f>
        <v>5</v>
      </c>
      <c r="B783" s="4" t="str">
        <f>IF(TOTALCO!B1315="", "",TOTALCO!B1315)</f>
        <v xml:space="preserve">   FERC 547</v>
      </c>
      <c r="C783" s="4" t="str">
        <f>IF(TOTALCO!C1315="", "",TOTALCO!C1315)</f>
        <v>ENERGY</v>
      </c>
      <c r="D783" s="12">
        <f ca="1">IF(TOTALCO!D1315="", "",TOTALCO!D1315)</f>
        <v>0</v>
      </c>
      <c r="E783" s="12" t="str">
        <f>IF(TOTALCO!E1315="", "",TOTALCO!E1315)</f>
        <v/>
      </c>
      <c r="F783" s="12">
        <f ca="1">IF(TOTALCO!F1315="", "",TOTALCO!F1315)</f>
        <v>0</v>
      </c>
      <c r="G783" s="12" t="str">
        <f>IF(TOTALCO!G1315="", "",TOTALCO!G1315)</f>
        <v/>
      </c>
      <c r="H783" s="12">
        <f ca="1">IF(TOTALCO!H1315="", "",TOTALCO!H1315)</f>
        <v>0</v>
      </c>
      <c r="I783" s="12">
        <f ca="1">IF(TOTALCO!I1315="", "",TOTALCO!I1315)</f>
        <v>0</v>
      </c>
      <c r="J783" s="12" t="str">
        <f>IF(TOTALCO!J1315="", "",TOTALCO!J1315)</f>
        <v/>
      </c>
      <c r="K783" s="12" t="str">
        <f>IF(TOTALCO!K1315="", "",TOTALCO!K1315)</f>
        <v/>
      </c>
      <c r="L783" s="12">
        <f ca="1">IF(TOTALCO!L1315="", "",TOTALCO!L1315)</f>
        <v>0</v>
      </c>
      <c r="M783" s="12" t="str">
        <f>IF(TOTALCO!M1315="", "",TOTALCO!M1315)</f>
        <v/>
      </c>
      <c r="N783" s="12">
        <f ca="1">IF(TOTALCO!N1315="", "",TOTALCO!N1315)</f>
        <v>0</v>
      </c>
      <c r="O783" s="12">
        <f ca="1">IF(TOTALCO!O1315="", "",TOTALCO!O1315)</f>
        <v>0</v>
      </c>
      <c r="P783" s="12">
        <f ca="1">IF(TOTALCO!P1315="", "",TOTALCO!P1315)</f>
        <v>0</v>
      </c>
      <c r="Q783" s="12"/>
      <c r="R783" s="13"/>
    </row>
    <row r="784" spans="1:18" ht="15" x14ac:dyDescent="0.2">
      <c r="A784" s="382" t="str">
        <f>IF(TOTALCO!A1316="", "",TOTALCO!A1316)</f>
        <v/>
      </c>
      <c r="B784" s="4" t="str">
        <f>IF(TOTALCO!B1316="", "",TOTALCO!B1316)</f>
        <v/>
      </c>
      <c r="C784" s="4" t="str">
        <f>IF(TOTALCO!C1316="", "",TOTALCO!C1316)</f>
        <v/>
      </c>
      <c r="D784" s="12" t="str">
        <f>IF(TOTALCO!D1316="", "",TOTALCO!D1316)</f>
        <v/>
      </c>
      <c r="E784" s="12" t="str">
        <f>IF(TOTALCO!E1316="", "",TOTALCO!E1316)</f>
        <v/>
      </c>
      <c r="F784" s="12" t="str">
        <f>IF(TOTALCO!F1316="", "",TOTALCO!F1316)</f>
        <v/>
      </c>
      <c r="G784" s="12" t="str">
        <f>IF(TOTALCO!G1316="", "",TOTALCO!G1316)</f>
        <v/>
      </c>
      <c r="H784" s="12" t="str">
        <f>IF(TOTALCO!H1316="", "",TOTALCO!H1316)</f>
        <v/>
      </c>
      <c r="I784" s="12" t="str">
        <f>IF(TOTALCO!I1316="", "",TOTALCO!I1316)</f>
        <v/>
      </c>
      <c r="J784" s="12" t="str">
        <f>IF(TOTALCO!J1316="", "",TOTALCO!J1316)</f>
        <v/>
      </c>
      <c r="K784" s="12" t="str">
        <f>IF(TOTALCO!K1316="", "",TOTALCO!K1316)</f>
        <v/>
      </c>
      <c r="L784" s="12" t="str">
        <f>IF(TOTALCO!L1316="", "",TOTALCO!L1316)</f>
        <v/>
      </c>
      <c r="M784" s="12" t="str">
        <f>IF(TOTALCO!M1316="", "",TOTALCO!M1316)</f>
        <v/>
      </c>
      <c r="N784" s="12" t="str">
        <f>IF(TOTALCO!N1316="", "",TOTALCO!N1316)</f>
        <v/>
      </c>
      <c r="O784" s="12" t="str">
        <f>IF(TOTALCO!O1316="", "",TOTALCO!O1316)</f>
        <v/>
      </c>
      <c r="P784" s="12" t="str">
        <f>IF(TOTALCO!P1316="", "",TOTALCO!P1316)</f>
        <v/>
      </c>
      <c r="Q784" s="12"/>
      <c r="R784" s="13"/>
    </row>
    <row r="785" spans="1:18" ht="15" x14ac:dyDescent="0.2">
      <c r="A785" s="382">
        <f>IF(TOTALCO!A1317="", "",TOTALCO!A1317)</f>
        <v>6</v>
      </c>
      <c r="B785" s="4" t="str">
        <f>IF(TOTALCO!B1317="", "",TOTALCO!B1317)</f>
        <v xml:space="preserve">     TOTAL ENERGY LABOR</v>
      </c>
      <c r="C785" s="4" t="str">
        <f>IF(TOTALCO!C1317="", "",TOTALCO!C1317)</f>
        <v/>
      </c>
      <c r="D785" s="12">
        <f ca="1">IF(TOTALCO!D1317="", "",TOTALCO!D1317)</f>
        <v>21347703.709999997</v>
      </c>
      <c r="E785" s="12" t="str">
        <f>IF(TOTALCO!E1317="", "",TOTALCO!E1317)</f>
        <v/>
      </c>
      <c r="F785" s="12">
        <f ca="1">IF(TOTALCO!F1317="", "",TOTALCO!F1317)</f>
        <v>18520560.671725322</v>
      </c>
      <c r="G785" s="12" t="str">
        <f>IF(TOTALCO!G1317="", "",TOTALCO!G1317)</f>
        <v/>
      </c>
      <c r="H785" s="12">
        <f ca="1">IF(TOTALCO!H1317="", "",TOTALCO!H1317)</f>
        <v>979263.14620927454</v>
      </c>
      <c r="I785" s="12">
        <f ca="1">IF(TOTALCO!I1317="", "",TOTALCO!I1317)</f>
        <v>1847879.8920654031</v>
      </c>
      <c r="J785" s="12" t="str">
        <f>IF(TOTALCO!J1317="", "",TOTALCO!J1317)</f>
        <v/>
      </c>
      <c r="K785" s="12" t="str">
        <f>IF(TOTALCO!K1317="", "",TOTALCO!K1317)</f>
        <v/>
      </c>
      <c r="L785" s="12">
        <f ca="1">IF(TOTALCO!L1317="", "",TOTALCO!L1317)</f>
        <v>101.80971267084205</v>
      </c>
      <c r="M785" s="12" t="str">
        <f>IF(TOTALCO!M1317="", "",TOTALCO!M1317)</f>
        <v/>
      </c>
      <c r="N785" s="12">
        <f ca="1">IF(TOTALCO!N1317="", "",TOTALCO!N1317)</f>
        <v>1847778.0823527321</v>
      </c>
      <c r="O785" s="12">
        <f ca="1">IF(TOTALCO!O1317="", "",TOTALCO!O1317)</f>
        <v>603200.80181086785</v>
      </c>
      <c r="P785" s="12">
        <f ca="1">IF(TOTALCO!P1317="", "",TOTALCO!P1317)</f>
        <v>1244577.2805418642</v>
      </c>
      <c r="Q785" s="12"/>
      <c r="R785" s="13"/>
    </row>
    <row r="786" spans="1:18" ht="15" x14ac:dyDescent="0.2">
      <c r="A786" s="382" t="str">
        <f>IF(TOTALCO!A1318="", "",TOTALCO!A1318)</f>
        <v/>
      </c>
      <c r="B786" s="4" t="str">
        <f>IF(TOTALCO!B1318="", "",TOTALCO!B1318)</f>
        <v/>
      </c>
      <c r="C786" s="4" t="str">
        <f>IF(TOTALCO!C1318="", "",TOTALCO!C1318)</f>
        <v/>
      </c>
      <c r="D786" s="12" t="str">
        <f>IF(TOTALCO!D1318="", "",TOTALCO!D1318)</f>
        <v/>
      </c>
      <c r="E786" s="12" t="str">
        <f>IF(TOTALCO!E1318="", "",TOTALCO!E1318)</f>
        <v/>
      </c>
      <c r="F786" s="12" t="str">
        <f>IF(TOTALCO!F1318="", "",TOTALCO!F1318)</f>
        <v/>
      </c>
      <c r="G786" s="12" t="str">
        <f>IF(TOTALCO!G1318="", "",TOTALCO!G1318)</f>
        <v/>
      </c>
      <c r="H786" s="12" t="str">
        <f>IF(TOTALCO!H1318="", "",TOTALCO!H1318)</f>
        <v/>
      </c>
      <c r="I786" s="12" t="str">
        <f>IF(TOTALCO!I1318="", "",TOTALCO!I1318)</f>
        <v/>
      </c>
      <c r="J786" s="12" t="str">
        <f>IF(TOTALCO!J1318="", "",TOTALCO!J1318)</f>
        <v/>
      </c>
      <c r="K786" s="12" t="str">
        <f>IF(TOTALCO!K1318="", "",TOTALCO!K1318)</f>
        <v/>
      </c>
      <c r="L786" s="12" t="str">
        <f>IF(TOTALCO!L1318="", "",TOTALCO!L1318)</f>
        <v/>
      </c>
      <c r="M786" s="12" t="str">
        <f>IF(TOTALCO!M1318="", "",TOTALCO!M1318)</f>
        <v/>
      </c>
      <c r="N786" s="12" t="str">
        <f>IF(TOTALCO!N1318="", "",TOTALCO!N1318)</f>
        <v/>
      </c>
      <c r="O786" s="12" t="str">
        <f>IF(TOTALCO!O1318="", "",TOTALCO!O1318)</f>
        <v/>
      </c>
      <c r="P786" s="12" t="str">
        <f>IF(TOTALCO!P1318="", "",TOTALCO!P1318)</f>
        <v/>
      </c>
      <c r="Q786" s="12"/>
      <c r="R786" s="13"/>
    </row>
    <row r="787" spans="1:18" ht="15" x14ac:dyDescent="0.2">
      <c r="A787" s="382" t="str">
        <f>IF(TOTALCO!A1319="", "",TOTALCO!A1319)</f>
        <v/>
      </c>
      <c r="B787" s="4" t="str">
        <f>IF(TOTALCO!B1319="", "",TOTALCO!B1319)</f>
        <v xml:space="preserve">   DEMAND RELATED</v>
      </c>
      <c r="C787" s="4" t="str">
        <f>IF(TOTALCO!C1319="", "",TOTALCO!C1319)</f>
        <v/>
      </c>
      <c r="D787" s="12" t="str">
        <f>IF(TOTALCO!D1319="", "",TOTALCO!D1319)</f>
        <v/>
      </c>
      <c r="E787" s="12" t="str">
        <f>IF(TOTALCO!E1319="", "",TOTALCO!E1319)</f>
        <v/>
      </c>
      <c r="F787" s="12" t="str">
        <f>IF(TOTALCO!F1319="", "",TOTALCO!F1319)</f>
        <v/>
      </c>
      <c r="G787" s="12" t="str">
        <f>IF(TOTALCO!G1319="", "",TOTALCO!G1319)</f>
        <v/>
      </c>
      <c r="H787" s="12" t="str">
        <f>IF(TOTALCO!H1319="", "",TOTALCO!H1319)</f>
        <v/>
      </c>
      <c r="I787" s="12" t="str">
        <f>IF(TOTALCO!I1319="", "",TOTALCO!I1319)</f>
        <v/>
      </c>
      <c r="J787" s="12" t="str">
        <f>IF(TOTALCO!J1319="", "",TOTALCO!J1319)</f>
        <v/>
      </c>
      <c r="K787" s="12" t="str">
        <f>IF(TOTALCO!K1319="", "",TOTALCO!K1319)</f>
        <v/>
      </c>
      <c r="L787" s="12" t="str">
        <f>IF(TOTALCO!L1319="", "",TOTALCO!L1319)</f>
        <v/>
      </c>
      <c r="M787" s="12" t="str">
        <f>IF(TOTALCO!M1319="", "",TOTALCO!M1319)</f>
        <v/>
      </c>
      <c r="N787" s="12" t="str">
        <f>IF(TOTALCO!N1319="", "",TOTALCO!N1319)</f>
        <v/>
      </c>
      <c r="O787" s="12" t="str">
        <f>IF(TOTALCO!O1319="", "",TOTALCO!O1319)</f>
        <v/>
      </c>
      <c r="P787" s="12" t="str">
        <f>IF(TOTALCO!P1319="", "",TOTALCO!P1319)</f>
        <v/>
      </c>
      <c r="Q787" s="12"/>
      <c r="R787" s="13"/>
    </row>
    <row r="788" spans="1:18" ht="15" x14ac:dyDescent="0.2">
      <c r="A788" s="382">
        <f>IF(TOTALCO!A1320="", "",TOTALCO!A1320)</f>
        <v>7</v>
      </c>
      <c r="B788" s="4" t="str">
        <f>IF(TOTALCO!B1320="", "",TOTALCO!B1320)</f>
        <v xml:space="preserve">   FERC 500</v>
      </c>
      <c r="C788" s="4" t="str">
        <f>IF(TOTALCO!C1320="", "",TOTALCO!C1320)</f>
        <v>PRODPLT</v>
      </c>
      <c r="D788" s="12">
        <f ca="1">IF(TOTALCO!D1320="", "",TOTALCO!D1320)</f>
        <v>4888803.6400000006</v>
      </c>
      <c r="E788" s="12" t="str">
        <f>IF(TOTALCO!E1320="", "",TOTALCO!E1320)</f>
        <v/>
      </c>
      <c r="F788" s="12">
        <f ca="1">IF(TOTALCO!F1320="", "",TOTALCO!F1320)</f>
        <v>4189374.1917603221</v>
      </c>
      <c r="G788" s="12" t="str">
        <f>IF(TOTALCO!G1320="", "",TOTALCO!G1320)</f>
        <v/>
      </c>
      <c r="H788" s="12">
        <f ca="1">IF(TOTALCO!H1320="", "",TOTALCO!H1320)</f>
        <v>253574.95393345301</v>
      </c>
      <c r="I788" s="12">
        <f ca="1">IF(TOTALCO!I1320="", "",TOTALCO!I1320)</f>
        <v>445854.49430622562</v>
      </c>
      <c r="J788" s="12" t="str">
        <f>IF(TOTALCO!J1320="", "",TOTALCO!J1320)</f>
        <v/>
      </c>
      <c r="K788" s="12" t="str">
        <f>IF(TOTALCO!K1320="", "",TOTALCO!K1320)</f>
        <v/>
      </c>
      <c r="L788" s="12">
        <f ca="1">IF(TOTALCO!L1320="", "",TOTALCO!L1320)</f>
        <v>37.041480014061264</v>
      </c>
      <c r="M788" s="12" t="str">
        <f>IF(TOTALCO!M1320="", "",TOTALCO!M1320)</f>
        <v/>
      </c>
      <c r="N788" s="12">
        <f ca="1">IF(TOTALCO!N1320="", "",TOTALCO!N1320)</f>
        <v>445817.45282621158</v>
      </c>
      <c r="O788" s="12">
        <f ca="1">IF(TOTALCO!O1320="", "",TOTALCO!O1320)</f>
        <v>139106.35668320916</v>
      </c>
      <c r="P788" s="12">
        <f ca="1">IF(TOTALCO!P1320="", "",TOTALCO!P1320)</f>
        <v>306711.09614300245</v>
      </c>
      <c r="Q788" s="12"/>
      <c r="R788" s="13"/>
    </row>
    <row r="789" spans="1:18" ht="15" x14ac:dyDescent="0.2">
      <c r="A789" s="382">
        <f>IF(TOTALCO!A1321="", "",TOTALCO!A1321)</f>
        <v>8</v>
      </c>
      <c r="B789" s="4" t="str">
        <f>IF(TOTALCO!B1321="", "",TOTALCO!B1321)</f>
        <v xml:space="preserve">   FERC 502</v>
      </c>
      <c r="C789" s="4" t="str">
        <f>IF(TOTALCO!C1321="", "",TOTALCO!C1321)</f>
        <v>PRODPLT</v>
      </c>
      <c r="D789" s="12">
        <f ca="1">IF(TOTALCO!D1321="", "",TOTALCO!D1321)</f>
        <v>9216022.9000000004</v>
      </c>
      <c r="E789" s="12" t="str">
        <f>IF(TOTALCO!E1321="", "",TOTALCO!E1321)</f>
        <v/>
      </c>
      <c r="F789" s="12">
        <f ca="1">IF(TOTALCO!F1321="", "",TOTALCO!F1321)</f>
        <v>7897508.5380872684</v>
      </c>
      <c r="G789" s="12" t="str">
        <f>IF(TOTALCO!G1321="", "",TOTALCO!G1321)</f>
        <v/>
      </c>
      <c r="H789" s="12">
        <f ca="1">IF(TOTALCO!H1321="", "",TOTALCO!H1321)</f>
        <v>478021.36359012115</v>
      </c>
      <c r="I789" s="12">
        <f ca="1">IF(TOTALCO!I1321="", "",TOTALCO!I1321)</f>
        <v>840492.99832261109</v>
      </c>
      <c r="J789" s="12" t="str">
        <f>IF(TOTALCO!J1321="", "",TOTALCO!J1321)</f>
        <v/>
      </c>
      <c r="K789" s="12" t="str">
        <f>IF(TOTALCO!K1321="", "",TOTALCO!K1321)</f>
        <v/>
      </c>
      <c r="L789" s="12">
        <f ca="1">IF(TOTALCO!L1321="", "",TOTALCO!L1321)</f>
        <v>69.827948348418616</v>
      </c>
      <c r="M789" s="12" t="str">
        <f>IF(TOTALCO!M1321="", "",TOTALCO!M1321)</f>
        <v/>
      </c>
      <c r="N789" s="12">
        <f ca="1">IF(TOTALCO!N1321="", "",TOTALCO!N1321)</f>
        <v>840423.17037426273</v>
      </c>
      <c r="O789" s="12">
        <f ca="1">IF(TOTALCO!O1321="", "",TOTALCO!O1321)</f>
        <v>262233.35260158323</v>
      </c>
      <c r="P789" s="12">
        <f ca="1">IF(TOTALCO!P1321="", "",TOTALCO!P1321)</f>
        <v>578189.8177726795</v>
      </c>
      <c r="Q789" s="12"/>
      <c r="R789" s="13"/>
    </row>
    <row r="790" spans="1:18" ht="15" x14ac:dyDescent="0.2">
      <c r="A790" s="382">
        <f>IF(TOTALCO!A1322="", "",TOTALCO!A1322)</f>
        <v>9</v>
      </c>
      <c r="B790" s="4" t="str">
        <f>IF(TOTALCO!B1322="", "",TOTALCO!B1322)</f>
        <v xml:space="preserve">   FERC 505</v>
      </c>
      <c r="C790" s="4" t="str">
        <f>IF(TOTALCO!C1322="", "",TOTALCO!C1322)</f>
        <v>PRODPLT</v>
      </c>
      <c r="D790" s="12">
        <f ca="1">IF(TOTALCO!D1322="", "",TOTALCO!D1322)</f>
        <v>6422402.6799999997</v>
      </c>
      <c r="E790" s="12" t="str">
        <f>IF(TOTALCO!E1322="", "",TOTALCO!E1322)</f>
        <v/>
      </c>
      <c r="F790" s="12">
        <f ca="1">IF(TOTALCO!F1322="", "",TOTALCO!F1322)</f>
        <v>5503564.8837563703</v>
      </c>
      <c r="G790" s="12" t="str">
        <f>IF(TOTALCO!G1322="", "",TOTALCO!G1322)</f>
        <v/>
      </c>
      <c r="H790" s="12">
        <f ca="1">IF(TOTALCO!H1322="", "",TOTALCO!H1322)</f>
        <v>333120.44901911519</v>
      </c>
      <c r="I790" s="12">
        <f ca="1">IF(TOTALCO!I1322="", "",TOTALCO!I1322)</f>
        <v>585717.347224514</v>
      </c>
      <c r="J790" s="12" t="str">
        <f>IF(TOTALCO!J1322="", "",TOTALCO!J1322)</f>
        <v/>
      </c>
      <c r="K790" s="12" t="str">
        <f>IF(TOTALCO!K1322="", "",TOTALCO!K1322)</f>
        <v/>
      </c>
      <c r="L790" s="12">
        <f ca="1">IF(TOTALCO!L1322="", "",TOTALCO!L1322)</f>
        <v>48.66125089725908</v>
      </c>
      <c r="M790" s="12" t="str">
        <f>IF(TOTALCO!M1322="", "",TOTALCO!M1322)</f>
        <v/>
      </c>
      <c r="N790" s="12">
        <f ca="1">IF(TOTALCO!N1322="", "",TOTALCO!N1322)</f>
        <v>585668.68597361678</v>
      </c>
      <c r="O790" s="12">
        <f ca="1">IF(TOTALCO!O1322="", "",TOTALCO!O1322)</f>
        <v>182743.48976864986</v>
      </c>
      <c r="P790" s="12">
        <f ca="1">IF(TOTALCO!P1322="", "",TOTALCO!P1322)</f>
        <v>402925.19620496687</v>
      </c>
      <c r="Q790" s="12"/>
      <c r="R790" s="13"/>
    </row>
    <row r="791" spans="1:18" ht="15" x14ac:dyDescent="0.2">
      <c r="A791" s="382">
        <f>IF(TOTALCO!A1323="", "",TOTALCO!A1323)</f>
        <v>10</v>
      </c>
      <c r="B791" s="4" t="str">
        <f>IF(TOTALCO!B1323="", "",TOTALCO!B1323)</f>
        <v xml:space="preserve">   FERC 506</v>
      </c>
      <c r="C791" s="4" t="str">
        <f>IF(TOTALCO!C1323="", "",TOTALCO!C1323)</f>
        <v>PRODPLT</v>
      </c>
      <c r="D791" s="12">
        <f ca="1">IF(TOTALCO!D1323="", "",TOTALCO!D1323)</f>
        <v>1529894.1400000001</v>
      </c>
      <c r="E791" s="12" t="str">
        <f>IF(TOTALCO!E1323="", "",TOTALCO!E1323)</f>
        <v/>
      </c>
      <c r="F791" s="12">
        <f ca="1">IF(TOTALCO!F1323="", "",TOTALCO!F1323)</f>
        <v>1311015.8431810839</v>
      </c>
      <c r="G791" s="12" t="str">
        <f>IF(TOTALCO!G1323="", "",TOTALCO!G1323)</f>
        <v/>
      </c>
      <c r="H791" s="12">
        <f ca="1">IF(TOTALCO!H1323="", "",TOTALCO!H1323)</f>
        <v>79353.327447931544</v>
      </c>
      <c r="I791" s="12">
        <f ca="1">IF(TOTALCO!I1323="", "",TOTALCO!I1323)</f>
        <v>139524.96937098459</v>
      </c>
      <c r="J791" s="12" t="str">
        <f>IF(TOTALCO!J1323="", "",TOTALCO!J1323)</f>
        <v/>
      </c>
      <c r="K791" s="12" t="str">
        <f>IF(TOTALCO!K1323="", "",TOTALCO!K1323)</f>
        <v/>
      </c>
      <c r="L791" s="12">
        <f ca="1">IF(TOTALCO!L1323="", "",TOTALCO!L1323)</f>
        <v>11.591699602489955</v>
      </c>
      <c r="M791" s="12" t="str">
        <f>IF(TOTALCO!M1323="", "",TOTALCO!M1323)</f>
        <v/>
      </c>
      <c r="N791" s="12">
        <f ca="1">IF(TOTALCO!N1323="", "",TOTALCO!N1323)</f>
        <v>139513.3776713821</v>
      </c>
      <c r="O791" s="12">
        <f ca="1">IF(TOTALCO!O1323="", "",TOTALCO!O1323)</f>
        <v>43531.713604760676</v>
      </c>
      <c r="P791" s="12">
        <f ca="1">IF(TOTALCO!P1323="", "",TOTALCO!P1323)</f>
        <v>95981.664066621423</v>
      </c>
      <c r="Q791" s="12"/>
      <c r="R791" s="13"/>
    </row>
    <row r="792" spans="1:18" ht="15" x14ac:dyDescent="0.2">
      <c r="A792" s="382">
        <f>IF(TOTALCO!A1324="", "",TOTALCO!A1324)</f>
        <v>11</v>
      </c>
      <c r="B792" s="4" t="str">
        <f>IF(TOTALCO!B1324="", "",TOTALCO!B1324)</f>
        <v xml:space="preserve">   FERC 509</v>
      </c>
      <c r="C792" s="4" t="str">
        <f>IF(TOTALCO!C1324="", "",TOTALCO!C1324)</f>
        <v>PRODPLT</v>
      </c>
      <c r="D792" s="12">
        <f ca="1">IF(TOTALCO!D1324="", "",TOTALCO!D1324)</f>
        <v>0</v>
      </c>
      <c r="E792" s="12" t="str">
        <f>IF(TOTALCO!E1324="", "",TOTALCO!E1324)</f>
        <v/>
      </c>
      <c r="F792" s="12">
        <f ca="1">IF(TOTALCO!F1324="", "",TOTALCO!F1324)</f>
        <v>0</v>
      </c>
      <c r="G792" s="12" t="str">
        <f>IF(TOTALCO!G1324="", "",TOTALCO!G1324)</f>
        <v/>
      </c>
      <c r="H792" s="12">
        <f ca="1">IF(TOTALCO!H1324="", "",TOTALCO!H1324)</f>
        <v>0</v>
      </c>
      <c r="I792" s="12">
        <f ca="1">IF(TOTALCO!I1324="", "",TOTALCO!I1324)</f>
        <v>0</v>
      </c>
      <c r="J792" s="12" t="str">
        <f>IF(TOTALCO!J1324="", "",TOTALCO!J1324)</f>
        <v/>
      </c>
      <c r="K792" s="12" t="str">
        <f>IF(TOTALCO!K1324="", "",TOTALCO!K1324)</f>
        <v/>
      </c>
      <c r="L792" s="12">
        <f ca="1">IF(TOTALCO!L1324="", "",TOTALCO!L1324)</f>
        <v>0</v>
      </c>
      <c r="M792" s="12" t="str">
        <f>IF(TOTALCO!M1324="", "",TOTALCO!M1324)</f>
        <v/>
      </c>
      <c r="N792" s="12">
        <f ca="1">IF(TOTALCO!N1324="", "",TOTALCO!N1324)</f>
        <v>0</v>
      </c>
      <c r="O792" s="12">
        <f ca="1">IF(TOTALCO!O1324="", "",TOTALCO!O1324)</f>
        <v>0</v>
      </c>
      <c r="P792" s="12">
        <f ca="1">IF(TOTALCO!P1324="", "",TOTALCO!P1324)</f>
        <v>0</v>
      </c>
      <c r="Q792" s="12"/>
      <c r="R792" s="13"/>
    </row>
    <row r="793" spans="1:18" ht="15" x14ac:dyDescent="0.2">
      <c r="A793" s="382">
        <f>IF(TOTALCO!A1325="", "",TOTALCO!A1325)</f>
        <v>12</v>
      </c>
      <c r="B793" s="4" t="str">
        <f>IF(TOTALCO!B1325="", "",TOTALCO!B1325)</f>
        <v xml:space="preserve">   FERC 511</v>
      </c>
      <c r="C793" s="4" t="str">
        <f>IF(TOTALCO!C1325="", "",TOTALCO!C1325)</f>
        <v>PRODPLT</v>
      </c>
      <c r="D793" s="12">
        <f ca="1">IF(TOTALCO!D1325="", "",TOTALCO!D1325)</f>
        <v>1154804</v>
      </c>
      <c r="E793" s="12" t="str">
        <f>IF(TOTALCO!E1325="", "",TOTALCO!E1325)</f>
        <v/>
      </c>
      <c r="F793" s="12">
        <f ca="1">IF(TOTALCO!F1325="", "",TOTALCO!F1325)</f>
        <v>989588.95271596266</v>
      </c>
      <c r="G793" s="12" t="str">
        <f>IF(TOTALCO!G1325="", "",TOTALCO!G1325)</f>
        <v/>
      </c>
      <c r="H793" s="12">
        <f ca="1">IF(TOTALCO!H1325="", "",TOTALCO!H1325)</f>
        <v>59897.961273438916</v>
      </c>
      <c r="I793" s="12">
        <f ca="1">IF(TOTALCO!I1325="", "",TOTALCO!I1325)</f>
        <v>105317.0860105984</v>
      </c>
      <c r="J793" s="12" t="str">
        <f>IF(TOTALCO!J1325="", "",TOTALCO!J1325)</f>
        <v/>
      </c>
      <c r="K793" s="12" t="str">
        <f>IF(TOTALCO!K1325="", "",TOTALCO!K1325)</f>
        <v/>
      </c>
      <c r="L793" s="12">
        <f ca="1">IF(TOTALCO!L1325="", "",TOTALCO!L1325)</f>
        <v>8.7497171979192032</v>
      </c>
      <c r="M793" s="12" t="str">
        <f>IF(TOTALCO!M1325="", "",TOTALCO!M1325)</f>
        <v/>
      </c>
      <c r="N793" s="12">
        <f ca="1">IF(TOTALCO!N1325="", "",TOTALCO!N1325)</f>
        <v>105308.33629340048</v>
      </c>
      <c r="O793" s="12">
        <f ca="1">IF(TOTALCO!O1325="", "",TOTALCO!O1325)</f>
        <v>32858.872835235539</v>
      </c>
      <c r="P793" s="12">
        <f ca="1">IF(TOTALCO!P1325="", "",TOTALCO!P1325)</f>
        <v>72449.463458164944</v>
      </c>
      <c r="Q793" s="12"/>
      <c r="R793" s="13"/>
    </row>
    <row r="794" spans="1:18" ht="15" x14ac:dyDescent="0.2">
      <c r="A794" s="382">
        <f>IF(TOTALCO!A1326="", "",TOTALCO!A1326)</f>
        <v>13</v>
      </c>
      <c r="B794" s="4" t="str">
        <f>IF(TOTALCO!B1326="", "",TOTALCO!B1326)</f>
        <v xml:space="preserve">   FERC 514</v>
      </c>
      <c r="C794" s="4" t="str">
        <f>IF(TOTALCO!C1326="", "",TOTALCO!C1326)</f>
        <v>PRODPLT</v>
      </c>
      <c r="D794" s="12">
        <f ca="1">IF(TOTALCO!D1326="", "",TOTALCO!D1326)</f>
        <v>224143.89</v>
      </c>
      <c r="E794" s="12" t="str">
        <f>IF(TOTALCO!E1326="", "",TOTALCO!E1326)</f>
        <v/>
      </c>
      <c r="F794" s="12">
        <f ca="1">IF(TOTALCO!F1326="", "",TOTALCO!F1326)</f>
        <v>192076.15955848954</v>
      </c>
      <c r="G794" s="12" t="str">
        <f>IF(TOTALCO!G1326="", "",TOTALCO!G1326)</f>
        <v/>
      </c>
      <c r="H794" s="12">
        <f ca="1">IF(TOTALCO!H1326="", "",TOTALCO!H1326)</f>
        <v>11626.009299325213</v>
      </c>
      <c r="I794" s="12">
        <f ca="1">IF(TOTALCO!I1326="", "",TOTALCO!I1326)</f>
        <v>20441.721142185263</v>
      </c>
      <c r="J794" s="12" t="str">
        <f>IF(TOTALCO!J1326="", "",TOTALCO!J1326)</f>
        <v/>
      </c>
      <c r="K794" s="12" t="str">
        <f>IF(TOTALCO!K1326="", "",TOTALCO!K1326)</f>
        <v/>
      </c>
      <c r="L794" s="12">
        <f ca="1">IF(TOTALCO!L1326="", "",TOTALCO!L1326)</f>
        <v>1.6982930862219998</v>
      </c>
      <c r="M794" s="12" t="str">
        <f>IF(TOTALCO!M1326="", "",TOTALCO!M1326)</f>
        <v/>
      </c>
      <c r="N794" s="12">
        <f ca="1">IF(TOTALCO!N1326="", "",TOTALCO!N1326)</f>
        <v>20440.022849099041</v>
      </c>
      <c r="O794" s="12">
        <f ca="1">IF(TOTALCO!O1326="", "",TOTALCO!O1326)</f>
        <v>6377.8057387271119</v>
      </c>
      <c r="P794" s="12">
        <f ca="1">IF(TOTALCO!P1326="", "",TOTALCO!P1326)</f>
        <v>14062.217110371928</v>
      </c>
      <c r="Q794" s="12"/>
      <c r="R794" s="13"/>
    </row>
    <row r="795" spans="1:18" ht="15" x14ac:dyDescent="0.2">
      <c r="A795" s="382">
        <f>IF(TOTALCO!A1327="", "",TOTALCO!A1327)</f>
        <v>14</v>
      </c>
      <c r="B795" s="4" t="str">
        <f>IF(TOTALCO!B1327="", "",TOTALCO!B1327)</f>
        <v xml:space="preserve">   FERC 535</v>
      </c>
      <c r="C795" s="4" t="str">
        <f>IF(TOTALCO!C1327="", "",TOTALCO!C1327)</f>
        <v>PRODPLT</v>
      </c>
      <c r="D795" s="12">
        <f ca="1">IF(TOTALCO!D1327="", "",TOTALCO!D1327)</f>
        <v>7943.9700000000012</v>
      </c>
      <c r="E795" s="12" t="str">
        <f>IF(TOTALCO!E1327="", "",TOTALCO!E1327)</f>
        <v/>
      </c>
      <c r="F795" s="12">
        <f ca="1">IF(TOTALCO!F1327="", "",TOTALCO!F1327)</f>
        <v>6807.4452051664412</v>
      </c>
      <c r="G795" s="12" t="str">
        <f>IF(TOTALCO!G1327="", "",TOTALCO!G1327)</f>
        <v/>
      </c>
      <c r="H795" s="12">
        <f ca="1">IF(TOTALCO!H1327="", "",TOTALCO!H1327)</f>
        <v>412.04187673177495</v>
      </c>
      <c r="I795" s="12">
        <f ca="1">IF(TOTALCO!I1327="", "",TOTALCO!I1327)</f>
        <v>724.48291810178489</v>
      </c>
      <c r="J795" s="12" t="str">
        <f>IF(TOTALCO!J1327="", "",TOTALCO!J1327)</f>
        <v/>
      </c>
      <c r="K795" s="12" t="str">
        <f>IF(TOTALCO!K1327="", "",TOTALCO!K1327)</f>
        <v/>
      </c>
      <c r="L795" s="12">
        <f ca="1">IF(TOTALCO!L1327="", "",TOTALCO!L1327)</f>
        <v>6.0189859862586396E-2</v>
      </c>
      <c r="M795" s="12" t="str">
        <f>IF(TOTALCO!M1327="", "",TOTALCO!M1327)</f>
        <v/>
      </c>
      <c r="N795" s="12">
        <f ca="1">IF(TOTALCO!N1327="", "",TOTALCO!N1327)</f>
        <v>724.4227282419223</v>
      </c>
      <c r="O795" s="12">
        <f ca="1">IF(TOTALCO!O1327="", "",TOTALCO!O1327)</f>
        <v>226.03827146158667</v>
      </c>
      <c r="P795" s="12">
        <f ca="1">IF(TOTALCO!P1327="", "",TOTALCO!P1327)</f>
        <v>498.3844567803356</v>
      </c>
      <c r="Q795" s="12"/>
      <c r="R795" s="13"/>
    </row>
    <row r="796" spans="1:18" ht="15" x14ac:dyDescent="0.2">
      <c r="A796" s="382">
        <f>IF(TOTALCO!A1328="", "",TOTALCO!A1328)</f>
        <v>15</v>
      </c>
      <c r="B796" s="4" t="str">
        <f>IF(TOTALCO!B1328="", "",TOTALCO!B1328)</f>
        <v xml:space="preserve">   FERC 538</v>
      </c>
      <c r="C796" s="4" t="str">
        <f>IF(TOTALCO!C1328="", "",TOTALCO!C1328)</f>
        <v>PRODPLT</v>
      </c>
      <c r="D796" s="12">
        <f ca="1">IF(TOTALCO!D1328="", "",TOTALCO!D1328)</f>
        <v>0</v>
      </c>
      <c r="E796" s="12" t="str">
        <f>IF(TOTALCO!E1328="", "",TOTALCO!E1328)</f>
        <v/>
      </c>
      <c r="F796" s="12">
        <f ca="1">IF(TOTALCO!F1328="", "",TOTALCO!F1328)</f>
        <v>0</v>
      </c>
      <c r="G796" s="12" t="str">
        <f>IF(TOTALCO!G1328="", "",TOTALCO!G1328)</f>
        <v/>
      </c>
      <c r="H796" s="12">
        <f ca="1">IF(TOTALCO!H1328="", "",TOTALCO!H1328)</f>
        <v>0</v>
      </c>
      <c r="I796" s="12">
        <f ca="1">IF(TOTALCO!I1328="", "",TOTALCO!I1328)</f>
        <v>0</v>
      </c>
      <c r="J796" s="12" t="str">
        <f>IF(TOTALCO!J1328="", "",TOTALCO!J1328)</f>
        <v/>
      </c>
      <c r="K796" s="12" t="str">
        <f>IF(TOTALCO!K1328="", "",TOTALCO!K1328)</f>
        <v/>
      </c>
      <c r="L796" s="12">
        <f ca="1">IF(TOTALCO!L1328="", "",TOTALCO!L1328)</f>
        <v>0</v>
      </c>
      <c r="M796" s="12" t="str">
        <f>IF(TOTALCO!M1328="", "",TOTALCO!M1328)</f>
        <v/>
      </c>
      <c r="N796" s="12">
        <f ca="1">IF(TOTALCO!N1328="", "",TOTALCO!N1328)</f>
        <v>0</v>
      </c>
      <c r="O796" s="12">
        <f ca="1">IF(TOTALCO!O1328="", "",TOTALCO!O1328)</f>
        <v>0</v>
      </c>
      <c r="P796" s="12">
        <f ca="1">IF(TOTALCO!P1328="", "",TOTALCO!P1328)</f>
        <v>0</v>
      </c>
      <c r="Q796" s="12"/>
      <c r="R796" s="13"/>
    </row>
    <row r="797" spans="1:18" ht="15" x14ac:dyDescent="0.2">
      <c r="A797" s="382">
        <f>IF(TOTALCO!A1329="", "",TOTALCO!A1329)</f>
        <v>16</v>
      </c>
      <c r="B797" s="4" t="str">
        <f>IF(TOTALCO!B1329="", "",TOTALCO!B1329)</f>
        <v xml:space="preserve">   FERC 539</v>
      </c>
      <c r="C797" s="4" t="str">
        <f>IF(TOTALCO!C1329="", "",TOTALCO!C1329)</f>
        <v>PRODPLT</v>
      </c>
      <c r="D797" s="12">
        <f ca="1">IF(TOTALCO!D1329="", "",TOTALCO!D1329)</f>
        <v>5361.8</v>
      </c>
      <c r="E797" s="12" t="str">
        <f>IF(TOTALCO!E1329="", "",TOTALCO!E1329)</f>
        <v/>
      </c>
      <c r="F797" s="12">
        <f ca="1">IF(TOTALCO!F1329="", "",TOTALCO!F1329)</f>
        <v>4594.7000934119114</v>
      </c>
      <c r="G797" s="12" t="str">
        <f>IF(TOTALCO!G1329="", "",TOTALCO!G1329)</f>
        <v/>
      </c>
      <c r="H797" s="12">
        <f ca="1">IF(TOTALCO!H1329="", "",TOTALCO!H1329)</f>
        <v>278.10856972778481</v>
      </c>
      <c r="I797" s="12">
        <f ca="1">IF(TOTALCO!I1329="", "",TOTALCO!I1329)</f>
        <v>488.99133686030405</v>
      </c>
      <c r="J797" s="12" t="str">
        <f>IF(TOTALCO!J1329="", "",TOTALCO!J1329)</f>
        <v/>
      </c>
      <c r="K797" s="12" t="str">
        <f>IF(TOTALCO!K1329="", "",TOTALCO!K1329)</f>
        <v/>
      </c>
      <c r="L797" s="12">
        <f ca="1">IF(TOTALCO!L1329="", "",TOTALCO!L1329)</f>
        <v>4.0625278118021052E-2</v>
      </c>
      <c r="M797" s="12" t="str">
        <f>IF(TOTALCO!M1329="", "",TOTALCO!M1329)</f>
        <v/>
      </c>
      <c r="N797" s="12">
        <f ca="1">IF(TOTALCO!N1329="", "",TOTALCO!N1329)</f>
        <v>488.95071158218605</v>
      </c>
      <c r="O797" s="12">
        <f ca="1">IF(TOTALCO!O1329="", "",TOTALCO!O1329)</f>
        <v>152.56502780382294</v>
      </c>
      <c r="P797" s="12">
        <f ca="1">IF(TOTALCO!P1329="", "",TOTALCO!P1329)</f>
        <v>336.3856837783631</v>
      </c>
      <c r="Q797" s="12"/>
      <c r="R797" s="13"/>
    </row>
    <row r="798" spans="1:18" ht="15" x14ac:dyDescent="0.2">
      <c r="A798" s="382">
        <f>IF(TOTALCO!A1330="", "",TOTALCO!A1330)</f>
        <v>17</v>
      </c>
      <c r="B798" s="4" t="str">
        <f>IF(TOTALCO!B1330="", "",TOTALCO!B1330)</f>
        <v xml:space="preserve">   FERC 541</v>
      </c>
      <c r="C798" s="4" t="str">
        <f>IF(TOTALCO!C1330="", "",TOTALCO!C1330)</f>
        <v>PRODPLT</v>
      </c>
      <c r="D798" s="12">
        <f ca="1">IF(TOTALCO!D1330="", "",TOTALCO!D1330)</f>
        <v>108731.89</v>
      </c>
      <c r="E798" s="12" t="str">
        <f>IF(TOTALCO!E1330="", "",TOTALCO!E1330)</f>
        <v/>
      </c>
      <c r="F798" s="12">
        <f ca="1">IF(TOTALCO!F1330="", "",TOTALCO!F1330)</f>
        <v>93175.878462429348</v>
      </c>
      <c r="G798" s="12" t="str">
        <f>IF(TOTALCO!G1330="", "",TOTALCO!G1330)</f>
        <v/>
      </c>
      <c r="H798" s="12">
        <f ca="1">IF(TOTALCO!H1330="", "",TOTALCO!H1330)</f>
        <v>5639.7609779735967</v>
      </c>
      <c r="I798" s="12">
        <f ca="1">IF(TOTALCO!I1330="", "",TOTALCO!I1330)</f>
        <v>9916.2505595970615</v>
      </c>
      <c r="J798" s="12" t="str">
        <f>IF(TOTALCO!J1330="", "",TOTALCO!J1330)</f>
        <v/>
      </c>
      <c r="K798" s="12" t="str">
        <f>IF(TOTALCO!K1330="", "",TOTALCO!K1330)</f>
        <v/>
      </c>
      <c r="L798" s="12">
        <f ca="1">IF(TOTALCO!L1330="", "",TOTALCO!L1330)</f>
        <v>0.82383961944646811</v>
      </c>
      <c r="M798" s="12" t="str">
        <f>IF(TOTALCO!M1330="", "",TOTALCO!M1330)</f>
        <v/>
      </c>
      <c r="N798" s="12">
        <f ca="1">IF(TOTALCO!N1330="", "",TOTALCO!N1330)</f>
        <v>9915.426719977615</v>
      </c>
      <c r="O798" s="12">
        <f ca="1">IF(TOTALCO!O1330="", "",TOTALCO!O1330)</f>
        <v>3093.8647135313176</v>
      </c>
      <c r="P798" s="12">
        <f ca="1">IF(TOTALCO!P1330="", "",TOTALCO!P1330)</f>
        <v>6821.5620064462983</v>
      </c>
      <c r="Q798" s="12"/>
      <c r="R798" s="13"/>
    </row>
    <row r="799" spans="1:18" ht="15" x14ac:dyDescent="0.2">
      <c r="A799" s="382">
        <f>IF(TOTALCO!A1331="", "",TOTALCO!A1331)</f>
        <v>18</v>
      </c>
      <c r="B799" s="4" t="str">
        <f>IF(TOTALCO!B1331="", "",TOTALCO!B1331)</f>
        <v xml:space="preserve">   FERC 542</v>
      </c>
      <c r="C799" s="4" t="str">
        <f>IF(TOTALCO!C1331="", "",TOTALCO!C1331)</f>
        <v>PRODPLT</v>
      </c>
      <c r="D799" s="12">
        <f ca="1">IF(TOTALCO!D1331="", "",TOTALCO!D1331)</f>
        <v>22545.720000000005</v>
      </c>
      <c r="E799" s="12" t="str">
        <f>IF(TOTALCO!E1331="", "",TOTALCO!E1331)</f>
        <v/>
      </c>
      <c r="F799" s="12">
        <f ca="1">IF(TOTALCO!F1331="", "",TOTALCO!F1331)</f>
        <v>19320.157743675409</v>
      </c>
      <c r="G799" s="12" t="str">
        <f>IF(TOTALCO!G1331="", "",TOTALCO!G1331)</f>
        <v/>
      </c>
      <c r="H799" s="12">
        <f ca="1">IF(TOTALCO!H1331="", "",TOTALCO!H1331)</f>
        <v>1169.4128730432155</v>
      </c>
      <c r="I799" s="12">
        <f ca="1">IF(TOTALCO!I1331="", "",TOTALCO!I1331)</f>
        <v>2056.1493832813785</v>
      </c>
      <c r="J799" s="12" t="str">
        <f>IF(TOTALCO!J1331="", "",TOTALCO!J1331)</f>
        <v/>
      </c>
      <c r="K799" s="12" t="str">
        <f>IF(TOTALCO!K1331="", "",TOTALCO!K1331)</f>
        <v/>
      </c>
      <c r="L799" s="12">
        <f ca="1">IF(TOTALCO!L1331="", "",TOTALCO!L1331)</f>
        <v>0.17082437714406162</v>
      </c>
      <c r="M799" s="12" t="str">
        <f>IF(TOTALCO!M1331="", "",TOTALCO!M1331)</f>
        <v/>
      </c>
      <c r="N799" s="12">
        <f ca="1">IF(TOTALCO!N1331="", "",TOTALCO!N1331)</f>
        <v>2055.9785589042344</v>
      </c>
      <c r="O799" s="12">
        <f ca="1">IF(TOTALCO!O1331="", "",TOTALCO!O1331)</f>
        <v>641.51747522421704</v>
      </c>
      <c r="P799" s="12">
        <f ca="1">IF(TOTALCO!P1331="", "",TOTALCO!P1331)</f>
        <v>1414.4610836800173</v>
      </c>
      <c r="Q799" s="12"/>
      <c r="R799" s="13"/>
    </row>
    <row r="800" spans="1:18" ht="15" x14ac:dyDescent="0.2">
      <c r="A800" s="382">
        <f>IF(TOTALCO!A1332="", "",TOTALCO!A1332)</f>
        <v>19</v>
      </c>
      <c r="B800" s="4" t="str">
        <f>IF(TOTALCO!B1332="", "",TOTALCO!B1332)</f>
        <v xml:space="preserve">   FERC 544</v>
      </c>
      <c r="C800" s="4" t="str">
        <f>IF(TOTALCO!C1332="", "",TOTALCO!C1332)</f>
        <v>PRODPLT</v>
      </c>
      <c r="D800" s="12">
        <f ca="1">IF(TOTALCO!D1332="", "",TOTALCO!D1332)</f>
        <v>53549.56</v>
      </c>
      <c r="E800" s="12" t="str">
        <f>IF(TOTALCO!E1332="", "",TOTALCO!E1332)</f>
        <v/>
      </c>
      <c r="F800" s="12">
        <f ca="1">IF(TOTALCO!F1332="", "",TOTALCO!F1332)</f>
        <v>45888.352481287387</v>
      </c>
      <c r="G800" s="12" t="str">
        <f>IF(TOTALCO!G1332="", "",TOTALCO!G1332)</f>
        <v/>
      </c>
      <c r="H800" s="12">
        <f ca="1">IF(TOTALCO!H1332="", "",TOTALCO!H1332)</f>
        <v>2777.5358165452262</v>
      </c>
      <c r="I800" s="12">
        <f ca="1">IF(TOTALCO!I1332="", "",TOTALCO!I1332)</f>
        <v>4883.6717021673803</v>
      </c>
      <c r="J800" s="12" t="str">
        <f>IF(TOTALCO!J1332="", "",TOTALCO!J1332)</f>
        <v/>
      </c>
      <c r="K800" s="12" t="str">
        <f>IF(TOTALCO!K1332="", "",TOTALCO!K1332)</f>
        <v/>
      </c>
      <c r="L800" s="12">
        <f ca="1">IF(TOTALCO!L1332="", "",TOTALCO!L1332)</f>
        <v>0.40573422509188245</v>
      </c>
      <c r="M800" s="12" t="str">
        <f>IF(TOTALCO!M1332="", "",TOTALCO!M1332)</f>
        <v/>
      </c>
      <c r="N800" s="12">
        <f ca="1">IF(TOTALCO!N1332="", "",TOTALCO!N1332)</f>
        <v>4883.2659679422886</v>
      </c>
      <c r="O800" s="12">
        <f ca="1">IF(TOTALCO!O1332="", "",TOTALCO!O1332)</f>
        <v>1523.7028815477047</v>
      </c>
      <c r="P800" s="12">
        <f ca="1">IF(TOTALCO!P1332="", "",TOTALCO!P1332)</f>
        <v>3359.5630863945839</v>
      </c>
      <c r="Q800" s="12"/>
      <c r="R800" s="13"/>
    </row>
    <row r="801" spans="1:18" ht="15" x14ac:dyDescent="0.2">
      <c r="A801" s="382">
        <f>IF(TOTALCO!A1333="", "",TOTALCO!A1333)</f>
        <v>20</v>
      </c>
      <c r="B801" s="4" t="str">
        <f>IF(TOTALCO!B1333="", "",TOTALCO!B1333)</f>
        <v xml:space="preserve">   FERC 545</v>
      </c>
      <c r="C801" s="4" t="str">
        <f>IF(TOTALCO!C1333="", "",TOTALCO!C1333)</f>
        <v>PRODPLT</v>
      </c>
      <c r="D801" s="12">
        <f ca="1">IF(TOTALCO!D1333="", "",TOTALCO!D1333)</f>
        <v>3544.4399999999996</v>
      </c>
      <c r="E801" s="12" t="str">
        <f>IF(TOTALCO!E1333="", "",TOTALCO!E1333)</f>
        <v/>
      </c>
      <c r="F801" s="12">
        <f ca="1">IF(TOTALCO!F1333="", "",TOTALCO!F1333)</f>
        <v>3037.345443525106</v>
      </c>
      <c r="G801" s="12" t="str">
        <f>IF(TOTALCO!G1333="", "",TOTALCO!G1333)</f>
        <v/>
      </c>
      <c r="H801" s="12">
        <f ca="1">IF(TOTALCO!H1333="", "",TOTALCO!H1333)</f>
        <v>183.84481683127859</v>
      </c>
      <c r="I801" s="12">
        <f ca="1">IF(TOTALCO!I1333="", "",TOTALCO!I1333)</f>
        <v>323.24973964361521</v>
      </c>
      <c r="J801" s="12" t="str">
        <f>IF(TOTALCO!J1333="", "",TOTALCO!J1333)</f>
        <v/>
      </c>
      <c r="K801" s="12" t="str">
        <f>IF(TOTALCO!K1333="", "",TOTALCO!K1333)</f>
        <v/>
      </c>
      <c r="L801" s="12">
        <f ca="1">IF(TOTALCO!L1333="", "",TOTALCO!L1333)</f>
        <v>2.6855507622932324E-2</v>
      </c>
      <c r="M801" s="12" t="str">
        <f>IF(TOTALCO!M1333="", "",TOTALCO!M1333)</f>
        <v/>
      </c>
      <c r="N801" s="12">
        <f ca="1">IF(TOTALCO!N1333="", "",TOTALCO!N1333)</f>
        <v>323.22288413599227</v>
      </c>
      <c r="O801" s="12">
        <f ca="1">IF(TOTALCO!O1333="", "",TOTALCO!O1333)</f>
        <v>100.85374074918538</v>
      </c>
      <c r="P801" s="12">
        <f ca="1">IF(TOTALCO!P1333="", "",TOTALCO!P1333)</f>
        <v>222.36914338680691</v>
      </c>
      <c r="Q801" s="12"/>
      <c r="R801" s="13"/>
    </row>
    <row r="802" spans="1:18" ht="15" x14ac:dyDescent="0.2">
      <c r="A802" s="382">
        <f>IF(TOTALCO!A1334="", "",TOTALCO!A1334)</f>
        <v>21</v>
      </c>
      <c r="B802" s="4" t="str">
        <f>IF(TOTALCO!B1334="", "",TOTALCO!B1334)</f>
        <v xml:space="preserve">   FERC 546</v>
      </c>
      <c r="C802" s="4" t="str">
        <f>IF(TOTALCO!C1334="", "",TOTALCO!C1334)</f>
        <v>PRODPLT</v>
      </c>
      <c r="D802" s="12">
        <f ca="1">IF(TOTALCO!D1334="", "",TOTALCO!D1334)</f>
        <v>202548.6</v>
      </c>
      <c r="E802" s="12" t="str">
        <f>IF(TOTALCO!E1334="", "",TOTALCO!E1334)</f>
        <v/>
      </c>
      <c r="F802" s="12">
        <f ca="1">IF(TOTALCO!F1334="", "",TOTALCO!F1334)</f>
        <v>173570.45606707671</v>
      </c>
      <c r="G802" s="12" t="str">
        <f>IF(TOTALCO!G1334="", "",TOTALCO!G1334)</f>
        <v/>
      </c>
      <c r="H802" s="12">
        <f ca="1">IF(TOTALCO!H1334="", "",TOTALCO!H1334)</f>
        <v>10505.893812966764</v>
      </c>
      <c r="I802" s="12">
        <f ca="1">IF(TOTALCO!I1334="", "",TOTALCO!I1334)</f>
        <v>18472.250119956541</v>
      </c>
      <c r="J802" s="12" t="str">
        <f>IF(TOTALCO!J1334="", "",TOTALCO!J1334)</f>
        <v/>
      </c>
      <c r="K802" s="12" t="str">
        <f>IF(TOTALCO!K1334="", "",TOTALCO!K1334)</f>
        <v/>
      </c>
      <c r="L802" s="12">
        <f ca="1">IF(TOTALCO!L1334="", "",TOTALCO!L1334)</f>
        <v>1.53466992566224</v>
      </c>
      <c r="M802" s="12" t="str">
        <f>IF(TOTALCO!M1334="", "",TOTALCO!M1334)</f>
        <v/>
      </c>
      <c r="N802" s="12">
        <f ca="1">IF(TOTALCO!N1334="", "",TOTALCO!N1334)</f>
        <v>18470.715450030879</v>
      </c>
      <c r="O802" s="12">
        <f ca="1">IF(TOTALCO!O1334="", "",TOTALCO!O1334)</f>
        <v>5763.3318644159444</v>
      </c>
      <c r="P802" s="12">
        <f ca="1">IF(TOTALCO!P1334="", "",TOTALCO!P1334)</f>
        <v>12707.383585614934</v>
      </c>
      <c r="Q802" s="12"/>
      <c r="R802" s="13"/>
    </row>
    <row r="803" spans="1:18" ht="15" x14ac:dyDescent="0.2">
      <c r="A803" s="382">
        <f>IF(TOTALCO!A1335="", "",TOTALCO!A1335)</f>
        <v>22</v>
      </c>
      <c r="B803" s="4" t="str">
        <f>IF(TOTALCO!B1335="", "",TOTALCO!B1335)</f>
        <v xml:space="preserve">   FERC 548</v>
      </c>
      <c r="C803" s="4" t="str">
        <f>IF(TOTALCO!C1335="", "",TOTALCO!C1335)</f>
        <v>PRODPLT</v>
      </c>
      <c r="D803" s="12">
        <f ca="1">IF(TOTALCO!D1335="", "",TOTALCO!D1335)</f>
        <v>241293.46</v>
      </c>
      <c r="E803" s="12" t="str">
        <f>IF(TOTALCO!E1335="", "",TOTALCO!E1335)</f>
        <v/>
      </c>
      <c r="F803" s="12">
        <f ca="1">IF(TOTALCO!F1335="", "",TOTALCO!F1335)</f>
        <v>206772.18158112635</v>
      </c>
      <c r="G803" s="12" t="str">
        <f>IF(TOTALCO!G1335="", "",TOTALCO!G1335)</f>
        <v/>
      </c>
      <c r="H803" s="12">
        <f ca="1">IF(TOTALCO!H1335="", "",TOTALCO!H1335)</f>
        <v>12515.531919368208</v>
      </c>
      <c r="I803" s="12">
        <f ca="1">IF(TOTALCO!I1335="", "",TOTALCO!I1335)</f>
        <v>22005.746499505447</v>
      </c>
      <c r="J803" s="12" t="str">
        <f>IF(TOTALCO!J1335="", "",TOTALCO!J1335)</f>
        <v/>
      </c>
      <c r="K803" s="12" t="str">
        <f>IF(TOTALCO!K1335="", "",TOTALCO!K1335)</f>
        <v/>
      </c>
      <c r="L803" s="12">
        <f ca="1">IF(TOTALCO!L1335="", "",TOTALCO!L1335)</f>
        <v>1.8282319222200731</v>
      </c>
      <c r="M803" s="12" t="str">
        <f>IF(TOTALCO!M1335="", "",TOTALCO!M1335)</f>
        <v/>
      </c>
      <c r="N803" s="12">
        <f ca="1">IF(TOTALCO!N1335="", "",TOTALCO!N1335)</f>
        <v>22003.918267583227</v>
      </c>
      <c r="O803" s="12">
        <f ca="1">IF(TOTALCO!O1335="", "",TOTALCO!O1335)</f>
        <v>6865.7807888732586</v>
      </c>
      <c r="P803" s="12">
        <f ca="1">IF(TOTALCO!P1335="", "",TOTALCO!P1335)</f>
        <v>15138.137478709968</v>
      </c>
      <c r="Q803" s="12"/>
      <c r="R803" s="13"/>
    </row>
    <row r="804" spans="1:18" ht="15" x14ac:dyDescent="0.2">
      <c r="A804" s="382">
        <f>IF(TOTALCO!A1336="", "",TOTALCO!A1336)</f>
        <v>23</v>
      </c>
      <c r="B804" s="4" t="str">
        <f>IF(TOTALCO!B1336="", "",TOTALCO!B1336)</f>
        <v xml:space="preserve">   FERC 549</v>
      </c>
      <c r="C804" s="4" t="str">
        <f>IF(TOTALCO!C1336="", "",TOTALCO!C1336)</f>
        <v>PRODPLT</v>
      </c>
      <c r="D804" s="12">
        <f ca="1">IF(TOTALCO!D1336="", "",TOTALCO!D1336)</f>
        <v>21445.7</v>
      </c>
      <c r="E804" s="12" t="str">
        <f>IF(TOTALCO!E1336="", "",TOTALCO!E1336)</f>
        <v/>
      </c>
      <c r="F804" s="12">
        <f ca="1">IF(TOTALCO!F1336="", "",TOTALCO!F1336)</f>
        <v>18377.514975061327</v>
      </c>
      <c r="G804" s="12" t="str">
        <f>IF(TOTALCO!G1336="", "",TOTALCO!G1336)</f>
        <v/>
      </c>
      <c r="H804" s="12">
        <f ca="1">IF(TOTALCO!H1336="", "",TOTALCO!H1336)</f>
        <v>1112.3564761481507</v>
      </c>
      <c r="I804" s="12">
        <f ca="1">IF(TOTALCO!I1336="", "",TOTALCO!I1336)</f>
        <v>1955.8285487905223</v>
      </c>
      <c r="J804" s="12" t="str">
        <f>IF(TOTALCO!J1336="", "",TOTALCO!J1336)</f>
        <v/>
      </c>
      <c r="K804" s="12" t="str">
        <f>IF(TOTALCO!K1336="", "",TOTALCO!K1336)</f>
        <v/>
      </c>
      <c r="L804" s="12">
        <f ca="1">IF(TOTALCO!L1336="", "",TOTALCO!L1336)</f>
        <v>0.16248974727435639</v>
      </c>
      <c r="M804" s="12" t="str">
        <f>IF(TOTALCO!M1336="", "",TOTALCO!M1336)</f>
        <v/>
      </c>
      <c r="N804" s="12">
        <f ca="1">IF(TOTALCO!N1336="", "",TOTALCO!N1336)</f>
        <v>1955.666059043248</v>
      </c>
      <c r="O804" s="12">
        <f ca="1">IF(TOTALCO!O1336="", "",TOTALCO!O1336)</f>
        <v>610.21743011161277</v>
      </c>
      <c r="P804" s="12">
        <f ca="1">IF(TOTALCO!P1336="", "",TOTALCO!P1336)</f>
        <v>1345.4486289316351</v>
      </c>
      <c r="Q804" s="12"/>
      <c r="R804" s="13"/>
    </row>
    <row r="805" spans="1:18" ht="15" x14ac:dyDescent="0.2">
      <c r="A805" s="382">
        <f>IF(TOTALCO!A1337="", "",TOTALCO!A1337)</f>
        <v>24</v>
      </c>
      <c r="B805" s="4" t="str">
        <f>IF(TOTALCO!B1337="", "",TOTALCO!B1337)</f>
        <v xml:space="preserve">   FERC 550</v>
      </c>
      <c r="C805" s="4" t="str">
        <f>IF(TOTALCO!C1337="", "",TOTALCO!C1337)</f>
        <v>PRODPLT</v>
      </c>
      <c r="D805" s="12">
        <f ca="1">IF(TOTALCO!D1337="", "",TOTALCO!D1337)</f>
        <v>0</v>
      </c>
      <c r="E805" s="12" t="str">
        <f>IF(TOTALCO!E1337="", "",TOTALCO!E1337)</f>
        <v/>
      </c>
      <c r="F805" s="12">
        <f ca="1">IF(TOTALCO!F1337="", "",TOTALCO!F1337)</f>
        <v>0</v>
      </c>
      <c r="G805" s="12" t="str">
        <f>IF(TOTALCO!G1337="", "",TOTALCO!G1337)</f>
        <v/>
      </c>
      <c r="H805" s="12">
        <f ca="1">IF(TOTALCO!H1337="", "",TOTALCO!H1337)</f>
        <v>0</v>
      </c>
      <c r="I805" s="12">
        <f ca="1">IF(TOTALCO!I1337="", "",TOTALCO!I1337)</f>
        <v>0</v>
      </c>
      <c r="J805" s="12" t="str">
        <f>IF(TOTALCO!J1337="", "",TOTALCO!J1337)</f>
        <v/>
      </c>
      <c r="K805" s="12" t="str">
        <f>IF(TOTALCO!K1337="", "",TOTALCO!K1337)</f>
        <v/>
      </c>
      <c r="L805" s="12">
        <f ca="1">IF(TOTALCO!L1337="", "",TOTALCO!L1337)</f>
        <v>0</v>
      </c>
      <c r="M805" s="12" t="str">
        <f>IF(TOTALCO!M1337="", "",TOTALCO!M1337)</f>
        <v/>
      </c>
      <c r="N805" s="12">
        <f ca="1">IF(TOTALCO!N1337="", "",TOTALCO!N1337)</f>
        <v>0</v>
      </c>
      <c r="O805" s="12">
        <f ca="1">IF(TOTALCO!O1337="", "",TOTALCO!O1337)</f>
        <v>0</v>
      </c>
      <c r="P805" s="12">
        <f ca="1">IF(TOTALCO!P1337="", "",TOTALCO!P1337)</f>
        <v>0</v>
      </c>
      <c r="Q805" s="12"/>
      <c r="R805" s="13"/>
    </row>
    <row r="806" spans="1:18" ht="15" x14ac:dyDescent="0.2">
      <c r="A806" s="382">
        <f>IF(TOTALCO!A1338="", "",TOTALCO!A1338)</f>
        <v>25</v>
      </c>
      <c r="B806" s="4" t="str">
        <f>IF(TOTALCO!B1338="", "",TOTALCO!B1338)</f>
        <v xml:space="preserve">   FERC 551</v>
      </c>
      <c r="C806" s="4" t="str">
        <f>IF(TOTALCO!C1338="", "",TOTALCO!C1338)</f>
        <v>PRODPLT</v>
      </c>
      <c r="D806" s="12">
        <f ca="1">IF(TOTALCO!D1338="", "",TOTALCO!D1338)</f>
        <v>41772.720000000001</v>
      </c>
      <c r="E806" s="12" t="str">
        <f>IF(TOTALCO!E1338="", "",TOTALCO!E1338)</f>
        <v/>
      </c>
      <c r="F806" s="12">
        <f ca="1">IF(TOTALCO!F1338="", "",TOTALCO!F1338)</f>
        <v>35796.396823094787</v>
      </c>
      <c r="G806" s="12" t="str">
        <f>IF(TOTALCO!G1338="", "",TOTALCO!G1338)</f>
        <v/>
      </c>
      <c r="H806" s="12">
        <f ca="1">IF(TOTALCO!H1338="", "",TOTALCO!H1338)</f>
        <v>2166.6886890296601</v>
      </c>
      <c r="I806" s="12">
        <f ca="1">IF(TOTALCO!I1338="", "",TOTALCO!I1338)</f>
        <v>3809.6344878755567</v>
      </c>
      <c r="J806" s="12" t="str">
        <f>IF(TOTALCO!J1338="", "",TOTALCO!J1338)</f>
        <v/>
      </c>
      <c r="K806" s="12" t="str">
        <f>IF(TOTALCO!K1338="", "",TOTALCO!K1338)</f>
        <v/>
      </c>
      <c r="L806" s="12">
        <f ca="1">IF(TOTALCO!L1338="", "",TOTALCO!L1338)</f>
        <v>0.31650348161927344</v>
      </c>
      <c r="M806" s="12" t="str">
        <f>IF(TOTALCO!M1338="", "",TOTALCO!M1338)</f>
        <v/>
      </c>
      <c r="N806" s="12">
        <f ca="1">IF(TOTALCO!N1338="", "",TOTALCO!N1338)</f>
        <v>3809.3179843939374</v>
      </c>
      <c r="O806" s="12">
        <f ca="1">IF(TOTALCO!O1338="", "",TOTALCO!O1338)</f>
        <v>1188.6038621808552</v>
      </c>
      <c r="P806" s="12">
        <f ca="1">IF(TOTALCO!P1338="", "",TOTALCO!P1338)</f>
        <v>2620.7141222130822</v>
      </c>
      <c r="Q806" s="12"/>
      <c r="R806" s="13"/>
    </row>
    <row r="807" spans="1:18" ht="15" x14ac:dyDescent="0.2">
      <c r="A807" s="382">
        <f>IF(TOTALCO!A1339="", "",TOTALCO!A1339)</f>
        <v>26</v>
      </c>
      <c r="B807" s="4" t="str">
        <f>IF(TOTALCO!B1339="", "",TOTALCO!B1339)</f>
        <v xml:space="preserve">   FERC 552</v>
      </c>
      <c r="C807" s="4" t="str">
        <f>IF(TOTALCO!C1339="", "",TOTALCO!C1339)</f>
        <v>PRODPLT</v>
      </c>
      <c r="D807" s="12">
        <f ca="1">IF(TOTALCO!D1339="", "",TOTALCO!D1339)</f>
        <v>130669.44</v>
      </c>
      <c r="E807" s="12" t="str">
        <f>IF(TOTALCO!E1339="", "",TOTALCO!E1339)</f>
        <v/>
      </c>
      <c r="F807" s="12">
        <f ca="1">IF(TOTALCO!F1339="", "",TOTALCO!F1339)</f>
        <v>111974.87563394422</v>
      </c>
      <c r="G807" s="12" t="str">
        <f>IF(TOTALCO!G1339="", "",TOTALCO!G1339)</f>
        <v/>
      </c>
      <c r="H807" s="12">
        <f ca="1">IF(TOTALCO!H1339="", "",TOTALCO!H1339)</f>
        <v>6777.6289801056719</v>
      </c>
      <c r="I807" s="12">
        <f ca="1">IF(TOTALCO!I1339="", "",TOTALCO!I1339)</f>
        <v>11916.935385950108</v>
      </c>
      <c r="J807" s="12" t="str">
        <f>IF(TOTALCO!J1339="", "",TOTALCO!J1339)</f>
        <v/>
      </c>
      <c r="K807" s="12" t="str">
        <f>IF(TOTALCO!K1339="", "",TOTALCO!K1339)</f>
        <v/>
      </c>
      <c r="L807" s="12">
        <f ca="1">IF(TOTALCO!L1339="", "",TOTALCO!L1339)</f>
        <v>0.99005601505577689</v>
      </c>
      <c r="M807" s="12" t="str">
        <f>IF(TOTALCO!M1339="", "",TOTALCO!M1339)</f>
        <v/>
      </c>
      <c r="N807" s="12">
        <f ca="1">IF(TOTALCO!N1339="", "",TOTALCO!N1339)</f>
        <v>11915.945329935052</v>
      </c>
      <c r="O807" s="12">
        <f ca="1">IF(TOTALCO!O1339="", "",TOTALCO!O1339)</f>
        <v>3718.0772775392538</v>
      </c>
      <c r="P807" s="12">
        <f ca="1">IF(TOTALCO!P1339="", "",TOTALCO!P1339)</f>
        <v>8197.8680523957973</v>
      </c>
      <c r="Q807" s="12"/>
      <c r="R807" s="13"/>
    </row>
    <row r="808" spans="1:18" ht="15" x14ac:dyDescent="0.2">
      <c r="A808" s="382">
        <f>IF(TOTALCO!A1340="", "",TOTALCO!A1340)</f>
        <v>27</v>
      </c>
      <c r="B808" s="4" t="str">
        <f>IF(TOTALCO!B1340="", "",TOTALCO!B1340)</f>
        <v xml:space="preserve">   FERC 553</v>
      </c>
      <c r="C808" s="4" t="str">
        <f>IF(TOTALCO!C1340="", "",TOTALCO!C1340)</f>
        <v>PRODPLT</v>
      </c>
      <c r="D808" s="12">
        <f ca="1">IF(TOTALCO!D1340="", "",TOTALCO!D1340)</f>
        <v>637280.62</v>
      </c>
      <c r="E808" s="12" t="str">
        <f>IF(TOTALCO!E1340="", "",TOTALCO!E1340)</f>
        <v/>
      </c>
      <c r="F808" s="12">
        <f ca="1">IF(TOTALCO!F1340="", "",TOTALCO!F1340)</f>
        <v>546106.40535708168</v>
      </c>
      <c r="G808" s="12" t="str">
        <f>IF(TOTALCO!G1340="", "",TOTALCO!G1340)</f>
        <v/>
      </c>
      <c r="H808" s="12">
        <f ca="1">IF(TOTALCO!H1340="", "",TOTALCO!H1340)</f>
        <v>33054.795356677969</v>
      </c>
      <c r="I808" s="12">
        <f ca="1">IF(TOTALCO!I1340="", "",TOTALCO!I1340)</f>
        <v>58119.419286240329</v>
      </c>
      <c r="J808" s="12" t="str">
        <f>IF(TOTALCO!J1340="", "",TOTALCO!J1340)</f>
        <v/>
      </c>
      <c r="K808" s="12" t="str">
        <f>IF(TOTALCO!K1340="", "",TOTALCO!K1340)</f>
        <v/>
      </c>
      <c r="L808" s="12">
        <f ca="1">IF(TOTALCO!L1340="", "",TOTALCO!L1340)</f>
        <v>4.828546836272313</v>
      </c>
      <c r="M808" s="12" t="str">
        <f>IF(TOTALCO!M1340="", "",TOTALCO!M1340)</f>
        <v/>
      </c>
      <c r="N808" s="12">
        <f ca="1">IF(TOTALCO!N1340="", "",TOTALCO!N1340)</f>
        <v>58114.590739404055</v>
      </c>
      <c r="O808" s="12">
        <f ca="1">IF(TOTALCO!O1340="", "",TOTALCO!O1340)</f>
        <v>18133.226809865624</v>
      </c>
      <c r="P808" s="12">
        <f ca="1">IF(TOTALCO!P1340="", "",TOTALCO!P1340)</f>
        <v>39981.363929538435</v>
      </c>
      <c r="Q808" s="12"/>
      <c r="R808" s="13"/>
    </row>
    <row r="809" spans="1:18" ht="15" x14ac:dyDescent="0.2">
      <c r="A809" s="382">
        <f>IF(TOTALCO!A1341="", "",TOTALCO!A1341)</f>
        <v>28</v>
      </c>
      <c r="B809" s="4" t="str">
        <f>IF(TOTALCO!B1341="", "",TOTALCO!B1341)</f>
        <v xml:space="preserve">   FERC 554</v>
      </c>
      <c r="C809" s="4" t="str">
        <f>IF(TOTALCO!C1341="", "",TOTALCO!C1341)</f>
        <v>PRODPLT</v>
      </c>
      <c r="D809" s="12">
        <f ca="1">IF(TOTALCO!D1341="", "",TOTALCO!D1341)</f>
        <v>87476.37</v>
      </c>
      <c r="E809" s="12" t="str">
        <f>IF(TOTALCO!E1341="", "",TOTALCO!E1341)</f>
        <v/>
      </c>
      <c r="F809" s="12">
        <f ca="1">IF(TOTALCO!F1341="", "",TOTALCO!F1341)</f>
        <v>74961.334889465274</v>
      </c>
      <c r="G809" s="12" t="str">
        <f>IF(TOTALCO!G1341="", "",TOTALCO!G1341)</f>
        <v/>
      </c>
      <c r="H809" s="12">
        <f ca="1">IF(TOTALCO!H1341="", "",TOTALCO!H1341)</f>
        <v>4537.2688548022124</v>
      </c>
      <c r="I809" s="12">
        <f ca="1">IF(TOTALCO!I1341="", "",TOTALCO!I1341)</f>
        <v>7977.7662557325129</v>
      </c>
      <c r="J809" s="12" t="str">
        <f>IF(TOTALCO!J1341="", "",TOTALCO!J1341)</f>
        <v/>
      </c>
      <c r="K809" s="12" t="str">
        <f>IF(TOTALCO!K1341="", "",TOTALCO!K1341)</f>
        <v/>
      </c>
      <c r="L809" s="12">
        <f ca="1">IF(TOTALCO!L1341="", "",TOTALCO!L1341)</f>
        <v>0.66279082770802955</v>
      </c>
      <c r="M809" s="12" t="str">
        <f>IF(TOTALCO!M1341="", "",TOTALCO!M1341)</f>
        <v/>
      </c>
      <c r="N809" s="12">
        <f ca="1">IF(TOTALCO!N1341="", "",TOTALCO!N1341)</f>
        <v>7977.1034649048052</v>
      </c>
      <c r="O809" s="12">
        <f ca="1">IF(TOTALCO!O1341="", "",TOTALCO!O1341)</f>
        <v>2489.0586782848113</v>
      </c>
      <c r="P809" s="12">
        <f ca="1">IF(TOTALCO!P1341="", "",TOTALCO!P1341)</f>
        <v>5488.0447866199938</v>
      </c>
      <c r="Q809" s="12"/>
      <c r="R809" s="13"/>
    </row>
    <row r="810" spans="1:18" ht="15" x14ac:dyDescent="0.2">
      <c r="A810" s="382">
        <f>IF(TOTALCO!A1342="", "",TOTALCO!A1342)</f>
        <v>29</v>
      </c>
      <c r="B810" s="4" t="str">
        <f>IF(TOTALCO!B1342="", "",TOTALCO!B1342)</f>
        <v xml:space="preserve">   FERC 555</v>
      </c>
      <c r="C810" s="4" t="str">
        <f>IF(TOTALCO!C1342="", "",TOTALCO!C1342)</f>
        <v>PRODPLT</v>
      </c>
      <c r="D810" s="12">
        <f ca="1">IF(TOTALCO!D1342="", "",TOTALCO!D1342)</f>
        <v>0</v>
      </c>
      <c r="E810" s="12" t="str">
        <f>IF(TOTALCO!E1342="", "",TOTALCO!E1342)</f>
        <v/>
      </c>
      <c r="F810" s="12">
        <f ca="1">IF(TOTALCO!F1342="", "",TOTALCO!F1342)</f>
        <v>0</v>
      </c>
      <c r="G810" s="12" t="str">
        <f>IF(TOTALCO!G1342="", "",TOTALCO!G1342)</f>
        <v/>
      </c>
      <c r="H810" s="12">
        <f ca="1">IF(TOTALCO!H1342="", "",TOTALCO!H1342)</f>
        <v>0</v>
      </c>
      <c r="I810" s="12">
        <f ca="1">IF(TOTALCO!I1342="", "",TOTALCO!I1342)</f>
        <v>0</v>
      </c>
      <c r="J810" s="12" t="str">
        <f>IF(TOTALCO!J1342="", "",TOTALCO!J1342)</f>
        <v/>
      </c>
      <c r="K810" s="12" t="str">
        <f>IF(TOTALCO!K1342="", "",TOTALCO!K1342)</f>
        <v/>
      </c>
      <c r="L810" s="12">
        <f ca="1">IF(TOTALCO!L1342="", "",TOTALCO!L1342)</f>
        <v>0</v>
      </c>
      <c r="M810" s="12" t="str">
        <f>IF(TOTALCO!M1342="", "",TOTALCO!M1342)</f>
        <v/>
      </c>
      <c r="N810" s="12">
        <f ca="1">IF(TOTALCO!N1342="", "",TOTALCO!N1342)</f>
        <v>0</v>
      </c>
      <c r="O810" s="12">
        <f ca="1">IF(TOTALCO!O1342="", "",TOTALCO!O1342)</f>
        <v>0</v>
      </c>
      <c r="P810" s="12">
        <f ca="1">IF(TOTALCO!P1342="", "",TOTALCO!P1342)</f>
        <v>0</v>
      </c>
      <c r="Q810" s="12"/>
      <c r="R810" s="13"/>
    </row>
    <row r="811" spans="1:18" ht="15" x14ac:dyDescent="0.2">
      <c r="A811" s="382">
        <f>IF(TOTALCO!A1343="", "",TOTALCO!A1343)</f>
        <v>30</v>
      </c>
      <c r="B811" s="4" t="str">
        <f>IF(TOTALCO!B1343="", "",TOTALCO!B1343)</f>
        <v xml:space="preserve">   FERC 556</v>
      </c>
      <c r="C811" s="4" t="str">
        <f>IF(TOTALCO!C1343="", "",TOTALCO!C1343)</f>
        <v>PRODPLT</v>
      </c>
      <c r="D811" s="12">
        <f ca="1">IF(TOTALCO!D1343="", "",TOTALCO!D1343)</f>
        <v>1721352.77</v>
      </c>
      <c r="E811" s="12" t="str">
        <f>IF(TOTALCO!E1343="", "",TOTALCO!E1343)</f>
        <v/>
      </c>
      <c r="F811" s="12">
        <f ca="1">IF(TOTALCO!F1343="", "",TOTALCO!F1343)</f>
        <v>1475082.9447412905</v>
      </c>
      <c r="G811" s="12" t="str">
        <f>IF(TOTALCO!G1343="", "",TOTALCO!G1343)</f>
        <v/>
      </c>
      <c r="H811" s="12">
        <f ca="1">IF(TOTALCO!H1343="", "",TOTALCO!H1343)</f>
        <v>89284.001055925342</v>
      </c>
      <c r="I811" s="12">
        <f ca="1">IF(TOTALCO!I1343="", "",TOTALCO!I1343)</f>
        <v>156985.82420278405</v>
      </c>
      <c r="J811" s="12" t="str">
        <f>IF(TOTALCO!J1343="", "",TOTALCO!J1343)</f>
        <v/>
      </c>
      <c r="K811" s="12" t="str">
        <f>IF(TOTALCO!K1343="", "",TOTALCO!K1343)</f>
        <v/>
      </c>
      <c r="L811" s="12">
        <f ca="1">IF(TOTALCO!L1343="", "",TOTALCO!L1343)</f>
        <v>13.042343060255124</v>
      </c>
      <c r="M811" s="12" t="str">
        <f>IF(TOTALCO!M1343="", "",TOTALCO!M1343)</f>
        <v/>
      </c>
      <c r="N811" s="12">
        <f ca="1">IF(TOTALCO!N1343="", "",TOTALCO!N1343)</f>
        <v>156972.78185972379</v>
      </c>
      <c r="O811" s="12">
        <f ca="1">IF(TOTALCO!O1343="", "",TOTALCO!O1343)</f>
        <v>48979.490696265733</v>
      </c>
      <c r="P811" s="12">
        <f ca="1">IF(TOTALCO!P1343="", "",TOTALCO!P1343)</f>
        <v>107993.29116345805</v>
      </c>
      <c r="Q811" s="12"/>
      <c r="R811" s="13"/>
    </row>
    <row r="812" spans="1:18" ht="15" x14ac:dyDescent="0.2">
      <c r="A812" s="382">
        <f>IF(TOTALCO!A1344="", "",TOTALCO!A1344)</f>
        <v>31</v>
      </c>
      <c r="B812" s="4" t="str">
        <f>IF(TOTALCO!B1344="", "",TOTALCO!B1344)</f>
        <v xml:space="preserve">   FERC 557</v>
      </c>
      <c r="C812" s="4" t="str">
        <f>IF(TOTALCO!C1344="", "",TOTALCO!C1344)</f>
        <v>PRODPLT</v>
      </c>
      <c r="D812" s="12">
        <f ca="1">IF(TOTALCO!D1344="", "",TOTALCO!D1344)</f>
        <v>5.000000000000001E-2</v>
      </c>
      <c r="E812" s="12" t="str">
        <f>IF(TOTALCO!E1344="", "",TOTALCO!E1344)</f>
        <v/>
      </c>
      <c r="F812" s="12">
        <f ca="1">IF(TOTALCO!F1344="", "",TOTALCO!F1344)</f>
        <v>4.2846619543920994E-2</v>
      </c>
      <c r="G812" s="12" t="str">
        <f>IF(TOTALCO!G1344="", "",TOTALCO!G1344)</f>
        <v/>
      </c>
      <c r="H812" s="12">
        <f ca="1">IF(TOTALCO!H1344="", "",TOTALCO!H1344)</f>
        <v>2.593425432949614E-3</v>
      </c>
      <c r="I812" s="12">
        <f ca="1">IF(TOTALCO!I1344="", "",TOTALCO!I1344)</f>
        <v>4.5599550231293978E-3</v>
      </c>
      <c r="J812" s="12" t="str">
        <f>IF(TOTALCO!J1344="", "",TOTALCO!J1344)</f>
        <v/>
      </c>
      <c r="K812" s="12" t="str">
        <f>IF(TOTALCO!K1344="", "",TOTALCO!K1344)</f>
        <v/>
      </c>
      <c r="L812" s="12">
        <f ca="1">IF(TOTALCO!L1344="", "",TOTALCO!L1344)</f>
        <v>3.7883992426070585E-7</v>
      </c>
      <c r="M812" s="12" t="str">
        <f>IF(TOTALCO!M1344="", "",TOTALCO!M1344)</f>
        <v/>
      </c>
      <c r="N812" s="12">
        <f ca="1">IF(TOTALCO!N1344="", "",TOTALCO!N1344)</f>
        <v>4.5595761832051369E-3</v>
      </c>
      <c r="O812" s="12">
        <f ca="1">IF(TOTALCO!O1344="", "",TOTALCO!O1344)</f>
        <v>1.4227034559646289E-3</v>
      </c>
      <c r="P812" s="12">
        <f ca="1">IF(TOTALCO!P1344="", "",TOTALCO!P1344)</f>
        <v>3.136872727240508E-3</v>
      </c>
      <c r="Q812" s="12"/>
      <c r="R812" s="13"/>
    </row>
    <row r="813" spans="1:18" ht="15" x14ac:dyDescent="0.2">
      <c r="A813" s="382" t="str">
        <f>IF(TOTALCO!A1345="", "",TOTALCO!A1345)</f>
        <v/>
      </c>
      <c r="B813" s="4" t="str">
        <f>IF(TOTALCO!B1345="", "",TOTALCO!B1345)</f>
        <v/>
      </c>
      <c r="C813" s="4" t="str">
        <f>IF(TOTALCO!C1345="", "",TOTALCO!C1345)</f>
        <v/>
      </c>
      <c r="D813" s="12" t="str">
        <f>IF(TOTALCO!D1345="", "",TOTALCO!D1345)</f>
        <v/>
      </c>
      <c r="E813" s="12" t="str">
        <f>IF(TOTALCO!E1345="", "",TOTALCO!E1345)</f>
        <v/>
      </c>
      <c r="F813" s="12" t="str">
        <f>IF(TOTALCO!F1345="", "",TOTALCO!F1345)</f>
        <v/>
      </c>
      <c r="G813" s="12" t="str">
        <f>IF(TOTALCO!G1345="", "",TOTALCO!G1345)</f>
        <v/>
      </c>
      <c r="H813" s="12" t="str">
        <f>IF(TOTALCO!H1345="", "",TOTALCO!H1345)</f>
        <v/>
      </c>
      <c r="I813" s="12" t="str">
        <f>IF(TOTALCO!I1345="", "",TOTALCO!I1345)</f>
        <v/>
      </c>
      <c r="J813" s="12" t="str">
        <f>IF(TOTALCO!J1345="", "",TOTALCO!J1345)</f>
        <v/>
      </c>
      <c r="K813" s="12" t="str">
        <f>IF(TOTALCO!K1345="", "",TOTALCO!K1345)</f>
        <v/>
      </c>
      <c r="L813" s="12" t="str">
        <f>IF(TOTALCO!L1345="", "",TOTALCO!L1345)</f>
        <v/>
      </c>
      <c r="M813" s="12" t="str">
        <f>IF(TOTALCO!M1345="", "",TOTALCO!M1345)</f>
        <v/>
      </c>
      <c r="N813" s="12" t="str">
        <f>IF(TOTALCO!N1345="", "",TOTALCO!N1345)</f>
        <v/>
      </c>
      <c r="O813" s="12" t="str">
        <f>IF(TOTALCO!O1345="", "",TOTALCO!O1345)</f>
        <v/>
      </c>
      <c r="P813" s="12" t="str">
        <f>IF(TOTALCO!P1345="", "",TOTALCO!P1345)</f>
        <v/>
      </c>
      <c r="Q813" s="12"/>
      <c r="R813" s="13"/>
    </row>
    <row r="814" spans="1:18" ht="15" x14ac:dyDescent="0.2">
      <c r="A814" s="382">
        <f>IF(TOTALCO!A1346="", "",TOTALCO!A1346)</f>
        <v>32</v>
      </c>
      <c r="B814" s="4" t="str">
        <f>IF(TOTALCO!B1346="", "",TOTALCO!B1346)</f>
        <v xml:space="preserve">     TOTAL DEMAND</v>
      </c>
      <c r="C814" s="4" t="str">
        <f>IF(TOTALCO!C1346="", "",TOTALCO!C1346)</f>
        <v/>
      </c>
      <c r="D814" s="12">
        <f ca="1">IF(TOTALCO!D1346="", "",TOTALCO!D1346)</f>
        <v>26721588.359999996</v>
      </c>
      <c r="E814" s="12" t="str">
        <f>IF(TOTALCO!E1346="", "",TOTALCO!E1346)</f>
        <v/>
      </c>
      <c r="F814" s="12">
        <f ca="1">IF(TOTALCO!F1346="", "",TOTALCO!F1346)</f>
        <v>22898594.601403747</v>
      </c>
      <c r="G814" s="12" t="str">
        <f>IF(TOTALCO!G1346="", "",TOTALCO!G1346)</f>
        <v/>
      </c>
      <c r="H814" s="12">
        <f ca="1">IF(TOTALCO!H1346="", "",TOTALCO!H1346)</f>
        <v>1386008.9372326876</v>
      </c>
      <c r="I814" s="12">
        <f ca="1">IF(TOTALCO!I1346="", "",TOTALCO!I1346)</f>
        <v>2436984.8213635613</v>
      </c>
      <c r="J814" s="12">
        <f>IF(TOTALCO!J1346="", "",TOTALCO!J1346)</f>
        <v>0</v>
      </c>
      <c r="K814" s="12">
        <f>IF(TOTALCO!K1346="", "",TOTALCO!K1346)</f>
        <v>0</v>
      </c>
      <c r="L814" s="12">
        <f ca="1">IF(TOTALCO!L1346="", "",TOTALCO!L1346)</f>
        <v>202.46409020856325</v>
      </c>
      <c r="M814" s="12" t="str">
        <f>IF(TOTALCO!M1346="", "",TOTALCO!M1346)</f>
        <v/>
      </c>
      <c r="N814" s="12">
        <f ca="1">IF(TOTALCO!N1346="", "",TOTALCO!N1346)</f>
        <v>2436782.3572733523</v>
      </c>
      <c r="O814" s="12">
        <f ca="1">IF(TOTALCO!O1346="", "",TOTALCO!O1346)</f>
        <v>760337.92217272415</v>
      </c>
      <c r="P814" s="12">
        <f ca="1">IF(TOTALCO!P1346="", "",TOTALCO!P1346)</f>
        <v>1676444.4351006281</v>
      </c>
      <c r="Q814" s="12"/>
      <c r="R814" s="13"/>
    </row>
    <row r="815" spans="1:18" ht="15" x14ac:dyDescent="0.2">
      <c r="A815" s="382" t="str">
        <f>IF(TOTALCO!A1347="", "",TOTALCO!A1347)</f>
        <v/>
      </c>
      <c r="B815" s="4" t="str">
        <f>IF(TOTALCO!B1347="", "",TOTALCO!B1347)</f>
        <v/>
      </c>
      <c r="C815" s="4" t="str">
        <f>IF(TOTALCO!C1347="", "",TOTALCO!C1347)</f>
        <v/>
      </c>
      <c r="D815" s="12" t="str">
        <f>IF(TOTALCO!D1347="", "",TOTALCO!D1347)</f>
        <v/>
      </c>
      <c r="E815" s="12" t="str">
        <f>IF(TOTALCO!E1347="", "",TOTALCO!E1347)</f>
        <v/>
      </c>
      <c r="F815" s="12" t="str">
        <f>IF(TOTALCO!F1347="", "",TOTALCO!F1347)</f>
        <v/>
      </c>
      <c r="G815" s="12" t="str">
        <f>IF(TOTALCO!G1347="", "",TOTALCO!G1347)</f>
        <v/>
      </c>
      <c r="H815" s="12" t="str">
        <f>IF(TOTALCO!H1347="", "",TOTALCO!H1347)</f>
        <v/>
      </c>
      <c r="I815" s="12" t="str">
        <f>IF(TOTALCO!I1347="", "",TOTALCO!I1347)</f>
        <v/>
      </c>
      <c r="J815" s="12" t="str">
        <f>IF(TOTALCO!J1347="", "",TOTALCO!J1347)</f>
        <v/>
      </c>
      <c r="K815" s="12" t="str">
        <f>IF(TOTALCO!K1347="", "",TOTALCO!K1347)</f>
        <v/>
      </c>
      <c r="L815" s="12" t="str">
        <f>IF(TOTALCO!L1347="", "",TOTALCO!L1347)</f>
        <v/>
      </c>
      <c r="M815" s="12" t="str">
        <f>IF(TOTALCO!M1347="", "",TOTALCO!M1347)</f>
        <v/>
      </c>
      <c r="N815" s="12" t="str">
        <f>IF(TOTALCO!N1347="", "",TOTALCO!N1347)</f>
        <v/>
      </c>
      <c r="O815" s="12" t="str">
        <f>IF(TOTALCO!O1347="", "",TOTALCO!O1347)</f>
        <v/>
      </c>
      <c r="P815" s="12" t="str">
        <f>IF(TOTALCO!P1347="", "",TOTALCO!P1347)</f>
        <v/>
      </c>
      <c r="Q815" s="12"/>
      <c r="R815" s="13"/>
    </row>
    <row r="816" spans="1:18" ht="15" x14ac:dyDescent="0.2">
      <c r="A816" s="382">
        <f>IF(TOTALCO!A1348="", "",TOTALCO!A1348)</f>
        <v>33</v>
      </c>
      <c r="B816" s="4" t="str">
        <f>IF(TOTALCO!B1348="", "",TOTALCO!B1348)</f>
        <v xml:space="preserve">     TOTAL PRODUCTION</v>
      </c>
      <c r="C816" s="4" t="str">
        <f>IF(TOTALCO!C1348="", "",TOTALCO!C1348)</f>
        <v/>
      </c>
      <c r="D816" s="12">
        <f ca="1">IF(TOTALCO!D1348="", "",TOTALCO!D1348)</f>
        <v>48069292.07</v>
      </c>
      <c r="E816" s="12" t="str">
        <f>IF(TOTALCO!E1348="", "",TOTALCO!E1348)</f>
        <v/>
      </c>
      <c r="F816" s="12">
        <f ca="1">IF(TOTALCO!F1348="", "",TOTALCO!F1348)</f>
        <v>41419155.273129068</v>
      </c>
      <c r="G816" s="12" t="str">
        <f>IF(TOTALCO!G1348="", "",TOTALCO!G1348)</f>
        <v/>
      </c>
      <c r="H816" s="12">
        <f ca="1">IF(TOTALCO!H1348="", "",TOTALCO!H1348)</f>
        <v>2365272.083441962</v>
      </c>
      <c r="I816" s="12">
        <f ca="1">IF(TOTALCO!I1348="", "",TOTALCO!I1348)</f>
        <v>4284864.7134289648</v>
      </c>
      <c r="J816" s="12">
        <f>IF(TOTALCO!J1348="", "",TOTALCO!J1348)</f>
        <v>0</v>
      </c>
      <c r="K816" s="12">
        <f>IF(TOTALCO!K1348="", "",TOTALCO!K1348)</f>
        <v>0</v>
      </c>
      <c r="L816" s="12">
        <f ca="1">IF(TOTALCO!L1348="", "",TOTALCO!L1348)</f>
        <v>304.27380287940531</v>
      </c>
      <c r="M816" s="12" t="str">
        <f>IF(TOTALCO!M1348="", "",TOTALCO!M1348)</f>
        <v/>
      </c>
      <c r="N816" s="12">
        <f ca="1">IF(TOTALCO!N1348="", "",TOTALCO!N1348)</f>
        <v>4284560.4396260846</v>
      </c>
      <c r="O816" s="12">
        <f ca="1">IF(TOTALCO!O1348="", "",TOTALCO!O1348)</f>
        <v>1363538.7239835919</v>
      </c>
      <c r="P816" s="12">
        <f ca="1">IF(TOTALCO!P1348="", "",TOTALCO!P1348)</f>
        <v>2921021.7156424923</v>
      </c>
      <c r="Q816" s="12"/>
      <c r="R816" s="13"/>
    </row>
    <row r="817" spans="1:18" ht="15" x14ac:dyDescent="0.2">
      <c r="A817" s="382" t="str">
        <f>IF(TOTALCO!A1349="", "",TOTALCO!A1349)</f>
        <v/>
      </c>
      <c r="B817" s="4" t="str">
        <f>IF(TOTALCO!B1349="", "",TOTALCO!B1349)</f>
        <v/>
      </c>
      <c r="C817" s="4" t="str">
        <f>IF(TOTALCO!C1349="", "",TOTALCO!C1349)</f>
        <v/>
      </c>
      <c r="D817" s="12" t="str">
        <f>IF(TOTALCO!D1349="", "",TOTALCO!D1349)</f>
        <v/>
      </c>
      <c r="E817" s="12" t="str">
        <f>IF(TOTALCO!E1349="", "",TOTALCO!E1349)</f>
        <v/>
      </c>
      <c r="F817" s="12" t="str">
        <f>IF(TOTALCO!F1349="", "",TOTALCO!F1349)</f>
        <v/>
      </c>
      <c r="G817" s="12" t="str">
        <f>IF(TOTALCO!G1349="", "",TOTALCO!G1349)</f>
        <v/>
      </c>
      <c r="H817" s="12" t="str">
        <f>IF(TOTALCO!H1349="", "",TOTALCO!H1349)</f>
        <v/>
      </c>
      <c r="I817" s="12" t="str">
        <f>IF(TOTALCO!I1349="", "",TOTALCO!I1349)</f>
        <v/>
      </c>
      <c r="J817" s="12" t="str">
        <f>IF(TOTALCO!J1349="", "",TOTALCO!J1349)</f>
        <v/>
      </c>
      <c r="K817" s="12" t="str">
        <f>IF(TOTALCO!K1349="", "",TOTALCO!K1349)</f>
        <v/>
      </c>
      <c r="L817" s="12" t="str">
        <f>IF(TOTALCO!L1349="", "",TOTALCO!L1349)</f>
        <v/>
      </c>
      <c r="M817" s="12" t="str">
        <f>IF(TOTALCO!M1349="", "",TOTALCO!M1349)</f>
        <v/>
      </c>
      <c r="N817" s="12" t="str">
        <f>IF(TOTALCO!N1349="", "",TOTALCO!N1349)</f>
        <v/>
      </c>
      <c r="O817" s="12" t="str">
        <f>IF(TOTALCO!O1349="", "",TOTALCO!O1349)</f>
        <v/>
      </c>
      <c r="P817" s="12" t="str">
        <f>IF(TOTALCO!P1349="", "",TOTALCO!P1349)</f>
        <v/>
      </c>
      <c r="Q817" s="12"/>
      <c r="R817" s="13"/>
    </row>
    <row r="818" spans="1:18" ht="15" x14ac:dyDescent="0.2">
      <c r="A818" s="382" t="str">
        <f>IF(TOTALCO!A1350="", "",TOTALCO!A1350)</f>
        <v/>
      </c>
      <c r="B818" s="4" t="str">
        <f>IF(TOTALCO!B1350="", "",TOTALCO!B1350)</f>
        <v/>
      </c>
      <c r="C818" s="4" t="str">
        <f>IF(TOTALCO!C1350="", "",TOTALCO!C1350)</f>
        <v/>
      </c>
      <c r="D818" s="12" t="str">
        <f>IF(TOTALCO!D1350="", "",TOTALCO!D1350)</f>
        <v/>
      </c>
      <c r="E818" s="12" t="str">
        <f>IF(TOTALCO!E1350="", "",TOTALCO!E1350)</f>
        <v/>
      </c>
      <c r="F818" s="12" t="str">
        <f>IF(TOTALCO!F1350="", "",TOTALCO!F1350)</f>
        <v/>
      </c>
      <c r="G818" s="12" t="str">
        <f>IF(TOTALCO!G1350="", "",TOTALCO!G1350)</f>
        <v/>
      </c>
      <c r="H818" s="12" t="str">
        <f>IF(TOTALCO!H1350="", "",TOTALCO!H1350)</f>
        <v/>
      </c>
      <c r="I818" s="12" t="str">
        <f>IF(TOTALCO!I1350="", "",TOTALCO!I1350)</f>
        <v/>
      </c>
      <c r="J818" s="12" t="str">
        <f>IF(TOTALCO!J1350="", "",TOTALCO!J1350)</f>
        <v/>
      </c>
      <c r="K818" s="12" t="str">
        <f>IF(TOTALCO!K1350="", "",TOTALCO!K1350)</f>
        <v/>
      </c>
      <c r="L818" s="12" t="str">
        <f>IF(TOTALCO!L1350="", "",TOTALCO!L1350)</f>
        <v/>
      </c>
      <c r="M818" s="12" t="str">
        <f>IF(TOTALCO!M1350="", "",TOTALCO!M1350)</f>
        <v/>
      </c>
      <c r="N818" s="12" t="str">
        <f>IF(TOTALCO!N1350="", "",TOTALCO!N1350)</f>
        <v/>
      </c>
      <c r="O818" s="12" t="str">
        <f>IF(TOTALCO!O1350="", "",TOTALCO!O1350)</f>
        <v/>
      </c>
      <c r="P818" s="12" t="str">
        <f>IF(TOTALCO!P1350="", "",TOTALCO!P1350)</f>
        <v/>
      </c>
      <c r="Q818" s="12"/>
      <c r="R818" s="13"/>
    </row>
    <row r="819" spans="1:18" ht="15" x14ac:dyDescent="0.2">
      <c r="A819" s="382" t="str">
        <f>IF(TOTALCO!A1351="", "",TOTALCO!A1351)</f>
        <v/>
      </c>
      <c r="B819" s="4" t="str">
        <f>IF(TOTALCO!B1351="", "",TOTALCO!B1351)</f>
        <v/>
      </c>
      <c r="C819" s="4" t="str">
        <f>IF(TOTALCO!C1351="", "",TOTALCO!C1351)</f>
        <v/>
      </c>
      <c r="D819" s="12" t="str">
        <f>IF(TOTALCO!D1351="", "",TOTALCO!D1351)</f>
        <v/>
      </c>
      <c r="E819" s="12" t="str">
        <f>IF(TOTALCO!E1351="", "",TOTALCO!E1351)</f>
        <v/>
      </c>
      <c r="F819" s="12" t="str">
        <f>IF(TOTALCO!F1351="", "",TOTALCO!F1351)</f>
        <v/>
      </c>
      <c r="G819" s="12" t="str">
        <f>IF(TOTALCO!G1351="", "",TOTALCO!G1351)</f>
        <v/>
      </c>
      <c r="H819" s="12" t="str">
        <f>IF(TOTALCO!H1351="", "",TOTALCO!H1351)</f>
        <v/>
      </c>
      <c r="I819" s="12" t="str">
        <f>IF(TOTALCO!I1351="", "",TOTALCO!I1351)</f>
        <v/>
      </c>
      <c r="J819" s="12" t="str">
        <f>IF(TOTALCO!J1351="", "",TOTALCO!J1351)</f>
        <v/>
      </c>
      <c r="K819" s="12" t="str">
        <f>IF(TOTALCO!K1351="", "",TOTALCO!K1351)</f>
        <v/>
      </c>
      <c r="L819" s="12" t="str">
        <f>IF(TOTALCO!L1351="", "",TOTALCO!L1351)</f>
        <v/>
      </c>
      <c r="M819" s="12" t="str">
        <f>IF(TOTALCO!M1351="", "",TOTALCO!M1351)</f>
        <v/>
      </c>
      <c r="N819" s="12" t="str">
        <f>IF(TOTALCO!N1351="", "",TOTALCO!N1351)</f>
        <v/>
      </c>
      <c r="O819" s="12" t="str">
        <f>IF(TOTALCO!O1351="", "",TOTALCO!O1351)</f>
        <v/>
      </c>
      <c r="P819" s="12" t="str">
        <f>IF(TOTALCO!P1351="", "",TOTALCO!P1351)</f>
        <v/>
      </c>
      <c r="Q819" s="12"/>
      <c r="R819" s="13"/>
    </row>
    <row r="820" spans="1:18" ht="15" x14ac:dyDescent="0.2">
      <c r="A820" s="382" t="str">
        <f>IF(TOTALCO!A1352="", "",TOTALCO!A1352)</f>
        <v/>
      </c>
      <c r="B820" s="4" t="str">
        <f>IF(TOTALCO!B1352="", "",TOTALCO!B1352)</f>
        <v/>
      </c>
      <c r="C820" s="4" t="str">
        <f>IF(TOTALCO!C1352="", "",TOTALCO!C1352)</f>
        <v/>
      </c>
      <c r="D820" s="12" t="str">
        <f>IF(TOTALCO!D1352="", "",TOTALCO!D1352)</f>
        <v/>
      </c>
      <c r="E820" s="12" t="str">
        <f>IF(TOTALCO!E1352="", "",TOTALCO!E1352)</f>
        <v/>
      </c>
      <c r="F820" s="12" t="str">
        <f>IF(TOTALCO!F1352="", "",TOTALCO!F1352)</f>
        <v/>
      </c>
      <c r="G820" s="12" t="str">
        <f>IF(TOTALCO!G1352="", "",TOTALCO!G1352)</f>
        <v/>
      </c>
      <c r="H820" s="12" t="str">
        <f>IF(TOTALCO!H1352="", "",TOTALCO!H1352)</f>
        <v/>
      </c>
      <c r="I820" s="12" t="str">
        <f>IF(TOTALCO!I1352="", "",TOTALCO!I1352)</f>
        <v/>
      </c>
      <c r="J820" s="12" t="str">
        <f>IF(TOTALCO!J1352="", "",TOTALCO!J1352)</f>
        <v/>
      </c>
      <c r="K820" s="12" t="str">
        <f>IF(TOTALCO!K1352="", "",TOTALCO!K1352)</f>
        <v/>
      </c>
      <c r="L820" s="12" t="str">
        <f>IF(TOTALCO!L1352="", "",TOTALCO!L1352)</f>
        <v/>
      </c>
      <c r="M820" s="12" t="str">
        <f>IF(TOTALCO!M1352="", "",TOTALCO!M1352)</f>
        <v/>
      </c>
      <c r="N820" s="12" t="str">
        <f>IF(TOTALCO!N1352="", "",TOTALCO!N1352)</f>
        <v/>
      </c>
      <c r="O820" s="12" t="str">
        <f>IF(TOTALCO!O1352="", "",TOTALCO!O1352)</f>
        <v/>
      </c>
      <c r="P820" s="12" t="str">
        <f>IF(TOTALCO!P1352="", "",TOTALCO!P1352)</f>
        <v/>
      </c>
      <c r="Q820" s="12"/>
      <c r="R820" s="13"/>
    </row>
    <row r="821" spans="1:18" ht="15" x14ac:dyDescent="0.2">
      <c r="A821" s="382" t="str">
        <f>IF(TOTALCO!A1353="", "",TOTALCO!A1353)</f>
        <v/>
      </c>
      <c r="B821" s="4" t="str">
        <f>IF(TOTALCO!B1353="", "",TOTALCO!B1353)</f>
        <v xml:space="preserve"> TRANSMISSION LABOR</v>
      </c>
      <c r="C821" s="4" t="str">
        <f>IF(TOTALCO!C1353="", "",TOTALCO!C1353)</f>
        <v/>
      </c>
      <c r="D821" s="12" t="str">
        <f>IF(TOTALCO!D1353="", "",TOTALCO!D1353)</f>
        <v/>
      </c>
      <c r="E821" s="12" t="str">
        <f>IF(TOTALCO!E1353="", "",TOTALCO!E1353)</f>
        <v/>
      </c>
      <c r="F821" s="12" t="str">
        <f>IF(TOTALCO!F1353="", "",TOTALCO!F1353)</f>
        <v/>
      </c>
      <c r="G821" s="12" t="str">
        <f>IF(TOTALCO!G1353="", "",TOTALCO!G1353)</f>
        <v/>
      </c>
      <c r="H821" s="12" t="str">
        <f>IF(TOTALCO!H1353="", "",TOTALCO!H1353)</f>
        <v/>
      </c>
      <c r="I821" s="12" t="str">
        <f>IF(TOTALCO!I1353="", "",TOTALCO!I1353)</f>
        <v/>
      </c>
      <c r="J821" s="12" t="str">
        <f>IF(TOTALCO!J1353="", "",TOTALCO!J1353)</f>
        <v/>
      </c>
      <c r="K821" s="12" t="str">
        <f>IF(TOTALCO!K1353="", "",TOTALCO!K1353)</f>
        <v/>
      </c>
      <c r="L821" s="12" t="str">
        <f>IF(TOTALCO!L1353="", "",TOTALCO!L1353)</f>
        <v/>
      </c>
      <c r="M821" s="12" t="str">
        <f>IF(TOTALCO!M1353="", "",TOTALCO!M1353)</f>
        <v/>
      </c>
      <c r="N821" s="12" t="str">
        <f>IF(TOTALCO!N1353="", "",TOTALCO!N1353)</f>
        <v/>
      </c>
      <c r="O821" s="12" t="str">
        <f>IF(TOTALCO!O1353="", "",TOTALCO!O1353)</f>
        <v/>
      </c>
      <c r="P821" s="12" t="str">
        <f>IF(TOTALCO!P1353="", "",TOTALCO!P1353)</f>
        <v/>
      </c>
      <c r="Q821" s="12"/>
      <c r="R821" s="13"/>
    </row>
    <row r="822" spans="1:18" ht="15" x14ac:dyDescent="0.2">
      <c r="A822" s="382">
        <f>IF(TOTALCO!A1354="", "",TOTALCO!A1354)</f>
        <v>1</v>
      </c>
      <c r="B822" s="4" t="str">
        <f>IF(TOTALCO!B1354="", "",TOTALCO!B1354)</f>
        <v xml:space="preserve">      FERC 560</v>
      </c>
      <c r="C822" s="4" t="str">
        <f>IF(TOTALCO!C1354="", "",TOTALCO!C1354)</f>
        <v>TRANPLT</v>
      </c>
      <c r="D822" s="12">
        <f ca="1">IF(TOTALCO!D1354="", "",TOTALCO!D1354)</f>
        <v>1303427.78</v>
      </c>
      <c r="E822" s="12" t="str">
        <f>IF(TOTALCO!E1354="", "",TOTALCO!E1354)</f>
        <v/>
      </c>
      <c r="F822" s="12">
        <f ca="1">IF(TOTALCO!F1354="", "",TOTALCO!F1354)</f>
        <v>1045952.3157575636</v>
      </c>
      <c r="G822" s="12" t="str">
        <f>IF(TOTALCO!G1354="", "",TOTALCO!G1354)</f>
        <v/>
      </c>
      <c r="H822" s="12">
        <f ca="1">IF(TOTALCO!H1354="", "",TOTALCO!H1354)</f>
        <v>149723.44455785491</v>
      </c>
      <c r="I822" s="12">
        <f ca="1">IF(TOTALCO!I1354="", "",TOTALCO!I1354)</f>
        <v>107752.01968458154</v>
      </c>
      <c r="J822" s="12" t="str">
        <f>IF(TOTALCO!J1354="", "",TOTALCO!J1354)</f>
        <v/>
      </c>
      <c r="K822" s="12" t="str">
        <f>IF(TOTALCO!K1354="", "",TOTALCO!K1354)</f>
        <v/>
      </c>
      <c r="L822" s="12">
        <f ca="1">IF(TOTALCO!L1354="", "",TOTALCO!L1354)</f>
        <v>9.248069049548258</v>
      </c>
      <c r="M822" s="12" t="str">
        <f>IF(TOTALCO!M1354="", "",TOTALCO!M1354)</f>
        <v/>
      </c>
      <c r="N822" s="12">
        <f ca="1">IF(TOTALCO!N1354="", "",TOTALCO!N1354)</f>
        <v>107742.77161553199</v>
      </c>
      <c r="O822" s="12">
        <f ca="1">IF(TOTALCO!O1354="", "",TOTALCO!O1354)</f>
        <v>33618.478422894397</v>
      </c>
      <c r="P822" s="12">
        <f ca="1">IF(TOTALCO!P1354="", "",TOTALCO!P1354)</f>
        <v>74124.293192637604</v>
      </c>
      <c r="Q822" s="12"/>
      <c r="R822" s="13"/>
    </row>
    <row r="823" spans="1:18" ht="15" x14ac:dyDescent="0.2">
      <c r="A823" s="382">
        <f>IF(TOTALCO!A1355="", "",TOTALCO!A1355)</f>
        <v>2</v>
      </c>
      <c r="B823" s="4" t="str">
        <f>IF(TOTALCO!B1355="", "",TOTALCO!B1355)</f>
        <v xml:space="preserve">      FERC 561</v>
      </c>
      <c r="C823" s="4" t="str">
        <f>IF(TOTALCO!C1355="", "",TOTALCO!C1355)</f>
        <v>TRANPLT</v>
      </c>
      <c r="D823" s="12">
        <f ca="1">IF(TOTALCO!D1355="", "",TOTALCO!D1355)</f>
        <v>2653386.96</v>
      </c>
      <c r="E823" s="12" t="str">
        <f>IF(TOTALCO!E1355="", "",TOTALCO!E1355)</f>
        <v/>
      </c>
      <c r="F823" s="12">
        <f ca="1">IF(TOTALCO!F1355="", "",TOTALCO!F1355)</f>
        <v>2129244.3493976486</v>
      </c>
      <c r="G823" s="12" t="str">
        <f>IF(TOTALCO!G1355="", "",TOTALCO!G1355)</f>
        <v/>
      </c>
      <c r="H823" s="12">
        <f ca="1">IF(TOTALCO!H1355="", "",TOTALCO!H1355)</f>
        <v>304791.90446293476</v>
      </c>
      <c r="I823" s="12">
        <f ca="1">IF(TOTALCO!I1355="", "",TOTALCO!I1355)</f>
        <v>219350.70613941646</v>
      </c>
      <c r="J823" s="12" t="str">
        <f>IF(TOTALCO!J1355="", "",TOTALCO!J1355)</f>
        <v/>
      </c>
      <c r="K823" s="12" t="str">
        <f>IF(TOTALCO!K1355="", "",TOTALCO!K1355)</f>
        <v/>
      </c>
      <c r="L823" s="12">
        <f ca="1">IF(TOTALCO!L1355="", "",TOTALCO!L1355)</f>
        <v>18.82628726944192</v>
      </c>
      <c r="M823" s="12" t="str">
        <f>IF(TOTALCO!M1355="", "",TOTALCO!M1355)</f>
        <v/>
      </c>
      <c r="N823" s="12">
        <f ca="1">IF(TOTALCO!N1355="", "",TOTALCO!N1355)</f>
        <v>219331.87985214702</v>
      </c>
      <c r="O823" s="12">
        <f ca="1">IF(TOTALCO!O1355="", "",TOTALCO!O1355)</f>
        <v>68437.111461863547</v>
      </c>
      <c r="P823" s="12">
        <f ca="1">IF(TOTALCO!P1355="", "",TOTALCO!P1355)</f>
        <v>150894.76839028348</v>
      </c>
      <c r="Q823" s="12"/>
      <c r="R823" s="13"/>
    </row>
    <row r="824" spans="1:18" ht="15" x14ac:dyDescent="0.2">
      <c r="A824" s="382">
        <f>IF(TOTALCO!A1356="", "",TOTALCO!A1356)</f>
        <v>3</v>
      </c>
      <c r="B824" s="4" t="str">
        <f>IF(TOTALCO!B1356="", "",TOTALCO!B1356)</f>
        <v xml:space="preserve">      FERC 562</v>
      </c>
      <c r="C824" s="4" t="str">
        <f>IF(TOTALCO!C1356="", "",TOTALCO!C1356)</f>
        <v>TRANPLT</v>
      </c>
      <c r="D824" s="12">
        <f ca="1">IF(TOTALCO!D1356="", "",TOTALCO!D1356)</f>
        <v>334609.98</v>
      </c>
      <c r="E824" s="12" t="str">
        <f>IF(TOTALCO!E1356="", "",TOTALCO!E1356)</f>
        <v/>
      </c>
      <c r="F824" s="12">
        <f ca="1">IF(TOTALCO!F1356="", "",TOTALCO!F1356)</f>
        <v>268512.06397994066</v>
      </c>
      <c r="G824" s="12" t="str">
        <f>IF(TOTALCO!G1356="", "",TOTALCO!G1356)</f>
        <v/>
      </c>
      <c r="H824" s="12">
        <f ca="1">IF(TOTALCO!H1356="", "",TOTALCO!H1356)</f>
        <v>38436.313509471875</v>
      </c>
      <c r="I824" s="12">
        <f ca="1">IF(TOTALCO!I1356="", "",TOTALCO!I1356)</f>
        <v>27661.602510587458</v>
      </c>
      <c r="J824" s="12" t="str">
        <f>IF(TOTALCO!J1356="", "",TOTALCO!J1356)</f>
        <v/>
      </c>
      <c r="K824" s="12" t="str">
        <f>IF(TOTALCO!K1356="", "",TOTALCO!K1356)</f>
        <v/>
      </c>
      <c r="L824" s="12">
        <f ca="1">IF(TOTALCO!L1356="", "",TOTALCO!L1356)</f>
        <v>2.374121717513157</v>
      </c>
      <c r="M824" s="12" t="str">
        <f>IF(TOTALCO!M1356="", "",TOTALCO!M1356)</f>
        <v/>
      </c>
      <c r="N824" s="12">
        <f ca="1">IF(TOTALCO!N1356="", "",TOTALCO!N1356)</f>
        <v>27659.228388869946</v>
      </c>
      <c r="O824" s="12">
        <f ca="1">IF(TOTALCO!O1356="", "",TOTALCO!O1356)</f>
        <v>8630.3810347782564</v>
      </c>
      <c r="P824" s="12">
        <f ca="1">IF(TOTALCO!P1356="", "",TOTALCO!P1356)</f>
        <v>19028.847354091689</v>
      </c>
      <c r="Q824" s="12"/>
      <c r="R824" s="13"/>
    </row>
    <row r="825" spans="1:18" ht="15" x14ac:dyDescent="0.2">
      <c r="A825" s="382">
        <f>IF(TOTALCO!A1357="", "",TOTALCO!A1357)</f>
        <v>4</v>
      </c>
      <c r="B825" s="4" t="str">
        <f>IF(TOTALCO!B1357="", "",TOTALCO!B1357)</f>
        <v xml:space="preserve">      FERC 563</v>
      </c>
      <c r="C825" s="4" t="str">
        <f>IF(TOTALCO!C1357="", "",TOTALCO!C1357)</f>
        <v>TRANPLT</v>
      </c>
      <c r="D825" s="12">
        <f ca="1">IF(TOTALCO!D1357="", "",TOTALCO!D1357)</f>
        <v>69427.8</v>
      </c>
      <c r="E825" s="12" t="str">
        <f>IF(TOTALCO!E1357="", "",TOTALCO!E1357)</f>
        <v/>
      </c>
      <c r="F825" s="12">
        <f ca="1">IF(TOTALCO!F1357="", "",TOTALCO!F1357)</f>
        <v>55713.227308959897</v>
      </c>
      <c r="G825" s="12" t="str">
        <f>IF(TOTALCO!G1357="", "",TOTALCO!G1357)</f>
        <v/>
      </c>
      <c r="H825" s="12">
        <f ca="1">IF(TOTALCO!H1357="", "",TOTALCO!H1357)</f>
        <v>7975.1018994499564</v>
      </c>
      <c r="I825" s="12">
        <f ca="1">IF(TOTALCO!I1357="", "",TOTALCO!I1357)</f>
        <v>5739.4707915901499</v>
      </c>
      <c r="J825" s="12" t="str">
        <f>IF(TOTALCO!J1357="", "",TOTALCO!J1357)</f>
        <v/>
      </c>
      <c r="K825" s="12" t="str">
        <f>IF(TOTALCO!K1357="", "",TOTALCO!K1357)</f>
        <v/>
      </c>
      <c r="L825" s="12">
        <f ca="1">IF(TOTALCO!L1357="", "",TOTALCO!L1357)</f>
        <v>0.49260350148301013</v>
      </c>
      <c r="M825" s="12" t="str">
        <f>IF(TOTALCO!M1357="", "",TOTALCO!M1357)</f>
        <v/>
      </c>
      <c r="N825" s="12">
        <f ca="1">IF(TOTALCO!N1357="", "",TOTALCO!N1357)</f>
        <v>5738.9781880886667</v>
      </c>
      <c r="O825" s="12">
        <f ca="1">IF(TOTALCO!O1357="", "",TOTALCO!O1357)</f>
        <v>1790.706805596109</v>
      </c>
      <c r="P825" s="12">
        <f ca="1">IF(TOTALCO!P1357="", "",TOTALCO!P1357)</f>
        <v>3948.2713824925577</v>
      </c>
      <c r="Q825" s="12"/>
      <c r="R825" s="13"/>
    </row>
    <row r="826" spans="1:18" ht="15" x14ac:dyDescent="0.2">
      <c r="A826" s="382">
        <f>IF(TOTALCO!A1358="", "",TOTALCO!A1358)</f>
        <v>5</v>
      </c>
      <c r="B826" s="4" t="str">
        <f>IF(TOTALCO!B1358="", "",TOTALCO!B1358)</f>
        <v xml:space="preserve">      FERC 565</v>
      </c>
      <c r="C826" s="4" t="str">
        <f>IF(TOTALCO!C1358="", "",TOTALCO!C1358)</f>
        <v>TRANPLT</v>
      </c>
      <c r="D826" s="12">
        <f ca="1">IF(TOTALCO!D1358="", "",TOTALCO!D1358)</f>
        <v>0</v>
      </c>
      <c r="E826" s="12" t="str">
        <f>IF(TOTALCO!E1358="", "",TOTALCO!E1358)</f>
        <v/>
      </c>
      <c r="F826" s="12">
        <f ca="1">IF(TOTALCO!F1358="", "",TOTALCO!F1358)</f>
        <v>0</v>
      </c>
      <c r="G826" s="12" t="str">
        <f>IF(TOTALCO!G1358="", "",TOTALCO!G1358)</f>
        <v/>
      </c>
      <c r="H826" s="12">
        <f ca="1">IF(TOTALCO!H1358="", "",TOTALCO!H1358)</f>
        <v>0</v>
      </c>
      <c r="I826" s="12">
        <f ca="1">IF(TOTALCO!I1358="", "",TOTALCO!I1358)</f>
        <v>0</v>
      </c>
      <c r="J826" s="12" t="str">
        <f>IF(TOTALCO!J1358="", "",TOTALCO!J1358)</f>
        <v/>
      </c>
      <c r="K826" s="12" t="str">
        <f>IF(TOTALCO!K1358="", "",TOTALCO!K1358)</f>
        <v/>
      </c>
      <c r="L826" s="12">
        <f ca="1">IF(TOTALCO!L1358="", "",TOTALCO!L1358)</f>
        <v>0</v>
      </c>
      <c r="M826" s="12" t="str">
        <f>IF(TOTALCO!M1358="", "",TOTALCO!M1358)</f>
        <v/>
      </c>
      <c r="N826" s="12">
        <f ca="1">IF(TOTALCO!N1358="", "",TOTALCO!N1358)</f>
        <v>0</v>
      </c>
      <c r="O826" s="12">
        <f ca="1">IF(TOTALCO!O1358="", "",TOTALCO!O1358)</f>
        <v>0</v>
      </c>
      <c r="P826" s="12">
        <f ca="1">IF(TOTALCO!P1358="", "",TOTALCO!P1358)</f>
        <v>0</v>
      </c>
      <c r="Q826" s="12"/>
      <c r="R826" s="13"/>
    </row>
    <row r="827" spans="1:18" ht="15" x14ac:dyDescent="0.2">
      <c r="A827" s="382">
        <f>IF(TOTALCO!A1359="", "",TOTALCO!A1359)</f>
        <v>6</v>
      </c>
      <c r="B827" s="4" t="str">
        <f>IF(TOTALCO!B1359="", "",TOTALCO!B1359)</f>
        <v xml:space="preserve">      FERC 566</v>
      </c>
      <c r="C827" s="4" t="str">
        <f>IF(TOTALCO!C1359="", "",TOTALCO!C1359)</f>
        <v>TRANPLT</v>
      </c>
      <c r="D827" s="12">
        <f ca="1">IF(TOTALCO!D1359="", "",TOTALCO!D1359)</f>
        <v>417945.23</v>
      </c>
      <c r="E827" s="12" t="str">
        <f>IF(TOTALCO!E1359="", "",TOTALCO!E1359)</f>
        <v/>
      </c>
      <c r="F827" s="12">
        <f ca="1">IF(TOTALCO!F1359="", "",TOTALCO!F1359)</f>
        <v>335385.50266154949</v>
      </c>
      <c r="G827" s="12" t="str">
        <f>IF(TOTALCO!G1359="", "",TOTALCO!G1359)</f>
        <v/>
      </c>
      <c r="H827" s="12">
        <f ca="1">IF(TOTALCO!H1359="", "",TOTALCO!H1359)</f>
        <v>48008.950271203299</v>
      </c>
      <c r="I827" s="12">
        <f ca="1">IF(TOTALCO!I1359="", "",TOTALCO!I1359)</f>
        <v>34550.777067247218</v>
      </c>
      <c r="J827" s="12" t="str">
        <f>IF(TOTALCO!J1359="", "",TOTALCO!J1359)</f>
        <v/>
      </c>
      <c r="K827" s="12" t="str">
        <f>IF(TOTALCO!K1359="", "",TOTALCO!K1359)</f>
        <v/>
      </c>
      <c r="L827" s="12">
        <f ca="1">IF(TOTALCO!L1359="", "",TOTALCO!L1359)</f>
        <v>2.9654012330236879</v>
      </c>
      <c r="M827" s="12" t="str">
        <f>IF(TOTALCO!M1359="", "",TOTALCO!M1359)</f>
        <v/>
      </c>
      <c r="N827" s="12">
        <f ca="1">IF(TOTALCO!N1359="", "",TOTALCO!N1359)</f>
        <v>34547.811666014197</v>
      </c>
      <c r="O827" s="12">
        <f ca="1">IF(TOTALCO!O1359="", "",TOTALCO!O1359)</f>
        <v>10779.793796252092</v>
      </c>
      <c r="P827" s="12">
        <f ca="1">IF(TOTALCO!P1359="", "",TOTALCO!P1359)</f>
        <v>23768.017869762109</v>
      </c>
      <c r="Q827" s="12"/>
      <c r="R827" s="13"/>
    </row>
    <row r="828" spans="1:18" ht="15" x14ac:dyDescent="0.2">
      <c r="A828" s="382">
        <f>IF(TOTALCO!A1360="", "",TOTALCO!A1360)</f>
        <v>7</v>
      </c>
      <c r="B828" s="4" t="str">
        <f>IF(TOTALCO!B1360="", "",TOTALCO!B1360)</f>
        <v xml:space="preserve">      FERC 567</v>
      </c>
      <c r="C828" s="4" t="str">
        <f>IF(TOTALCO!C1360="", "",TOTALCO!C1360)</f>
        <v>TRANPLT</v>
      </c>
      <c r="D828" s="12">
        <f ca="1">IF(TOTALCO!D1360="", "",TOTALCO!D1360)</f>
        <v>0</v>
      </c>
      <c r="E828" s="12" t="str">
        <f>IF(TOTALCO!E1360="", "",TOTALCO!E1360)</f>
        <v/>
      </c>
      <c r="F828" s="12">
        <f ca="1">IF(TOTALCO!F1360="", "",TOTALCO!F1360)</f>
        <v>0</v>
      </c>
      <c r="G828" s="12" t="str">
        <f>IF(TOTALCO!G1360="", "",TOTALCO!G1360)</f>
        <v/>
      </c>
      <c r="H828" s="12">
        <f ca="1">IF(TOTALCO!H1360="", "",TOTALCO!H1360)</f>
        <v>0</v>
      </c>
      <c r="I828" s="12">
        <f ca="1">IF(TOTALCO!I1360="", "",TOTALCO!I1360)</f>
        <v>0</v>
      </c>
      <c r="J828" s="12" t="str">
        <f>IF(TOTALCO!J1360="", "",TOTALCO!J1360)</f>
        <v/>
      </c>
      <c r="K828" s="12" t="str">
        <f>IF(TOTALCO!K1360="", "",TOTALCO!K1360)</f>
        <v/>
      </c>
      <c r="L828" s="12">
        <f ca="1">IF(TOTALCO!L1360="", "",TOTALCO!L1360)</f>
        <v>0</v>
      </c>
      <c r="M828" s="12" t="str">
        <f>IF(TOTALCO!M1360="", "",TOTALCO!M1360)</f>
        <v/>
      </c>
      <c r="N828" s="12">
        <f ca="1">IF(TOTALCO!N1360="", "",TOTALCO!N1360)</f>
        <v>0</v>
      </c>
      <c r="O828" s="12">
        <f ca="1">IF(TOTALCO!O1360="", "",TOTALCO!O1360)</f>
        <v>0</v>
      </c>
      <c r="P828" s="12">
        <f ca="1">IF(TOTALCO!P1360="", "",TOTALCO!P1360)</f>
        <v>0</v>
      </c>
      <c r="Q828" s="12"/>
      <c r="R828" s="13"/>
    </row>
    <row r="829" spans="1:18" ht="15" x14ac:dyDescent="0.2">
      <c r="A829" s="382">
        <f>IF(TOTALCO!A1361="", "",TOTALCO!A1361)</f>
        <v>8</v>
      </c>
      <c r="B829" s="4" t="str">
        <f>IF(TOTALCO!B1361="", "",TOTALCO!B1361)</f>
        <v xml:space="preserve">      FERC 569</v>
      </c>
      <c r="C829" s="4" t="str">
        <f>IF(TOTALCO!C1361="", "",TOTALCO!C1361)</f>
        <v>TRANPLT</v>
      </c>
      <c r="D829" s="12">
        <f ca="1">IF(TOTALCO!D1361="", "",TOTALCO!D1361)</f>
        <v>0</v>
      </c>
      <c r="E829" s="12" t="str">
        <f>IF(TOTALCO!E1361="", "",TOTALCO!E1361)</f>
        <v/>
      </c>
      <c r="F829" s="12">
        <f ca="1">IF(TOTALCO!F1361="", "",TOTALCO!F1361)</f>
        <v>0</v>
      </c>
      <c r="G829" s="12" t="str">
        <f>IF(TOTALCO!G1361="", "",TOTALCO!G1361)</f>
        <v/>
      </c>
      <c r="H829" s="12">
        <f ca="1">IF(TOTALCO!H1361="", "",TOTALCO!H1361)</f>
        <v>0</v>
      </c>
      <c r="I829" s="12">
        <f ca="1">IF(TOTALCO!I1361="", "",TOTALCO!I1361)</f>
        <v>0</v>
      </c>
      <c r="J829" s="12" t="str">
        <f>IF(TOTALCO!J1361="", "",TOTALCO!J1361)</f>
        <v/>
      </c>
      <c r="K829" s="12" t="str">
        <f>IF(TOTALCO!K1361="", "",TOTALCO!K1361)</f>
        <v/>
      </c>
      <c r="L829" s="12">
        <f ca="1">IF(TOTALCO!L1361="", "",TOTALCO!L1361)</f>
        <v>0</v>
      </c>
      <c r="M829" s="12" t="str">
        <f>IF(TOTALCO!M1361="", "",TOTALCO!M1361)</f>
        <v/>
      </c>
      <c r="N829" s="12">
        <f ca="1">IF(TOTALCO!N1361="", "",TOTALCO!N1361)</f>
        <v>0</v>
      </c>
      <c r="O829" s="12">
        <f ca="1">IF(TOTALCO!O1361="", "",TOTALCO!O1361)</f>
        <v>0</v>
      </c>
      <c r="P829" s="12">
        <f ca="1">IF(TOTALCO!P1361="", "",TOTALCO!P1361)</f>
        <v>0</v>
      </c>
      <c r="Q829" s="12"/>
      <c r="R829" s="13"/>
    </row>
    <row r="830" spans="1:18" ht="15" x14ac:dyDescent="0.2">
      <c r="A830" s="382">
        <f>IF(TOTALCO!A1362="", "",TOTALCO!A1362)</f>
        <v>9</v>
      </c>
      <c r="B830" s="4" t="str">
        <f>IF(TOTALCO!B1362="", "",TOTALCO!B1362)</f>
        <v xml:space="preserve">      FERC 570</v>
      </c>
      <c r="C830" s="4" t="str">
        <f>IF(TOTALCO!C1362="", "",TOTALCO!C1362)</f>
        <v>TRANPLT</v>
      </c>
      <c r="D830" s="12">
        <f ca="1">IF(TOTALCO!D1362="", "",TOTALCO!D1362)</f>
        <v>696734.24</v>
      </c>
      <c r="E830" s="12" t="str">
        <f>IF(TOTALCO!E1362="", "",TOTALCO!E1362)</f>
        <v/>
      </c>
      <c r="F830" s="12">
        <f ca="1">IF(TOTALCO!F1362="", "",TOTALCO!F1362)</f>
        <v>559103.31433597801</v>
      </c>
      <c r="G830" s="12" t="str">
        <f>IF(TOTALCO!G1362="", "",TOTALCO!G1362)</f>
        <v/>
      </c>
      <c r="H830" s="12">
        <f ca="1">IF(TOTALCO!H1362="", "",TOTALCO!H1362)</f>
        <v>80033.164824981082</v>
      </c>
      <c r="I830" s="12">
        <f ca="1">IF(TOTALCO!I1362="", "",TOTALCO!I1362)</f>
        <v>57597.760839040857</v>
      </c>
      <c r="J830" s="12" t="str">
        <f>IF(TOTALCO!J1362="", "",TOTALCO!J1362)</f>
        <v/>
      </c>
      <c r="K830" s="12" t="str">
        <f>IF(TOTALCO!K1362="", "",TOTALCO!K1362)</f>
        <v/>
      </c>
      <c r="L830" s="12">
        <f ca="1">IF(TOTALCO!L1362="", "",TOTALCO!L1362)</f>
        <v>4.9434625067639173</v>
      </c>
      <c r="M830" s="12" t="str">
        <f>IF(TOTALCO!M1362="", "",TOTALCO!M1362)</f>
        <v/>
      </c>
      <c r="N830" s="12">
        <f ca="1">IF(TOTALCO!N1362="", "",TOTALCO!N1362)</f>
        <v>57592.817376534091</v>
      </c>
      <c r="O830" s="12">
        <f ca="1">IF(TOTALCO!O1362="", "",TOTALCO!O1362)</f>
        <v>17970.420282074796</v>
      </c>
      <c r="P830" s="12">
        <f ca="1">IF(TOTALCO!P1362="", "",TOTALCO!P1362)</f>
        <v>39622.397094459295</v>
      </c>
      <c r="Q830" s="12"/>
      <c r="R830" s="13"/>
    </row>
    <row r="831" spans="1:18" ht="15" x14ac:dyDescent="0.2">
      <c r="A831" s="382">
        <f>IF(TOTALCO!A1363="", "",TOTALCO!A1363)</f>
        <v>10</v>
      </c>
      <c r="B831" s="4" t="str">
        <f>IF(TOTALCO!B1363="", "",TOTALCO!B1363)</f>
        <v xml:space="preserve">      FERC 571</v>
      </c>
      <c r="C831" s="4" t="str">
        <f>IF(TOTALCO!C1363="", "",TOTALCO!C1363)</f>
        <v>TRANPLT</v>
      </c>
      <c r="D831" s="12">
        <f ca="1">IF(TOTALCO!D1363="", "",TOTALCO!D1363)</f>
        <v>220634.58000000002</v>
      </c>
      <c r="E831" s="12" t="str">
        <f>IF(TOTALCO!E1363="", "",TOTALCO!E1363)</f>
        <v/>
      </c>
      <c r="F831" s="12">
        <f ca="1">IF(TOTALCO!F1363="", "",TOTALCO!F1363)</f>
        <v>177051.04450604654</v>
      </c>
      <c r="G831" s="12" t="str">
        <f>IF(TOTALCO!G1363="", "",TOTALCO!G1363)</f>
        <v/>
      </c>
      <c r="H831" s="12">
        <f ca="1">IF(TOTALCO!H1363="", "",TOTALCO!H1363)</f>
        <v>25344.073383318257</v>
      </c>
      <c r="I831" s="12">
        <f ca="1">IF(TOTALCO!I1363="", "",TOTALCO!I1363)</f>
        <v>18239.462110635224</v>
      </c>
      <c r="J831" s="12" t="str">
        <f>IF(TOTALCO!J1363="", "",TOTALCO!J1363)</f>
        <v/>
      </c>
      <c r="K831" s="12" t="str">
        <f>IF(TOTALCO!K1363="", "",TOTALCO!K1363)</f>
        <v/>
      </c>
      <c r="L831" s="12">
        <f ca="1">IF(TOTALCO!L1363="", "",TOTALCO!L1363)</f>
        <v>1.5654444855840646</v>
      </c>
      <c r="M831" s="12" t="str">
        <f>IF(TOTALCO!M1363="", "",TOTALCO!M1363)</f>
        <v/>
      </c>
      <c r="N831" s="12">
        <f ca="1">IF(TOTALCO!N1363="", "",TOTALCO!N1363)</f>
        <v>18237.896666149642</v>
      </c>
      <c r="O831" s="12">
        <f ca="1">IF(TOTALCO!O1363="", "",TOTALCO!O1363)</f>
        <v>5690.6864967036136</v>
      </c>
      <c r="P831" s="12">
        <f ca="1">IF(TOTALCO!P1363="", "",TOTALCO!P1363)</f>
        <v>12547.210169446027</v>
      </c>
      <c r="Q831" s="12"/>
      <c r="R831" s="13"/>
    </row>
    <row r="832" spans="1:18" ht="15" x14ac:dyDescent="0.2">
      <c r="A832" s="382">
        <f>IF(TOTALCO!A1364="", "",TOTALCO!A1364)</f>
        <v>11</v>
      </c>
      <c r="B832" s="4" t="str">
        <f>IF(TOTALCO!B1364="", "",TOTALCO!B1364)</f>
        <v xml:space="preserve">      FERC 572</v>
      </c>
      <c r="C832" s="4" t="str">
        <f>IF(TOTALCO!C1364="", "",TOTALCO!C1364)</f>
        <v>TRANPLT</v>
      </c>
      <c r="D832" s="12">
        <f ca="1">IF(TOTALCO!D1364="", "",TOTALCO!D1364)</f>
        <v>0</v>
      </c>
      <c r="E832" s="12" t="str">
        <f>IF(TOTALCO!E1364="", "",TOTALCO!E1364)</f>
        <v/>
      </c>
      <c r="F832" s="12">
        <f ca="1">IF(TOTALCO!F1364="", "",TOTALCO!F1364)</f>
        <v>0</v>
      </c>
      <c r="G832" s="12" t="str">
        <f>IF(TOTALCO!G1364="", "",TOTALCO!G1364)</f>
        <v/>
      </c>
      <c r="H832" s="12">
        <f ca="1">IF(TOTALCO!H1364="", "",TOTALCO!H1364)</f>
        <v>0</v>
      </c>
      <c r="I832" s="12">
        <f ca="1">IF(TOTALCO!I1364="", "",TOTALCO!I1364)</f>
        <v>0</v>
      </c>
      <c r="J832" s="12" t="str">
        <f>IF(TOTALCO!J1364="", "",TOTALCO!J1364)</f>
        <v/>
      </c>
      <c r="K832" s="12" t="str">
        <f>IF(TOTALCO!K1364="", "",TOTALCO!K1364)</f>
        <v/>
      </c>
      <c r="L832" s="12">
        <f ca="1">IF(TOTALCO!L1364="", "",TOTALCO!L1364)</f>
        <v>0</v>
      </c>
      <c r="M832" s="12" t="str">
        <f>IF(TOTALCO!M1364="", "",TOTALCO!M1364)</f>
        <v/>
      </c>
      <c r="N832" s="12">
        <f ca="1">IF(TOTALCO!N1364="", "",TOTALCO!N1364)</f>
        <v>0</v>
      </c>
      <c r="O832" s="12">
        <f ca="1">IF(TOTALCO!O1364="", "",TOTALCO!O1364)</f>
        <v>0</v>
      </c>
      <c r="P832" s="12">
        <f ca="1">IF(TOTALCO!P1364="", "",TOTALCO!P1364)</f>
        <v>0</v>
      </c>
      <c r="Q832" s="12"/>
      <c r="R832" s="13"/>
    </row>
    <row r="833" spans="1:18" ht="15" x14ac:dyDescent="0.2">
      <c r="A833" s="382">
        <f>IF(TOTALCO!A1365="", "",TOTALCO!A1365)</f>
        <v>12</v>
      </c>
      <c r="B833" s="4" t="str">
        <f>IF(TOTALCO!B1365="", "",TOTALCO!B1365)</f>
        <v xml:space="preserve">      FERC 573</v>
      </c>
      <c r="C833" s="4" t="str">
        <f>IF(TOTALCO!C1365="", "",TOTALCO!C1365)</f>
        <v>TRANPLT</v>
      </c>
      <c r="D833" s="12">
        <f ca="1">IF(TOTALCO!D1365="", "",TOTALCO!D1365)</f>
        <v>109870.64000000001</v>
      </c>
      <c r="E833" s="12" t="str">
        <f>IF(TOTALCO!E1365="", "",TOTALCO!E1365)</f>
        <v/>
      </c>
      <c r="F833" s="12">
        <f ca="1">IF(TOTALCO!F1365="", "",TOTALCO!F1365)</f>
        <v>88167.102240037886</v>
      </c>
      <c r="G833" s="12" t="str">
        <f>IF(TOTALCO!G1365="", "",TOTALCO!G1365)</f>
        <v/>
      </c>
      <c r="H833" s="12">
        <f ca="1">IF(TOTALCO!H1365="", "",TOTALCO!H1365)</f>
        <v>12620.730453187087</v>
      </c>
      <c r="I833" s="12">
        <f ca="1">IF(TOTALCO!I1365="", "",TOTALCO!I1365)</f>
        <v>9082.8073067750447</v>
      </c>
      <c r="J833" s="12" t="str">
        <f>IF(TOTALCO!J1365="", "",TOTALCO!J1365)</f>
        <v/>
      </c>
      <c r="K833" s="12" t="str">
        <f>IF(TOTALCO!K1365="", "",TOTALCO!K1365)</f>
        <v/>
      </c>
      <c r="L833" s="12">
        <f ca="1">IF(TOTALCO!L1365="", "",TOTALCO!L1365)</f>
        <v>0.77955317573334137</v>
      </c>
      <c r="M833" s="12" t="str">
        <f>IF(TOTALCO!M1365="", "",TOTALCO!M1365)</f>
        <v/>
      </c>
      <c r="N833" s="12">
        <f ca="1">IF(TOTALCO!N1365="", "",TOTALCO!N1365)</f>
        <v>9082.0277535993118</v>
      </c>
      <c r="O833" s="12">
        <f ca="1">IF(TOTALCO!O1365="", "",TOTALCO!O1365)</f>
        <v>2833.8230907964835</v>
      </c>
      <c r="P833" s="12">
        <f ca="1">IF(TOTALCO!P1365="", "",TOTALCO!P1365)</f>
        <v>6248.2046628028274</v>
      </c>
      <c r="Q833" s="12"/>
      <c r="R833" s="13"/>
    </row>
    <row r="834" spans="1:18" ht="15" x14ac:dyDescent="0.2">
      <c r="A834" s="382" t="str">
        <f>IF(TOTALCO!A1366="", "",TOTALCO!A1366)</f>
        <v/>
      </c>
      <c r="B834" s="4" t="str">
        <f>IF(TOTALCO!B1366="", "",TOTALCO!B1366)</f>
        <v/>
      </c>
      <c r="C834" s="4" t="str">
        <f>IF(TOTALCO!C1366="", "",TOTALCO!C1366)</f>
        <v/>
      </c>
      <c r="D834" s="12" t="str">
        <f>IF(TOTALCO!D1366="", "",TOTALCO!D1366)</f>
        <v/>
      </c>
      <c r="E834" s="12" t="str">
        <f>IF(TOTALCO!E1366="", "",TOTALCO!E1366)</f>
        <v/>
      </c>
      <c r="F834" s="12" t="str">
        <f>IF(TOTALCO!F1366="", "",TOTALCO!F1366)</f>
        <v/>
      </c>
      <c r="G834" s="12" t="str">
        <f>IF(TOTALCO!G1366="", "",TOTALCO!G1366)</f>
        <v/>
      </c>
      <c r="H834" s="12" t="str">
        <f>IF(TOTALCO!H1366="", "",TOTALCO!H1366)</f>
        <v/>
      </c>
      <c r="I834" s="12" t="str">
        <f>IF(TOTALCO!I1366="", "",TOTALCO!I1366)</f>
        <v/>
      </c>
      <c r="J834" s="12" t="str">
        <f>IF(TOTALCO!J1366="", "",TOTALCO!J1366)</f>
        <v/>
      </c>
      <c r="K834" s="12" t="str">
        <f>IF(TOTALCO!K1366="", "",TOTALCO!K1366)</f>
        <v/>
      </c>
      <c r="L834" s="12" t="str">
        <f>IF(TOTALCO!L1366="", "",TOTALCO!L1366)</f>
        <v/>
      </c>
      <c r="M834" s="12" t="str">
        <f>IF(TOTALCO!M1366="", "",TOTALCO!M1366)</f>
        <v/>
      </c>
      <c r="N834" s="12" t="str">
        <f>IF(TOTALCO!N1366="", "",TOTALCO!N1366)</f>
        <v/>
      </c>
      <c r="O834" s="12" t="str">
        <f>IF(TOTALCO!O1366="", "",TOTALCO!O1366)</f>
        <v/>
      </c>
      <c r="P834" s="12" t="str">
        <f>IF(TOTALCO!P1366="", "",TOTALCO!P1366)</f>
        <v/>
      </c>
      <c r="Q834" s="12"/>
      <c r="R834" s="13"/>
    </row>
    <row r="835" spans="1:18" ht="15" x14ac:dyDescent="0.2">
      <c r="A835" s="382">
        <f>IF(TOTALCO!A1367="", "",TOTALCO!A1367)</f>
        <v>13</v>
      </c>
      <c r="B835" s="4" t="str">
        <f>IF(TOTALCO!B1367="", "",TOTALCO!B1367)</f>
        <v xml:space="preserve"> TOTAL TRANSMISSION LABOR</v>
      </c>
      <c r="C835" s="4" t="str">
        <f>IF(TOTALCO!C1367="", "",TOTALCO!C1367)</f>
        <v>TRANPLT</v>
      </c>
      <c r="D835" s="12">
        <f ca="1">IF(TOTALCO!D1367="", "",TOTALCO!D1367)</f>
        <v>5806037.21</v>
      </c>
      <c r="E835" s="12" t="str">
        <f>IF(TOTALCO!E1367="", "",TOTALCO!E1367)</f>
        <v/>
      </c>
      <c r="F835" s="12">
        <f ca="1">IF(TOTALCO!F1367="", "",TOTALCO!F1367)</f>
        <v>4659128.9201877248</v>
      </c>
      <c r="G835" s="12" t="str">
        <f>IF(TOTALCO!G1367="", "",TOTALCO!G1367)</f>
        <v/>
      </c>
      <c r="H835" s="12">
        <f ca="1">IF(TOTALCO!H1367="", "",TOTALCO!H1367)</f>
        <v>666933.68336240132</v>
      </c>
      <c r="I835" s="12">
        <f ca="1">IF(TOTALCO!I1367="", "",TOTALCO!I1367)</f>
        <v>479974.60644987394</v>
      </c>
      <c r="J835" s="12">
        <f>IF(TOTALCO!J1367="", "",TOTALCO!J1367)</f>
        <v>0</v>
      </c>
      <c r="K835" s="12">
        <f>IF(TOTALCO!K1367="", "",TOTALCO!K1367)</f>
        <v>0</v>
      </c>
      <c r="L835" s="12">
        <f ca="1">IF(TOTALCO!L1367="", "",TOTALCO!L1367)</f>
        <v>41.194942939091355</v>
      </c>
      <c r="M835" s="12" t="str">
        <f>IF(TOTALCO!M1367="", "",TOTALCO!M1367)</f>
        <v/>
      </c>
      <c r="N835" s="12">
        <f ca="1">IF(TOTALCO!N1367="", "",TOTALCO!N1367)</f>
        <v>479933.41150693496</v>
      </c>
      <c r="O835" s="12">
        <f ca="1">IF(TOTALCO!O1367="", "",TOTALCO!O1367)</f>
        <v>149751.4013909593</v>
      </c>
      <c r="P835" s="12">
        <f ca="1">IF(TOTALCO!P1367="", "",TOTALCO!P1367)</f>
        <v>330182.01011597551</v>
      </c>
      <c r="Q835" s="12"/>
      <c r="R835" s="13"/>
    </row>
    <row r="836" spans="1:18" ht="15" x14ac:dyDescent="0.2">
      <c r="A836" s="382" t="str">
        <f>IF(TOTALCO!A1368="", "",TOTALCO!A1368)</f>
        <v/>
      </c>
      <c r="B836" s="4" t="str">
        <f>IF(TOTALCO!B1368="", "",TOTALCO!B1368)</f>
        <v/>
      </c>
      <c r="C836" s="4" t="str">
        <f>IF(TOTALCO!C1368="", "",TOTALCO!C1368)</f>
        <v/>
      </c>
      <c r="D836" s="12" t="str">
        <f>IF(TOTALCO!D1368="", "",TOTALCO!D1368)</f>
        <v/>
      </c>
      <c r="E836" s="12" t="str">
        <f>IF(TOTALCO!E1368="", "",TOTALCO!E1368)</f>
        <v/>
      </c>
      <c r="F836" s="12" t="str">
        <f>IF(TOTALCO!F1368="", "",TOTALCO!F1368)</f>
        <v/>
      </c>
      <c r="G836" s="12" t="str">
        <f>IF(TOTALCO!G1368="", "",TOTALCO!G1368)</f>
        <v/>
      </c>
      <c r="H836" s="12" t="str">
        <f>IF(TOTALCO!H1368="", "",TOTALCO!H1368)</f>
        <v/>
      </c>
      <c r="I836" s="12" t="str">
        <f>IF(TOTALCO!I1368="", "",TOTALCO!I1368)</f>
        <v/>
      </c>
      <c r="J836" s="12" t="str">
        <f>IF(TOTALCO!J1368="", "",TOTALCO!J1368)</f>
        <v/>
      </c>
      <c r="K836" s="12" t="str">
        <f>IF(TOTALCO!K1368="", "",TOTALCO!K1368)</f>
        <v/>
      </c>
      <c r="L836" s="12" t="str">
        <f>IF(TOTALCO!L1368="", "",TOTALCO!L1368)</f>
        <v/>
      </c>
      <c r="M836" s="12" t="str">
        <f>IF(TOTALCO!M1368="", "",TOTALCO!M1368)</f>
        <v/>
      </c>
      <c r="N836" s="12" t="str">
        <f>IF(TOTALCO!N1368="", "",TOTALCO!N1368)</f>
        <v/>
      </c>
      <c r="O836" s="12" t="str">
        <f>IF(TOTALCO!O1368="", "",TOTALCO!O1368)</f>
        <v/>
      </c>
      <c r="P836" s="12" t="str">
        <f>IF(TOTALCO!P1368="", "",TOTALCO!P1368)</f>
        <v/>
      </c>
      <c r="Q836" s="12"/>
      <c r="R836" s="13"/>
    </row>
    <row r="837" spans="1:18" ht="15" x14ac:dyDescent="0.2">
      <c r="A837" s="382" t="str">
        <f>IF(TOTALCO!A1369="", "",TOTALCO!A1369)</f>
        <v/>
      </c>
      <c r="B837" s="4" t="str">
        <f>IF(TOTALCO!B1369="", "",TOTALCO!B1369)</f>
        <v xml:space="preserve"> DISTRIBUTION LABOR</v>
      </c>
      <c r="C837" s="4" t="str">
        <f>IF(TOTALCO!C1369="", "",TOTALCO!C1369)</f>
        <v/>
      </c>
      <c r="D837" s="12" t="str">
        <f>IF(TOTALCO!D1369="", "",TOTALCO!D1369)</f>
        <v/>
      </c>
      <c r="E837" s="12" t="str">
        <f>IF(TOTALCO!E1369="", "",TOTALCO!E1369)</f>
        <v/>
      </c>
      <c r="F837" s="12" t="str">
        <f>IF(TOTALCO!F1369="", "",TOTALCO!F1369)</f>
        <v/>
      </c>
      <c r="G837" s="12" t="str">
        <f>IF(TOTALCO!G1369="", "",TOTALCO!G1369)</f>
        <v/>
      </c>
      <c r="H837" s="12" t="str">
        <f>IF(TOTALCO!H1369="", "",TOTALCO!H1369)</f>
        <v/>
      </c>
      <c r="I837" s="12" t="str">
        <f>IF(TOTALCO!I1369="", "",TOTALCO!I1369)</f>
        <v/>
      </c>
      <c r="J837" s="12" t="str">
        <f>IF(TOTALCO!J1369="", "",TOTALCO!J1369)</f>
        <v/>
      </c>
      <c r="K837" s="12" t="str">
        <f>IF(TOTALCO!K1369="", "",TOTALCO!K1369)</f>
        <v/>
      </c>
      <c r="L837" s="12" t="str">
        <f>IF(TOTALCO!L1369="", "",TOTALCO!L1369)</f>
        <v/>
      </c>
      <c r="M837" s="12" t="str">
        <f>IF(TOTALCO!M1369="", "",TOTALCO!M1369)</f>
        <v/>
      </c>
      <c r="N837" s="12" t="str">
        <f>IF(TOTALCO!N1369="", "",TOTALCO!N1369)</f>
        <v/>
      </c>
      <c r="O837" s="12" t="str">
        <f>IF(TOTALCO!O1369="", "",TOTALCO!O1369)</f>
        <v/>
      </c>
      <c r="P837" s="12" t="str">
        <f>IF(TOTALCO!P1369="", "",TOTALCO!P1369)</f>
        <v/>
      </c>
      <c r="Q837" s="12"/>
      <c r="R837" s="13"/>
    </row>
    <row r="838" spans="1:18" ht="15" x14ac:dyDescent="0.2">
      <c r="A838" s="382">
        <f>IF(TOTALCO!A1370="", "",TOTALCO!A1370)</f>
        <v>1</v>
      </c>
      <c r="B838" s="4" t="str">
        <f>IF(TOTALCO!B1370="", "",TOTALCO!B1370)</f>
        <v xml:space="preserve">      FERC 580</v>
      </c>
      <c r="C838" s="4" t="str">
        <f>IF(TOTALCO!C1370="", "",TOTALCO!C1370)</f>
        <v>DISTPLT</v>
      </c>
      <c r="D838" s="12">
        <f ca="1">IF(TOTALCO!D1370="", "",TOTALCO!D1370)</f>
        <v>1376759.4599999997</v>
      </c>
      <c r="E838" s="12" t="str">
        <f>IF(TOTALCO!E1370="", "",TOTALCO!E1370)</f>
        <v/>
      </c>
      <c r="F838" s="12">
        <f ca="1">IF(TOTALCO!F1370="", "",TOTALCO!F1370)</f>
        <v>1295319.5735034929</v>
      </c>
      <c r="G838" s="12" t="str">
        <f>IF(TOTALCO!G1370="", "",TOTALCO!G1370)</f>
        <v/>
      </c>
      <c r="H838" s="12">
        <f ca="1">IF(TOTALCO!H1370="", "",TOTALCO!H1370)</f>
        <v>77134.121028215493</v>
      </c>
      <c r="I838" s="12">
        <f ca="1">IF(TOTALCO!I1370="", "",TOTALCO!I1370)</f>
        <v>4305.7654682915827</v>
      </c>
      <c r="J838" s="12" t="str">
        <f>IF(TOTALCO!J1370="", "",TOTALCO!J1370)</f>
        <v/>
      </c>
      <c r="K838" s="12" t="str">
        <f>IF(TOTALCO!K1370="", "",TOTALCO!K1370)</f>
        <v/>
      </c>
      <c r="L838" s="12">
        <f ca="1">IF(TOTALCO!L1370="", "",TOTALCO!L1370)</f>
        <v>155.60055102611457</v>
      </c>
      <c r="M838" s="12" t="str">
        <f>IF(TOTALCO!M1370="", "",TOTALCO!M1370)</f>
        <v/>
      </c>
      <c r="N838" s="12">
        <f ca="1">IF(TOTALCO!N1370="", "",TOTALCO!N1370)</f>
        <v>4150.1649172654679</v>
      </c>
      <c r="O838" s="12">
        <f ca="1">IF(TOTALCO!O1370="", "",TOTALCO!O1370)</f>
        <v>3566.4076665128218</v>
      </c>
      <c r="P838" s="12">
        <f ca="1">IF(TOTALCO!P1370="", "",TOTALCO!P1370)</f>
        <v>583.75725075264575</v>
      </c>
      <c r="Q838" s="12"/>
      <c r="R838" s="13"/>
    </row>
    <row r="839" spans="1:18" ht="15" x14ac:dyDescent="0.2">
      <c r="A839" s="382">
        <f>IF(TOTALCO!A1371="", "",TOTALCO!A1371)</f>
        <v>2</v>
      </c>
      <c r="B839" s="4" t="str">
        <f>IF(TOTALCO!B1371="", "",TOTALCO!B1371)</f>
        <v xml:space="preserve">      FERC 581</v>
      </c>
      <c r="C839" s="4" t="str">
        <f>IF(TOTALCO!C1371="", "",TOTALCO!C1371)</f>
        <v>DISTPLT</v>
      </c>
      <c r="D839" s="12">
        <f ca="1">IF(TOTALCO!D1371="", "",TOTALCO!D1371)</f>
        <v>762447.18</v>
      </c>
      <c r="E839" s="12" t="str">
        <f>IF(TOTALCO!E1371="", "",TOTALCO!E1371)</f>
        <v/>
      </c>
      <c r="F839" s="12">
        <f ca="1">IF(TOTALCO!F1371="", "",TOTALCO!F1371)</f>
        <v>717345.90152483201</v>
      </c>
      <c r="G839" s="12" t="str">
        <f>IF(TOTALCO!G1371="", "",TOTALCO!G1371)</f>
        <v/>
      </c>
      <c r="H839" s="12">
        <f ca="1">IF(TOTALCO!H1371="", "",TOTALCO!H1371)</f>
        <v>42716.752467233164</v>
      </c>
      <c r="I839" s="12">
        <f ca="1">IF(TOTALCO!I1371="", "",TOTALCO!I1371)</f>
        <v>2384.5260079348186</v>
      </c>
      <c r="J839" s="12" t="str">
        <f>IF(TOTALCO!J1371="", "",TOTALCO!J1371)</f>
        <v/>
      </c>
      <c r="K839" s="12" t="str">
        <f>IF(TOTALCO!K1371="", "",TOTALCO!K1371)</f>
        <v/>
      </c>
      <c r="L839" s="12">
        <f ca="1">IF(TOTALCO!L1371="", "",TOTALCO!L1371)</f>
        <v>86.171335504247892</v>
      </c>
      <c r="M839" s="12" t="str">
        <f>IF(TOTALCO!M1371="", "",TOTALCO!M1371)</f>
        <v/>
      </c>
      <c r="N839" s="12">
        <f ca="1">IF(TOTALCO!N1371="", "",TOTALCO!N1371)</f>
        <v>2298.3546724305706</v>
      </c>
      <c r="O839" s="12">
        <f ca="1">IF(TOTALCO!O1371="", "",TOTALCO!O1371)</f>
        <v>1975.0708435757408</v>
      </c>
      <c r="P839" s="12">
        <f ca="1">IF(TOTALCO!P1371="", "",TOTALCO!P1371)</f>
        <v>323.28382885482961</v>
      </c>
      <c r="Q839" s="12"/>
      <c r="R839" s="13"/>
    </row>
    <row r="840" spans="1:18" ht="15" x14ac:dyDescent="0.2">
      <c r="A840" s="382">
        <f>IF(TOTALCO!A1372="", "",TOTALCO!A1372)</f>
        <v>3</v>
      </c>
      <c r="B840" s="4" t="str">
        <f>IF(TOTALCO!B1372="", "",TOTALCO!B1372)</f>
        <v xml:space="preserve">      FERC 582</v>
      </c>
      <c r="C840" s="4" t="str">
        <f>IF(TOTALCO!C1372="", "",TOTALCO!C1372)</f>
        <v>DISTPLT</v>
      </c>
      <c r="D840" s="12">
        <f ca="1">IF(TOTALCO!D1372="", "",TOTALCO!D1372)</f>
        <v>803768.94000000018</v>
      </c>
      <c r="E840" s="12" t="str">
        <f>IF(TOTALCO!E1372="", "",TOTALCO!E1372)</f>
        <v/>
      </c>
      <c r="F840" s="12">
        <f ca="1">IF(TOTALCO!F1372="", "",TOTALCO!F1372)</f>
        <v>756223.34242479422</v>
      </c>
      <c r="G840" s="12" t="str">
        <f>IF(TOTALCO!G1372="", "",TOTALCO!G1372)</f>
        <v/>
      </c>
      <c r="H840" s="12">
        <f ca="1">IF(TOTALCO!H1372="", "",TOTALCO!H1372)</f>
        <v>45031.839255842475</v>
      </c>
      <c r="I840" s="12">
        <f ca="1">IF(TOTALCO!I1372="", "",TOTALCO!I1372)</f>
        <v>2513.7583193634482</v>
      </c>
      <c r="J840" s="12" t="str">
        <f>IF(TOTALCO!J1372="", "",TOTALCO!J1372)</f>
        <v/>
      </c>
      <c r="K840" s="12" t="str">
        <f>IF(TOTALCO!K1372="", "",TOTALCO!K1372)</f>
        <v/>
      </c>
      <c r="L840" s="12">
        <f ca="1">IF(TOTALCO!L1372="", "",TOTALCO!L1372)</f>
        <v>90.841496714085423</v>
      </c>
      <c r="M840" s="12" t="str">
        <f>IF(TOTALCO!M1372="", "",TOTALCO!M1372)</f>
        <v/>
      </c>
      <c r="N840" s="12">
        <f ca="1">IF(TOTALCO!N1372="", "",TOTALCO!N1372)</f>
        <v>2422.916822649363</v>
      </c>
      <c r="O840" s="12">
        <f ca="1">IF(TOTALCO!O1372="", "",TOTALCO!O1372)</f>
        <v>2082.1122302082345</v>
      </c>
      <c r="P840" s="12">
        <f ca="1">IF(TOTALCO!P1372="", "",TOTALCO!P1372)</f>
        <v>340.80459244112865</v>
      </c>
      <c r="Q840" s="12"/>
      <c r="R840" s="13"/>
    </row>
    <row r="841" spans="1:18" ht="15" x14ac:dyDescent="0.2">
      <c r="A841" s="382">
        <f>IF(TOTALCO!A1373="", "",TOTALCO!A1373)</f>
        <v>4</v>
      </c>
      <c r="B841" s="4" t="str">
        <f>IF(TOTALCO!B1373="", "",TOTALCO!B1373)</f>
        <v xml:space="preserve">      FERC 583</v>
      </c>
      <c r="C841" s="4" t="str">
        <f>IF(TOTALCO!C1373="", "",TOTALCO!C1373)</f>
        <v>DISTPLT</v>
      </c>
      <c r="D841" s="12">
        <f ca="1">IF(TOTALCO!D1373="", "",TOTALCO!D1373)</f>
        <v>1689769.8600000003</v>
      </c>
      <c r="E841" s="12" t="str">
        <f>IF(TOTALCO!E1373="", "",TOTALCO!E1373)</f>
        <v/>
      </c>
      <c r="F841" s="12">
        <f ca="1">IF(TOTALCO!F1373="", "",TOTALCO!F1373)</f>
        <v>1589814.3706049111</v>
      </c>
      <c r="G841" s="12" t="str">
        <f>IF(TOTALCO!G1373="", "",TOTALCO!G1373)</f>
        <v/>
      </c>
      <c r="H841" s="12">
        <f ca="1">IF(TOTALCO!H1373="", "",TOTALCO!H1373)</f>
        <v>94670.795209985896</v>
      </c>
      <c r="I841" s="12">
        <f ca="1">IF(TOTALCO!I1373="", "",TOTALCO!I1373)</f>
        <v>5284.6941851032589</v>
      </c>
      <c r="J841" s="12" t="str">
        <f>IF(TOTALCO!J1373="", "",TOTALCO!J1373)</f>
        <v/>
      </c>
      <c r="K841" s="12" t="str">
        <f>IF(TOTALCO!K1373="", "",TOTALCO!K1373)</f>
        <v/>
      </c>
      <c r="L841" s="12">
        <f ca="1">IF(TOTALCO!L1373="", "",TOTALCO!L1373)</f>
        <v>190.97680383712088</v>
      </c>
      <c r="M841" s="12" t="str">
        <f>IF(TOTALCO!M1373="", "",TOTALCO!M1373)</f>
        <v/>
      </c>
      <c r="N841" s="12">
        <f ca="1">IF(TOTALCO!N1373="", "",TOTALCO!N1373)</f>
        <v>5093.7173812661376</v>
      </c>
      <c r="O841" s="12">
        <f ca="1">IF(TOTALCO!O1373="", "",TOTALCO!O1373)</f>
        <v>4377.2411655310498</v>
      </c>
      <c r="P841" s="12">
        <f ca="1">IF(TOTALCO!P1373="", "",TOTALCO!P1373)</f>
        <v>716.47621573508798</v>
      </c>
      <c r="Q841" s="12"/>
      <c r="R841" s="13"/>
    </row>
    <row r="842" spans="1:18" ht="15" x14ac:dyDescent="0.2">
      <c r="A842" s="382">
        <f>IF(TOTALCO!A1374="", "",TOTALCO!A1374)</f>
        <v>5</v>
      </c>
      <c r="B842" s="4" t="str">
        <f>IF(TOTALCO!B1374="", "",TOTALCO!B1374)</f>
        <v xml:space="preserve">      FERC 584</v>
      </c>
      <c r="C842" s="4" t="str">
        <f>IF(TOTALCO!C1374="", "",TOTALCO!C1374)</f>
        <v>DISTPLT</v>
      </c>
      <c r="D842" s="12">
        <f ca="1">IF(TOTALCO!D1374="", "",TOTALCO!D1374)</f>
        <v>101763.76000000001</v>
      </c>
      <c r="E842" s="12" t="str">
        <f>IF(TOTALCO!E1374="", "",TOTALCO!E1374)</f>
        <v/>
      </c>
      <c r="F842" s="12">
        <f ca="1">IF(TOTALCO!F1374="", "",TOTALCO!F1374)</f>
        <v>95744.096213663797</v>
      </c>
      <c r="G842" s="12" t="str">
        <f>IF(TOTALCO!G1374="", "",TOTALCO!G1374)</f>
        <v/>
      </c>
      <c r="H842" s="12">
        <f ca="1">IF(TOTALCO!H1374="", "",TOTALCO!H1374)</f>
        <v>5701.4013037007026</v>
      </c>
      <c r="I842" s="12">
        <f ca="1">IF(TOTALCO!I1374="", "",TOTALCO!I1374)</f>
        <v>318.26248263550133</v>
      </c>
      <c r="J842" s="12" t="str">
        <f>IF(TOTALCO!J1374="", "",TOTALCO!J1374)</f>
        <v/>
      </c>
      <c r="K842" s="12" t="str">
        <f>IF(TOTALCO!K1374="", "",TOTALCO!K1374)</f>
        <v/>
      </c>
      <c r="L842" s="12">
        <f ca="1">IF(TOTALCO!L1374="", "",TOTALCO!L1374)</f>
        <v>11.501280790537859</v>
      </c>
      <c r="M842" s="12" t="str">
        <f>IF(TOTALCO!M1374="", "",TOTALCO!M1374)</f>
        <v/>
      </c>
      <c r="N842" s="12">
        <f ca="1">IF(TOTALCO!N1374="", "",TOTALCO!N1374)</f>
        <v>306.76120184496347</v>
      </c>
      <c r="O842" s="12">
        <f ca="1">IF(TOTALCO!O1374="", "",TOTALCO!O1374)</f>
        <v>263.61253681683132</v>
      </c>
      <c r="P842" s="12">
        <f ca="1">IF(TOTALCO!P1374="", "",TOTALCO!P1374)</f>
        <v>43.148665028132122</v>
      </c>
      <c r="Q842" s="12"/>
      <c r="R842" s="13"/>
    </row>
    <row r="843" spans="1:18" ht="15" x14ac:dyDescent="0.2">
      <c r="A843" s="382">
        <f>IF(TOTALCO!A1375="", "",TOTALCO!A1375)</f>
        <v>6</v>
      </c>
      <c r="B843" s="4" t="str">
        <f>IF(TOTALCO!B1375="", "",TOTALCO!B1375)</f>
        <v xml:space="preserve">      FERC 585</v>
      </c>
      <c r="C843" s="4" t="str">
        <f>IF(TOTALCO!C1375="", "",TOTALCO!C1375)</f>
        <v>DISTPLT</v>
      </c>
      <c r="D843" s="12">
        <f ca="1">IF(TOTALCO!D1375="", "",TOTALCO!D1375)</f>
        <v>2664.27</v>
      </c>
      <c r="E843" s="12" t="str">
        <f>IF(TOTALCO!E1375="", "",TOTALCO!E1375)</f>
        <v/>
      </c>
      <c r="F843" s="12">
        <f ca="1">IF(TOTALCO!F1375="", "",TOTALCO!F1375)</f>
        <v>2506.6695965162653</v>
      </c>
      <c r="G843" s="12" t="str">
        <f>IF(TOTALCO!G1375="", "",TOTALCO!G1375)</f>
        <v/>
      </c>
      <c r="H843" s="12">
        <f ca="1">IF(TOTALCO!H1375="", "",TOTALCO!H1375)</f>
        <v>149.26799531985327</v>
      </c>
      <c r="I843" s="12">
        <f ca="1">IF(TOTALCO!I1375="", "",TOTALCO!I1375)</f>
        <v>8.3324081638815919</v>
      </c>
      <c r="J843" s="12" t="str">
        <f>IF(TOTALCO!J1375="", "",TOTALCO!J1375)</f>
        <v/>
      </c>
      <c r="K843" s="12" t="str">
        <f>IF(TOTALCO!K1375="", "",TOTALCO!K1375)</f>
        <v/>
      </c>
      <c r="L843" s="12">
        <f ca="1">IF(TOTALCO!L1375="", "",TOTALCO!L1375)</f>
        <v>0.30111424117786434</v>
      </c>
      <c r="M843" s="12" t="str">
        <f>IF(TOTALCO!M1375="", "",TOTALCO!M1375)</f>
        <v/>
      </c>
      <c r="N843" s="12">
        <f ca="1">IF(TOTALCO!N1375="", "",TOTALCO!N1375)</f>
        <v>8.0312939227037283</v>
      </c>
      <c r="O843" s="12">
        <f ca="1">IF(TOTALCO!O1375="", "",TOTALCO!O1375)</f>
        <v>6.9016216918967936</v>
      </c>
      <c r="P843" s="12">
        <f ca="1">IF(TOTALCO!P1375="", "",TOTALCO!P1375)</f>
        <v>1.1296722308069354</v>
      </c>
      <c r="Q843" s="12"/>
      <c r="R843" s="13"/>
    </row>
    <row r="844" spans="1:18" ht="15" x14ac:dyDescent="0.2">
      <c r="A844" s="382">
        <f>IF(TOTALCO!A1376="", "",TOTALCO!A1376)</f>
        <v>7</v>
      </c>
      <c r="B844" s="4" t="str">
        <f>IF(TOTALCO!B1376="", "",TOTALCO!B1376)</f>
        <v xml:space="preserve">      FERC 586</v>
      </c>
      <c r="C844" s="4" t="str">
        <f>IF(TOTALCO!C1376="", "",TOTALCO!C1376)</f>
        <v>DISTPLT</v>
      </c>
      <c r="D844" s="12">
        <f ca="1">IF(TOTALCO!D1376="", "",TOTALCO!D1376)</f>
        <v>4583824.42</v>
      </c>
      <c r="E844" s="12" t="str">
        <f>IF(TOTALCO!E1376="", "",TOTALCO!E1376)</f>
        <v/>
      </c>
      <c r="F844" s="12">
        <f ca="1">IF(TOTALCO!F1376="", "",TOTALCO!F1376)</f>
        <v>4312676.0085812639</v>
      </c>
      <c r="G844" s="12" t="str">
        <f>IF(TOTALCO!G1376="", "",TOTALCO!G1376)</f>
        <v/>
      </c>
      <c r="H844" s="12">
        <f ca="1">IF(TOTALCO!H1376="", "",TOTALCO!H1376)</f>
        <v>256812.66616055771</v>
      </c>
      <c r="I844" s="12">
        <f ca="1">IF(TOTALCO!I1376="", "",TOTALCO!I1376)</f>
        <v>14335.745258178717</v>
      </c>
      <c r="J844" s="12" t="str">
        <f>IF(TOTALCO!J1376="", "",TOTALCO!J1376)</f>
        <v/>
      </c>
      <c r="K844" s="12" t="str">
        <f>IF(TOTALCO!K1376="", "",TOTALCO!K1376)</f>
        <v/>
      </c>
      <c r="L844" s="12">
        <f ca="1">IF(TOTALCO!L1376="", "",TOTALCO!L1376)</f>
        <v>518.06116193961725</v>
      </c>
      <c r="M844" s="12" t="str">
        <f>IF(TOTALCO!M1376="", "",TOTALCO!M1376)</f>
        <v/>
      </c>
      <c r="N844" s="12">
        <f ca="1">IF(TOTALCO!N1376="", "",TOTALCO!N1376)</f>
        <v>13817.6840962391</v>
      </c>
      <c r="O844" s="12">
        <f ca="1">IF(TOTALCO!O1376="", "",TOTALCO!O1376)</f>
        <v>11874.105120321228</v>
      </c>
      <c r="P844" s="12">
        <f ca="1">IF(TOTALCO!P1376="", "",TOTALCO!P1376)</f>
        <v>1943.578975917871</v>
      </c>
      <c r="Q844" s="12"/>
      <c r="R844" s="13"/>
    </row>
    <row r="845" spans="1:18" ht="15" x14ac:dyDescent="0.2">
      <c r="A845" s="382">
        <f>IF(TOTALCO!A1377="", "",TOTALCO!A1377)</f>
        <v>8</v>
      </c>
      <c r="B845" s="4" t="str">
        <f>IF(TOTALCO!B1377="", "",TOTALCO!B1377)</f>
        <v xml:space="preserve">      FERC 587</v>
      </c>
      <c r="C845" s="4" t="str">
        <f>IF(TOTALCO!C1377="", "",TOTALCO!C1377)</f>
        <v>DISTPLT</v>
      </c>
      <c r="D845" s="12">
        <f ca="1">IF(TOTALCO!D1377="", "",TOTALCO!D1377)</f>
        <v>1733.3200000000004</v>
      </c>
      <c r="E845" s="12" t="str">
        <f>IF(TOTALCO!E1377="", "",TOTALCO!E1377)</f>
        <v/>
      </c>
      <c r="F845" s="12">
        <f ca="1">IF(TOTALCO!F1377="", "",TOTALCO!F1377)</f>
        <v>1630.7883754400168</v>
      </c>
      <c r="G845" s="12" t="str">
        <f>IF(TOTALCO!G1377="", "",TOTALCO!G1377)</f>
        <v/>
      </c>
      <c r="H845" s="12">
        <f ca="1">IF(TOTALCO!H1377="", "",TOTALCO!H1377)</f>
        <v>97.110728885513893</v>
      </c>
      <c r="I845" s="12">
        <f ca="1">IF(TOTALCO!I1377="", "",TOTALCO!I1377)</f>
        <v>5.4208956744696462</v>
      </c>
      <c r="J845" s="12" t="str">
        <f>IF(TOTALCO!J1377="", "",TOTALCO!J1377)</f>
        <v/>
      </c>
      <c r="K845" s="12" t="str">
        <f>IF(TOTALCO!K1377="", "",TOTALCO!K1377)</f>
        <v/>
      </c>
      <c r="L845" s="12">
        <f ca="1">IF(TOTALCO!L1377="", "",TOTALCO!L1377)</f>
        <v>0.19589881525461603</v>
      </c>
      <c r="M845" s="12" t="str">
        <f>IF(TOTALCO!M1377="", "",TOTALCO!M1377)</f>
        <v/>
      </c>
      <c r="N845" s="12">
        <f ca="1">IF(TOTALCO!N1377="", "",TOTALCO!N1377)</f>
        <v>5.2249968592150298</v>
      </c>
      <c r="O845" s="12">
        <f ca="1">IF(TOTALCO!O1377="", "",TOTALCO!O1377)</f>
        <v>4.490055028581394</v>
      </c>
      <c r="P845" s="12">
        <f ca="1">IF(TOTALCO!P1377="", "",TOTALCO!P1377)</f>
        <v>0.73494183063363594</v>
      </c>
      <c r="Q845" s="12"/>
      <c r="R845" s="13"/>
    </row>
    <row r="846" spans="1:18" ht="15" x14ac:dyDescent="0.2">
      <c r="A846" s="382">
        <f>IF(TOTALCO!A1378="", "",TOTALCO!A1378)</f>
        <v>9</v>
      </c>
      <c r="B846" s="4" t="str">
        <f>IF(TOTALCO!B1378="", "",TOTALCO!B1378)</f>
        <v xml:space="preserve">      FERC 588</v>
      </c>
      <c r="C846" s="4" t="str">
        <f>IF(TOTALCO!C1378="", "",TOTALCO!C1378)</f>
        <v>DISTPLT</v>
      </c>
      <c r="D846" s="12">
        <f ca="1">IF(TOTALCO!D1378="", "",TOTALCO!D1378)</f>
        <v>2781961.52</v>
      </c>
      <c r="E846" s="12" t="str">
        <f>IF(TOTALCO!E1378="", "",TOTALCO!E1378)</f>
        <v/>
      </c>
      <c r="F846" s="12">
        <f ca="1">IF(TOTALCO!F1378="", "",TOTALCO!F1378)</f>
        <v>2617399.2729198528</v>
      </c>
      <c r="G846" s="12" t="str">
        <f>IF(TOTALCO!G1378="", "",TOTALCO!G1378)</f>
        <v/>
      </c>
      <c r="H846" s="12">
        <f ca="1">IF(TOTALCO!H1378="", "",TOTALCO!H1378)</f>
        <v>155861.7629397065</v>
      </c>
      <c r="I846" s="12">
        <f ca="1">IF(TOTALCO!I1378="", "",TOTALCO!I1378)</f>
        <v>8700.484140440889</v>
      </c>
      <c r="J846" s="12" t="str">
        <f>IF(TOTALCO!J1378="", "",TOTALCO!J1378)</f>
        <v/>
      </c>
      <c r="K846" s="12" t="str">
        <f>IF(TOTALCO!K1378="", "",TOTALCO!K1378)</f>
        <v/>
      </c>
      <c r="L846" s="12">
        <f ca="1">IF(TOTALCO!L1378="", "",TOTALCO!L1378)</f>
        <v>314.41566811202244</v>
      </c>
      <c r="M846" s="12" t="str">
        <f>IF(TOTALCO!M1378="", "",TOTALCO!M1378)</f>
        <v/>
      </c>
      <c r="N846" s="12">
        <f ca="1">IF(TOTALCO!N1378="", "",TOTALCO!N1378)</f>
        <v>8386.0684723288668</v>
      </c>
      <c r="O846" s="12">
        <f ca="1">IF(TOTALCO!O1378="", "",TOTALCO!O1378)</f>
        <v>7206.49407622132</v>
      </c>
      <c r="P846" s="12">
        <f ca="1">IF(TOTALCO!P1378="", "",TOTALCO!P1378)</f>
        <v>1179.5743961075464</v>
      </c>
      <c r="Q846" s="12"/>
      <c r="R846" s="13"/>
    </row>
    <row r="847" spans="1:18" ht="15" x14ac:dyDescent="0.2">
      <c r="A847" s="382">
        <f>IF(TOTALCO!A1379="", "",TOTALCO!A1379)</f>
        <v>10</v>
      </c>
      <c r="B847" s="4" t="str">
        <f>IF(TOTALCO!B1379="", "",TOTALCO!B1379)</f>
        <v xml:space="preserve">      FERC 589</v>
      </c>
      <c r="C847" s="4" t="str">
        <f>IF(TOTALCO!C1379="", "",TOTALCO!C1379)</f>
        <v>DISTPLT</v>
      </c>
      <c r="D847" s="12">
        <f ca="1">IF(TOTALCO!D1379="", "",TOTALCO!D1379)</f>
        <v>0</v>
      </c>
      <c r="E847" s="12" t="str">
        <f>IF(TOTALCO!E1379="", "",TOTALCO!E1379)</f>
        <v/>
      </c>
      <c r="F847" s="12">
        <f ca="1">IF(TOTALCO!F1379="", "",TOTALCO!F1379)</f>
        <v>0</v>
      </c>
      <c r="G847" s="12" t="str">
        <f>IF(TOTALCO!G1379="", "",TOTALCO!G1379)</f>
        <v/>
      </c>
      <c r="H847" s="12">
        <f ca="1">IF(TOTALCO!H1379="", "",TOTALCO!H1379)</f>
        <v>0</v>
      </c>
      <c r="I847" s="12">
        <f ca="1">IF(TOTALCO!I1379="", "",TOTALCO!I1379)</f>
        <v>0</v>
      </c>
      <c r="J847" s="12" t="str">
        <f>IF(TOTALCO!J1379="", "",TOTALCO!J1379)</f>
        <v/>
      </c>
      <c r="K847" s="12" t="str">
        <f>IF(TOTALCO!K1379="", "",TOTALCO!K1379)</f>
        <v/>
      </c>
      <c r="L847" s="12">
        <f ca="1">IF(TOTALCO!L1379="", "",TOTALCO!L1379)</f>
        <v>0</v>
      </c>
      <c r="M847" s="12" t="str">
        <f>IF(TOTALCO!M1379="", "",TOTALCO!M1379)</f>
        <v/>
      </c>
      <c r="N847" s="12">
        <f ca="1">IF(TOTALCO!N1379="", "",TOTALCO!N1379)</f>
        <v>0</v>
      </c>
      <c r="O847" s="12">
        <f ca="1">IF(TOTALCO!O1379="", "",TOTALCO!O1379)</f>
        <v>0</v>
      </c>
      <c r="P847" s="12">
        <f ca="1">IF(TOTALCO!P1379="", "",TOTALCO!P1379)</f>
        <v>0</v>
      </c>
      <c r="Q847" s="12"/>
      <c r="R847" s="13"/>
    </row>
    <row r="848" spans="1:18" ht="15" x14ac:dyDescent="0.2">
      <c r="A848" s="382">
        <f>IF(TOTALCO!A1380="", "",TOTALCO!A1380)</f>
        <v>11</v>
      </c>
      <c r="B848" s="4" t="str">
        <f>IF(TOTALCO!B1380="", "",TOTALCO!B1380)</f>
        <v xml:space="preserve">      FERC 590</v>
      </c>
      <c r="C848" s="4" t="str">
        <f>IF(TOTALCO!C1380="", "",TOTALCO!C1380)</f>
        <v>DISTPLT</v>
      </c>
      <c r="D848" s="12">
        <f ca="1">IF(TOTALCO!D1380="", "",TOTALCO!D1380)</f>
        <v>89122.07</v>
      </c>
      <c r="E848" s="12" t="str">
        <f>IF(TOTALCO!E1380="", "",TOTALCO!E1380)</f>
        <v/>
      </c>
      <c r="F848" s="12">
        <f ca="1">IF(TOTALCO!F1380="", "",TOTALCO!F1380)</f>
        <v>83850.204088772676</v>
      </c>
      <c r="G848" s="12" t="str">
        <f>IF(TOTALCO!G1380="", "",TOTALCO!G1380)</f>
        <v/>
      </c>
      <c r="H848" s="12">
        <f ca="1">IF(TOTALCO!H1380="", "",TOTALCO!H1380)</f>
        <v>4993.1398573176275</v>
      </c>
      <c r="I848" s="12">
        <f ca="1">IF(TOTALCO!I1380="", "",TOTALCO!I1380)</f>
        <v>278.72605390971142</v>
      </c>
      <c r="J848" s="12" t="str">
        <f>IF(TOTALCO!J1380="", "",TOTALCO!J1380)</f>
        <v/>
      </c>
      <c r="K848" s="12" t="str">
        <f>IF(TOTALCO!K1380="", "",TOTALCO!K1380)</f>
        <v/>
      </c>
      <c r="L848" s="12">
        <f ca="1">IF(TOTALCO!L1380="", "",TOTALCO!L1380)</f>
        <v>10.072524361363717</v>
      </c>
      <c r="M848" s="12" t="str">
        <f>IF(TOTALCO!M1380="", "",TOTALCO!M1380)</f>
        <v/>
      </c>
      <c r="N848" s="12">
        <f ca="1">IF(TOTALCO!N1380="", "",TOTALCO!N1380)</f>
        <v>268.65352954834771</v>
      </c>
      <c r="O848" s="12">
        <f ca="1">IF(TOTALCO!O1380="", "",TOTALCO!O1380)</f>
        <v>230.86504428558086</v>
      </c>
      <c r="P848" s="12">
        <f ca="1">IF(TOTALCO!P1380="", "",TOTALCO!P1380)</f>
        <v>37.788485262766855</v>
      </c>
      <c r="Q848" s="12"/>
      <c r="R848" s="13"/>
    </row>
    <row r="849" spans="1:18" ht="15" x14ac:dyDescent="0.2">
      <c r="A849" s="382">
        <f>IF(TOTALCO!A1382="", "",TOTALCO!A1382)</f>
        <v>13</v>
      </c>
      <c r="B849" s="4" t="str">
        <f>IF(TOTALCO!B1382="", "",TOTALCO!B1382)</f>
        <v xml:space="preserve">      FERC 592</v>
      </c>
      <c r="C849" s="4" t="str">
        <f>IF(TOTALCO!C1382="", "",TOTALCO!C1382)</f>
        <v>DISTPLT</v>
      </c>
      <c r="D849" s="12">
        <f ca="1">IF(TOTALCO!D1382="", "",TOTALCO!D1382)</f>
        <v>350790.98000000004</v>
      </c>
      <c r="E849" s="12" t="str">
        <f>IF(TOTALCO!E1382="", "",TOTALCO!E1382)</f>
        <v/>
      </c>
      <c r="F849" s="12">
        <f ca="1">IF(TOTALCO!F1382="", "",TOTALCO!F1382)</f>
        <v>330040.53053862607</v>
      </c>
      <c r="G849" s="12" t="str">
        <f>IF(TOTALCO!G1382="", "",TOTALCO!G1382)</f>
        <v/>
      </c>
      <c r="H849" s="12">
        <f ca="1">IF(TOTALCO!H1382="", "",TOTALCO!H1382)</f>
        <v>19653.36334563942</v>
      </c>
      <c r="I849" s="12">
        <f ca="1">IF(TOTALCO!I1382="", "",TOTALCO!I1382)</f>
        <v>1097.0861157345255</v>
      </c>
      <c r="J849" s="12" t="str">
        <f>IF(TOTALCO!J1382="", "",TOTALCO!J1382)</f>
        <v/>
      </c>
      <c r="K849" s="12" t="str">
        <f>IF(TOTALCO!K1382="", "",TOTALCO!K1382)</f>
        <v/>
      </c>
      <c r="L849" s="12">
        <f ca="1">IF(TOTALCO!L1382="", "",TOTALCO!L1382)</f>
        <v>39.64619192301808</v>
      </c>
      <c r="M849" s="12" t="str">
        <f>IF(TOTALCO!M1382="", "",TOTALCO!M1382)</f>
        <v/>
      </c>
      <c r="N849" s="12">
        <f ca="1">IF(TOTALCO!N1382="", "",TOTALCO!N1382)</f>
        <v>1057.4399238115075</v>
      </c>
      <c r="O849" s="12">
        <f ca="1">IF(TOTALCO!O1382="", "",TOTALCO!O1382)</f>
        <v>908.70168447257004</v>
      </c>
      <c r="P849" s="12">
        <f ca="1">IF(TOTALCO!P1382="", "",TOTALCO!P1382)</f>
        <v>148.73823933893749</v>
      </c>
      <c r="Q849" s="12"/>
      <c r="R849" s="13"/>
    </row>
    <row r="850" spans="1:18" ht="15" x14ac:dyDescent="0.2">
      <c r="A850" s="382">
        <f>IF(TOTALCO!A1383="", "",TOTALCO!A1383)</f>
        <v>14</v>
      </c>
      <c r="B850" s="4" t="str">
        <f>IF(TOTALCO!B1383="", "",TOTALCO!B1383)</f>
        <v xml:space="preserve">      FERC 593</v>
      </c>
      <c r="C850" s="4" t="str">
        <f>IF(TOTALCO!C1383="", "",TOTALCO!C1383)</f>
        <v>DISTPLT</v>
      </c>
      <c r="D850" s="12">
        <f ca="1">IF(TOTALCO!D1383="", "",TOTALCO!D1383)</f>
        <v>6644011.8900000015</v>
      </c>
      <c r="E850" s="12" t="str">
        <f>IF(TOTALCO!E1383="", "",TOTALCO!E1383)</f>
        <v/>
      </c>
      <c r="F850" s="12">
        <f ca="1">IF(TOTALCO!F1383="", "",TOTALCO!F1383)</f>
        <v>6250996.5594911817</v>
      </c>
      <c r="G850" s="12" t="str">
        <f>IF(TOTALCO!G1383="", "",TOTALCO!G1383)</f>
        <v/>
      </c>
      <c r="H850" s="12">
        <f ca="1">IF(TOTALCO!H1383="", "",TOTALCO!H1383)</f>
        <v>372236.42337359558</v>
      </c>
      <c r="I850" s="12">
        <f ca="1">IF(TOTALCO!I1383="", "",TOTALCO!I1383)</f>
        <v>20778.907135223675</v>
      </c>
      <c r="J850" s="12" t="str">
        <f>IF(TOTALCO!J1383="", "",TOTALCO!J1383)</f>
        <v/>
      </c>
      <c r="K850" s="12" t="str">
        <f>IF(TOTALCO!K1383="", "",TOTALCO!K1383)</f>
        <v/>
      </c>
      <c r="L850" s="12">
        <f ca="1">IF(TOTALCO!L1383="", "",TOTALCO!L1383)</f>
        <v>750.90234797301264</v>
      </c>
      <c r="M850" s="12" t="str">
        <f>IF(TOTALCO!M1383="", "",TOTALCO!M1383)</f>
        <v/>
      </c>
      <c r="N850" s="12">
        <f ca="1">IF(TOTALCO!N1383="", "",TOTALCO!N1383)</f>
        <v>20028.004787250662</v>
      </c>
      <c r="O850" s="12">
        <f ca="1">IF(TOTALCO!O1383="", "",TOTALCO!O1383)</f>
        <v>17210.889504909119</v>
      </c>
      <c r="P850" s="12">
        <f ca="1">IF(TOTALCO!P1383="", "",TOTALCO!P1383)</f>
        <v>2817.1152823415432</v>
      </c>
      <c r="Q850" s="12"/>
      <c r="R850" s="13"/>
    </row>
    <row r="851" spans="1:18" ht="15" x14ac:dyDescent="0.2">
      <c r="A851" s="382">
        <f>IF(TOTALCO!A1384="", "",TOTALCO!A1384)</f>
        <v>15</v>
      </c>
      <c r="B851" s="4" t="str">
        <f>IF(TOTALCO!B1384="", "",TOTALCO!B1384)</f>
        <v xml:space="preserve">      FERC 594</v>
      </c>
      <c r="C851" s="4" t="str">
        <f>IF(TOTALCO!C1384="", "",TOTALCO!C1384)</f>
        <v>DISTPLT</v>
      </c>
      <c r="D851" s="12">
        <f ca="1">IF(TOTALCO!D1384="", "",TOTALCO!D1384)</f>
        <v>178369.87</v>
      </c>
      <c r="E851" s="12" t="str">
        <f>IF(TOTALCO!E1384="", "",TOTALCO!E1384)</f>
        <v/>
      </c>
      <c r="F851" s="12">
        <f ca="1">IF(TOTALCO!F1384="", "",TOTALCO!F1384)</f>
        <v>167818.70083120654</v>
      </c>
      <c r="G851" s="12" t="str">
        <f>IF(TOTALCO!G1384="", "",TOTALCO!G1384)</f>
        <v/>
      </c>
      <c r="H851" s="12">
        <f ca="1">IF(TOTALCO!H1384="", "",TOTALCO!H1384)</f>
        <v>9993.323844941704</v>
      </c>
      <c r="I851" s="12">
        <f ca="1">IF(TOTALCO!I1384="", "",TOTALCO!I1384)</f>
        <v>557.84532385174862</v>
      </c>
      <c r="J851" s="12" t="str">
        <f>IF(TOTALCO!J1384="", "",TOTALCO!J1384)</f>
        <v/>
      </c>
      <c r="K851" s="12" t="str">
        <f>IF(TOTALCO!K1384="", "",TOTALCO!K1384)</f>
        <v/>
      </c>
      <c r="L851" s="12">
        <f ca="1">IF(TOTALCO!L1384="", "",TOTALCO!L1384)</f>
        <v>20.15925865398188</v>
      </c>
      <c r="M851" s="12" t="str">
        <f>IF(TOTALCO!M1384="", "",TOTALCO!M1384)</f>
        <v/>
      </c>
      <c r="N851" s="12">
        <f ca="1">IF(TOTALCO!N1384="", "",TOTALCO!N1384)</f>
        <v>537.68606519776677</v>
      </c>
      <c r="O851" s="12">
        <f ca="1">IF(TOTALCO!O1384="", "",TOTALCO!O1384)</f>
        <v>462.05578412578723</v>
      </c>
      <c r="P851" s="12">
        <f ca="1">IF(TOTALCO!P1384="", "",TOTALCO!P1384)</f>
        <v>75.630281071979581</v>
      </c>
      <c r="Q851" s="12"/>
      <c r="R851" s="13"/>
    </row>
    <row r="852" spans="1:18" ht="15" x14ac:dyDescent="0.2">
      <c r="A852" s="382">
        <f>IF(TOTALCO!A1385="", "",TOTALCO!A1385)</f>
        <v>16</v>
      </c>
      <c r="B852" s="4" t="str">
        <f>IF(TOTALCO!B1385="", "",TOTALCO!B1385)</f>
        <v xml:space="preserve">      FERC 595</v>
      </c>
      <c r="C852" s="4" t="str">
        <f>IF(TOTALCO!C1385="", "",TOTALCO!C1385)</f>
        <v>DISTPLT</v>
      </c>
      <c r="D852" s="12">
        <f ca="1">IF(TOTALCO!D1385="", "",TOTALCO!D1385)</f>
        <v>72638.320000000007</v>
      </c>
      <c r="E852" s="12" t="str">
        <f>IF(TOTALCO!E1385="", "",TOTALCO!E1385)</f>
        <v/>
      </c>
      <c r="F852" s="12">
        <f ca="1">IF(TOTALCO!F1385="", "",TOTALCO!F1385)</f>
        <v>68341.522550649664</v>
      </c>
      <c r="G852" s="12" t="str">
        <f>IF(TOTALCO!G1385="", "",TOTALCO!G1385)</f>
        <v/>
      </c>
      <c r="H852" s="12">
        <f ca="1">IF(TOTALCO!H1385="", "",TOTALCO!H1385)</f>
        <v>4069.6237280012929</v>
      </c>
      <c r="I852" s="12">
        <f ca="1">IF(TOTALCO!I1385="", "",TOTALCO!I1385)</f>
        <v>227.17372134905384</v>
      </c>
      <c r="J852" s="12" t="str">
        <f>IF(TOTALCO!J1385="", "",TOTALCO!J1385)</f>
        <v/>
      </c>
      <c r="K852" s="12" t="str">
        <f>IF(TOTALCO!K1385="", "",TOTALCO!K1385)</f>
        <v/>
      </c>
      <c r="L852" s="12">
        <f ca="1">IF(TOTALCO!L1385="", "",TOTALCO!L1385)</f>
        <v>8.209540552284448</v>
      </c>
      <c r="M852" s="12" t="str">
        <f>IF(TOTALCO!M1385="", "",TOTALCO!M1385)</f>
        <v/>
      </c>
      <c r="N852" s="12">
        <f ca="1">IF(TOTALCO!N1385="", "",TOTALCO!N1385)</f>
        <v>218.9641807967694</v>
      </c>
      <c r="O852" s="12">
        <f ca="1">IF(TOTALCO!O1385="", "",TOTALCO!O1385)</f>
        <v>188.16494010552262</v>
      </c>
      <c r="P852" s="12">
        <f ca="1">IF(TOTALCO!P1385="", "",TOTALCO!P1385)</f>
        <v>30.799240691246769</v>
      </c>
      <c r="Q852" s="12"/>
      <c r="R852" s="13"/>
    </row>
    <row r="853" spans="1:18" ht="15" x14ac:dyDescent="0.2">
      <c r="A853" s="382">
        <f>IF(TOTALCO!A1386="", "",TOTALCO!A1386)</f>
        <v>17</v>
      </c>
      <c r="B853" s="4" t="str">
        <f>IF(TOTALCO!B1386="", "",TOTALCO!B1386)</f>
        <v xml:space="preserve">      FERC 596</v>
      </c>
      <c r="C853" s="4" t="str">
        <f>IF(TOTALCO!C1386="", "",TOTALCO!C1386)</f>
        <v>DISTPLT</v>
      </c>
      <c r="D853" s="12">
        <f ca="1">IF(TOTALCO!D1386="", "",TOTALCO!D1386)</f>
        <v>0</v>
      </c>
      <c r="E853" s="12" t="str">
        <f>IF(TOTALCO!E1386="", "",TOTALCO!E1386)</f>
        <v/>
      </c>
      <c r="F853" s="12">
        <f ca="1">IF(TOTALCO!F1386="", "",TOTALCO!F1386)</f>
        <v>0</v>
      </c>
      <c r="G853" s="12" t="str">
        <f>IF(TOTALCO!G1386="", "",TOTALCO!G1386)</f>
        <v/>
      </c>
      <c r="H853" s="12">
        <f ca="1">IF(TOTALCO!H1386="", "",TOTALCO!H1386)</f>
        <v>0</v>
      </c>
      <c r="I853" s="12">
        <f ca="1">IF(TOTALCO!I1386="", "",TOTALCO!I1386)</f>
        <v>0</v>
      </c>
      <c r="J853" s="12" t="str">
        <f>IF(TOTALCO!J1386="", "",TOTALCO!J1386)</f>
        <v/>
      </c>
      <c r="K853" s="12" t="str">
        <f>IF(TOTALCO!K1386="", "",TOTALCO!K1386)</f>
        <v/>
      </c>
      <c r="L853" s="12">
        <f ca="1">IF(TOTALCO!L1386="", "",TOTALCO!L1386)</f>
        <v>0</v>
      </c>
      <c r="M853" s="12" t="str">
        <f>IF(TOTALCO!M1386="", "",TOTALCO!M1386)</f>
        <v/>
      </c>
      <c r="N853" s="12">
        <f ca="1">IF(TOTALCO!N1386="", "",TOTALCO!N1386)</f>
        <v>0</v>
      </c>
      <c r="O853" s="12">
        <f ca="1">IF(TOTALCO!O1386="", "",TOTALCO!O1386)</f>
        <v>0</v>
      </c>
      <c r="P853" s="12">
        <f ca="1">IF(TOTALCO!P1386="", "",TOTALCO!P1386)</f>
        <v>0</v>
      </c>
      <c r="Q853" s="12"/>
      <c r="R853" s="13"/>
    </row>
    <row r="854" spans="1:18" ht="15" x14ac:dyDescent="0.2">
      <c r="A854" s="382">
        <f>IF(TOTALCO!A1387="", "",TOTALCO!A1387)</f>
        <v>18</v>
      </c>
      <c r="B854" s="4" t="str">
        <f>IF(TOTALCO!B1387="", "",TOTALCO!B1387)</f>
        <v xml:space="preserve">      FERC 597</v>
      </c>
      <c r="C854" s="4" t="str">
        <f>IF(TOTALCO!C1387="", "",TOTALCO!C1387)</f>
        <v>DISTPLT</v>
      </c>
      <c r="D854" s="12">
        <f ca="1">IF(TOTALCO!D1387="", "",TOTALCO!D1387)</f>
        <v>0</v>
      </c>
      <c r="E854" s="12" t="str">
        <f>IF(TOTALCO!E1387="", "",TOTALCO!E1387)</f>
        <v/>
      </c>
      <c r="F854" s="12">
        <f ca="1">IF(TOTALCO!F1387="", "",TOTALCO!F1387)</f>
        <v>0</v>
      </c>
      <c r="G854" s="12" t="str">
        <f>IF(TOTALCO!G1387="", "",TOTALCO!G1387)</f>
        <v/>
      </c>
      <c r="H854" s="12">
        <f ca="1">IF(TOTALCO!H1387="", "",TOTALCO!H1387)</f>
        <v>0</v>
      </c>
      <c r="I854" s="12">
        <f ca="1">IF(TOTALCO!I1387="", "",TOTALCO!I1387)</f>
        <v>0</v>
      </c>
      <c r="J854" s="12" t="str">
        <f>IF(TOTALCO!J1387="", "",TOTALCO!J1387)</f>
        <v/>
      </c>
      <c r="K854" s="12" t="str">
        <f>IF(TOTALCO!K1387="", "",TOTALCO!K1387)</f>
        <v/>
      </c>
      <c r="L854" s="12">
        <f ca="1">IF(TOTALCO!L1387="", "",TOTALCO!L1387)</f>
        <v>0</v>
      </c>
      <c r="M854" s="12" t="str">
        <f>IF(TOTALCO!M1387="", "",TOTALCO!M1387)</f>
        <v/>
      </c>
      <c r="N854" s="12">
        <f ca="1">IF(TOTALCO!N1387="", "",TOTALCO!N1387)</f>
        <v>0</v>
      </c>
      <c r="O854" s="12">
        <f ca="1">IF(TOTALCO!O1387="", "",TOTALCO!O1387)</f>
        <v>0</v>
      </c>
      <c r="P854" s="12">
        <f ca="1">IF(TOTALCO!P1387="", "",TOTALCO!P1387)</f>
        <v>0</v>
      </c>
      <c r="Q854" s="12"/>
      <c r="R854" s="13"/>
    </row>
    <row r="855" spans="1:18" ht="15" x14ac:dyDescent="0.2">
      <c r="A855" s="382">
        <f>IF(TOTALCO!A1388="", "",TOTALCO!A1388)</f>
        <v>19</v>
      </c>
      <c r="B855" s="4" t="str">
        <f>IF(TOTALCO!B1388="", "",TOTALCO!B1388)</f>
        <v xml:space="preserve">      FERC 598</v>
      </c>
      <c r="C855" s="4" t="str">
        <f>IF(TOTALCO!C1388="", "",TOTALCO!C1388)</f>
        <v>DISTPLT</v>
      </c>
      <c r="D855" s="12">
        <f ca="1">IF(TOTALCO!D1388="", "",TOTALCO!D1388)</f>
        <v>70555.56</v>
      </c>
      <c r="E855" s="12" t="str">
        <f>IF(TOTALCO!E1388="", "",TOTALCO!E1388)</f>
        <v/>
      </c>
      <c r="F855" s="12">
        <f ca="1">IF(TOTALCO!F1388="", "",TOTALCO!F1388)</f>
        <v>66381.964709725042</v>
      </c>
      <c r="G855" s="12" t="str">
        <f>IF(TOTALCO!G1388="", "",TOTALCO!G1388)</f>
        <v/>
      </c>
      <c r="H855" s="12">
        <f ca="1">IF(TOTALCO!H1388="", "",TOTALCO!H1388)</f>
        <v>3952.9353255749702</v>
      </c>
      <c r="I855" s="12">
        <f ca="1">IF(TOTALCO!I1388="", "",TOTALCO!I1388)</f>
        <v>220.65996469998822</v>
      </c>
      <c r="J855" s="12" t="str">
        <f>IF(TOTALCO!J1388="", "",TOTALCO!J1388)</f>
        <v/>
      </c>
      <c r="K855" s="12" t="str">
        <f>IF(TOTALCO!K1388="", "",TOTALCO!K1388)</f>
        <v/>
      </c>
      <c r="L855" s="12">
        <f ca="1">IF(TOTALCO!L1388="", "",TOTALCO!L1388)</f>
        <v>7.974148232078309</v>
      </c>
      <c r="M855" s="12" t="str">
        <f>IF(TOTALCO!M1388="", "",TOTALCO!M1388)</f>
        <v/>
      </c>
      <c r="N855" s="12">
        <f ca="1">IF(TOTALCO!N1388="", "",TOTALCO!N1388)</f>
        <v>212.68581646790992</v>
      </c>
      <c r="O855" s="12">
        <f ca="1">IF(TOTALCO!O1388="", "",TOTALCO!O1388)</f>
        <v>182.76968302008646</v>
      </c>
      <c r="P855" s="12">
        <f ca="1">IF(TOTALCO!P1388="", "",TOTALCO!P1388)</f>
        <v>29.916133447823444</v>
      </c>
      <c r="Q855" s="12"/>
      <c r="R855" s="13"/>
    </row>
    <row r="856" spans="1:18" ht="15" x14ac:dyDescent="0.2">
      <c r="A856" s="382" t="str">
        <f>IF(TOTALCO!A1389="", "",TOTALCO!A1389)</f>
        <v/>
      </c>
      <c r="B856" s="4" t="str">
        <f>IF(TOTALCO!B1389="", "",TOTALCO!B1389)</f>
        <v/>
      </c>
      <c r="C856" s="4" t="str">
        <f>IF(TOTALCO!C1389="", "",TOTALCO!C1389)</f>
        <v/>
      </c>
      <c r="D856" s="12" t="str">
        <f>IF(TOTALCO!D1389="", "",TOTALCO!D1389)</f>
        <v/>
      </c>
      <c r="E856" s="12" t="str">
        <f>IF(TOTALCO!E1389="", "",TOTALCO!E1389)</f>
        <v/>
      </c>
      <c r="F856" s="12" t="str">
        <f>IF(TOTALCO!F1389="", "",TOTALCO!F1389)</f>
        <v/>
      </c>
      <c r="G856" s="12" t="str">
        <f>IF(TOTALCO!G1389="", "",TOTALCO!G1389)</f>
        <v/>
      </c>
      <c r="H856" s="12" t="str">
        <f>IF(TOTALCO!H1389="", "",TOTALCO!H1389)</f>
        <v/>
      </c>
      <c r="I856" s="12" t="str">
        <f>IF(TOTALCO!I1389="", "",TOTALCO!I1389)</f>
        <v/>
      </c>
      <c r="J856" s="12" t="str">
        <f>IF(TOTALCO!J1389="", "",TOTALCO!J1389)</f>
        <v/>
      </c>
      <c r="K856" s="12" t="str">
        <f>IF(TOTALCO!K1389="", "",TOTALCO!K1389)</f>
        <v/>
      </c>
      <c r="L856" s="12" t="str">
        <f>IF(TOTALCO!L1389="", "",TOTALCO!L1389)</f>
        <v/>
      </c>
      <c r="M856" s="12" t="str">
        <f>IF(TOTALCO!M1389="", "",TOTALCO!M1389)</f>
        <v/>
      </c>
      <c r="N856" s="12" t="str">
        <f>IF(TOTALCO!N1389="", "",TOTALCO!N1389)</f>
        <v/>
      </c>
      <c r="O856" s="12" t="str">
        <f>IF(TOTALCO!O1389="", "",TOTALCO!O1389)</f>
        <v/>
      </c>
      <c r="P856" s="12" t="str">
        <f>IF(TOTALCO!P1389="", "",TOTALCO!P1389)</f>
        <v/>
      </c>
      <c r="Q856" s="12"/>
      <c r="R856" s="13"/>
    </row>
    <row r="857" spans="1:18" ht="15" x14ac:dyDescent="0.2">
      <c r="A857" s="382">
        <f>IF(TOTALCO!A1390="", "",TOTALCO!A1390)</f>
        <v>20</v>
      </c>
      <c r="B857" s="4" t="str">
        <f>IF(TOTALCO!B1390="", "",TOTALCO!B1390)</f>
        <v xml:space="preserve"> TOTAL DISTRIBUTION LABOR</v>
      </c>
      <c r="C857" s="4" t="str">
        <f>IF(TOTALCO!C1390="", "",TOTALCO!C1390)</f>
        <v>DISTPLT</v>
      </c>
      <c r="D857" s="12">
        <f ca="1">IF(TOTALCO!D1390="", "",TOTALCO!D1390)</f>
        <v>19510181.420000006</v>
      </c>
      <c r="E857" s="12" t="str">
        <f>IF(TOTALCO!E1390="", "",TOTALCO!E1390)</f>
        <v/>
      </c>
      <c r="F857" s="12">
        <f ca="1">IF(TOTALCO!F1390="", "",TOTALCO!F1390)</f>
        <v>18356089.505954929</v>
      </c>
      <c r="G857" s="12" t="str">
        <f>IF(TOTALCO!G1390="", "",TOTALCO!G1390)</f>
        <v/>
      </c>
      <c r="H857" s="12">
        <f ca="1">IF(TOTALCO!H1390="", "",TOTALCO!H1390)</f>
        <v>1093074.5265645182</v>
      </c>
      <c r="I857" s="12">
        <f ca="1">IF(TOTALCO!I1390="", "",TOTALCO!I1390)</f>
        <v>61017.387480555277</v>
      </c>
      <c r="J857" s="12" t="str">
        <f>IF(TOTALCO!J1390="", "",TOTALCO!J1390)</f>
        <v/>
      </c>
      <c r="K857" s="12" t="str">
        <f>IF(TOTALCO!K1390="", "",TOTALCO!K1390)</f>
        <v/>
      </c>
      <c r="L857" s="12">
        <f ca="1">IF(TOTALCO!L1390="", "",TOTALCO!L1390)</f>
        <v>2205.0293226759177</v>
      </c>
      <c r="M857" s="12" t="str">
        <f>IF(TOTALCO!M1390="", "",TOTALCO!M1390)</f>
        <v/>
      </c>
      <c r="N857" s="12">
        <f ca="1">IF(TOTALCO!N1390="", "",TOTALCO!N1390)</f>
        <v>58812.358157879353</v>
      </c>
      <c r="O857" s="12">
        <f ca="1">IF(TOTALCO!O1390="", "",TOTALCO!O1390)</f>
        <v>50539.881956826372</v>
      </c>
      <c r="P857" s="12">
        <f ca="1">IF(TOTALCO!P1390="", "",TOTALCO!P1390)</f>
        <v>8272.4762010529794</v>
      </c>
      <c r="Q857" s="12"/>
      <c r="R857" s="13"/>
    </row>
    <row r="858" spans="1:18" ht="15" x14ac:dyDescent="0.2">
      <c r="A858" s="382" t="str">
        <f>IF(TOTALCO!A1391="", "",TOTALCO!A1391)</f>
        <v/>
      </c>
      <c r="B858" s="4" t="str">
        <f>IF(TOTALCO!B1391="", "",TOTALCO!B1391)</f>
        <v/>
      </c>
      <c r="C858" s="4" t="str">
        <f>IF(TOTALCO!C1391="", "",TOTALCO!C1391)</f>
        <v/>
      </c>
      <c r="D858" s="12" t="str">
        <f>IF(TOTALCO!D1391="", "",TOTALCO!D1391)</f>
        <v/>
      </c>
      <c r="E858" s="12" t="str">
        <f>IF(TOTALCO!E1391="", "",TOTALCO!E1391)</f>
        <v/>
      </c>
      <c r="F858" s="12" t="str">
        <f>IF(TOTALCO!F1391="", "",TOTALCO!F1391)</f>
        <v/>
      </c>
      <c r="G858" s="12" t="str">
        <f>IF(TOTALCO!G1391="", "",TOTALCO!G1391)</f>
        <v/>
      </c>
      <c r="H858" s="12" t="str">
        <f>IF(TOTALCO!H1391="", "",TOTALCO!H1391)</f>
        <v/>
      </c>
      <c r="I858" s="12" t="str">
        <f>IF(TOTALCO!I1391="", "",TOTALCO!I1391)</f>
        <v/>
      </c>
      <c r="J858" s="12" t="str">
        <f>IF(TOTALCO!J1391="", "",TOTALCO!J1391)</f>
        <v/>
      </c>
      <c r="K858" s="12" t="str">
        <f>IF(TOTALCO!K1391="", "",TOTALCO!K1391)</f>
        <v/>
      </c>
      <c r="L858" s="12" t="str">
        <f>IF(TOTALCO!L1391="", "",TOTALCO!L1391)</f>
        <v/>
      </c>
      <c r="M858" s="12" t="str">
        <f>IF(TOTALCO!M1391="", "",TOTALCO!M1391)</f>
        <v/>
      </c>
      <c r="N858" s="12" t="str">
        <f>IF(TOTALCO!N1391="", "",TOTALCO!N1391)</f>
        <v/>
      </c>
      <c r="O858" s="12" t="str">
        <f>IF(TOTALCO!O1391="", "",TOTALCO!O1391)</f>
        <v/>
      </c>
      <c r="P858" s="12" t="str">
        <f>IF(TOTALCO!P1391="", "",TOTALCO!P1391)</f>
        <v/>
      </c>
      <c r="Q858" s="12"/>
      <c r="R858" s="13"/>
    </row>
    <row r="859" spans="1:18" ht="15" x14ac:dyDescent="0.2">
      <c r="A859" s="382">
        <f>IF(TOTALCO!A1392="", "",TOTALCO!A1392)</f>
        <v>21</v>
      </c>
      <c r="B859" s="4" t="str">
        <f>IF(TOTALCO!B1392="", "",TOTALCO!B1392)</f>
        <v xml:space="preserve"> TOT PROD, TRNS &amp; DISTR LABOR</v>
      </c>
      <c r="C859" s="4" t="str">
        <f>IF(TOTALCO!C1392="", "",TOTALCO!C1392)</f>
        <v/>
      </c>
      <c r="D859" s="12">
        <f ca="1">IF(TOTALCO!D1392="", "",TOTALCO!D1392)</f>
        <v>73385510.699999988</v>
      </c>
      <c r="E859" s="12" t="str">
        <f>IF(TOTALCO!E1392="", "",TOTALCO!E1392)</f>
        <v/>
      </c>
      <c r="F859" s="12">
        <f ca="1">IF(TOTALCO!F1392="", "",TOTALCO!F1392)</f>
        <v>64434373.699271724</v>
      </c>
      <c r="G859" s="12" t="str">
        <f>IF(TOTALCO!G1392="", "",TOTALCO!G1392)</f>
        <v/>
      </c>
      <c r="H859" s="12">
        <f ca="1">IF(TOTALCO!H1392="", "",TOTALCO!H1392)</f>
        <v>4125280.2933688816</v>
      </c>
      <c r="I859" s="12">
        <f ca="1">IF(TOTALCO!I1392="", "",TOTALCO!I1392)</f>
        <v>4825856.7073593931</v>
      </c>
      <c r="J859" s="12" t="str">
        <f>IF(TOTALCO!J1392="", "",TOTALCO!J1392)</f>
        <v/>
      </c>
      <c r="K859" s="12" t="str">
        <f>IF(TOTALCO!K1392="", "",TOTALCO!K1392)</f>
        <v/>
      </c>
      <c r="L859" s="12">
        <f ca="1">IF(TOTALCO!L1392="", "",TOTALCO!L1392)</f>
        <v>2550.4980684944144</v>
      </c>
      <c r="M859" s="12" t="str">
        <f>IF(TOTALCO!M1392="", "",TOTALCO!M1392)</f>
        <v/>
      </c>
      <c r="N859" s="12">
        <f ca="1">IF(TOTALCO!N1392="", "",TOTALCO!N1392)</f>
        <v>4823306.2092908984</v>
      </c>
      <c r="O859" s="12">
        <f ca="1">IF(TOTALCO!O1392="", "",TOTALCO!O1392)</f>
        <v>1563830.0073313776</v>
      </c>
      <c r="P859" s="12">
        <f ca="1">IF(TOTALCO!P1392="", "",TOTALCO!P1392)</f>
        <v>3259476.2019595206</v>
      </c>
      <c r="Q859" s="12"/>
      <c r="R859" s="13"/>
    </row>
    <row r="860" spans="1:18" ht="15" x14ac:dyDescent="0.2">
      <c r="A860" s="382" t="str">
        <f>IF(TOTALCO!A1393="", "",TOTALCO!A1393)</f>
        <v/>
      </c>
      <c r="B860" s="4" t="str">
        <f>IF(TOTALCO!B1393="", "",TOTALCO!B1393)</f>
        <v/>
      </c>
      <c r="C860" s="4" t="str">
        <f>IF(TOTALCO!C1393="", "",TOTALCO!C1393)</f>
        <v/>
      </c>
      <c r="D860" s="12" t="str">
        <f>IF(TOTALCO!D1393="", "",TOTALCO!D1393)</f>
        <v/>
      </c>
      <c r="E860" s="12" t="str">
        <f>IF(TOTALCO!E1393="", "",TOTALCO!E1393)</f>
        <v/>
      </c>
      <c r="F860" s="12" t="str">
        <f>IF(TOTALCO!F1393="", "",TOTALCO!F1393)</f>
        <v/>
      </c>
      <c r="G860" s="12" t="str">
        <f>IF(TOTALCO!G1393="", "",TOTALCO!G1393)</f>
        <v/>
      </c>
      <c r="H860" s="12" t="str">
        <f>IF(TOTALCO!H1393="", "",TOTALCO!H1393)</f>
        <v/>
      </c>
      <c r="I860" s="12" t="str">
        <f>IF(TOTALCO!I1393="", "",TOTALCO!I1393)</f>
        <v/>
      </c>
      <c r="J860" s="12" t="str">
        <f>IF(TOTALCO!J1393="", "",TOTALCO!J1393)</f>
        <v/>
      </c>
      <c r="K860" s="12" t="str">
        <f>IF(TOTALCO!K1393="", "",TOTALCO!K1393)</f>
        <v/>
      </c>
      <c r="L860" s="12" t="str">
        <f>IF(TOTALCO!L1393="", "",TOTALCO!L1393)</f>
        <v/>
      </c>
      <c r="M860" s="12" t="str">
        <f>IF(TOTALCO!M1393="", "",TOTALCO!M1393)</f>
        <v/>
      </c>
      <c r="N860" s="12" t="str">
        <f>IF(TOTALCO!N1393="", "",TOTALCO!N1393)</f>
        <v/>
      </c>
      <c r="O860" s="12" t="str">
        <f>IF(TOTALCO!O1393="", "",TOTALCO!O1393)</f>
        <v/>
      </c>
      <c r="P860" s="12" t="str">
        <f>IF(TOTALCO!P1393="", "",TOTALCO!P1393)</f>
        <v/>
      </c>
      <c r="Q860" s="12"/>
      <c r="R860" s="13"/>
    </row>
    <row r="861" spans="1:18" ht="15" x14ac:dyDescent="0.2">
      <c r="A861" s="382" t="str">
        <f>IF(TOTALCO!A1394="", "",TOTALCO!A1394)</f>
        <v/>
      </c>
      <c r="B861" s="4" t="str">
        <f>IF(TOTALCO!B1394="", "",TOTALCO!B1394)</f>
        <v/>
      </c>
      <c r="C861" s="4" t="str">
        <f>IF(TOTALCO!C1394="", "",TOTALCO!C1394)</f>
        <v/>
      </c>
      <c r="D861" s="12" t="str">
        <f>IF(TOTALCO!D1394="", "",TOTALCO!D1394)</f>
        <v/>
      </c>
      <c r="E861" s="12" t="str">
        <f>IF(TOTALCO!E1394="", "",TOTALCO!E1394)</f>
        <v/>
      </c>
      <c r="F861" s="12" t="str">
        <f>IF(TOTALCO!F1394="", "",TOTALCO!F1394)</f>
        <v/>
      </c>
      <c r="G861" s="12" t="str">
        <f>IF(TOTALCO!G1394="", "",TOTALCO!G1394)</f>
        <v/>
      </c>
      <c r="H861" s="12" t="str">
        <f>IF(TOTALCO!H1394="", "",TOTALCO!H1394)</f>
        <v/>
      </c>
      <c r="I861" s="12" t="str">
        <f>IF(TOTALCO!I1394="", "",TOTALCO!I1394)</f>
        <v/>
      </c>
      <c r="J861" s="12" t="str">
        <f>IF(TOTALCO!J1394="", "",TOTALCO!J1394)</f>
        <v/>
      </c>
      <c r="K861" s="12" t="str">
        <f>IF(TOTALCO!K1394="", "",TOTALCO!K1394)</f>
        <v/>
      </c>
      <c r="L861" s="12" t="str">
        <f>IF(TOTALCO!L1394="", "",TOTALCO!L1394)</f>
        <v/>
      </c>
      <c r="M861" s="12" t="str">
        <f>IF(TOTALCO!M1394="", "",TOTALCO!M1394)</f>
        <v/>
      </c>
      <c r="N861" s="12" t="str">
        <f>IF(TOTALCO!N1394="", "",TOTALCO!N1394)</f>
        <v/>
      </c>
      <c r="O861" s="12" t="str">
        <f>IF(TOTALCO!O1394="", "",TOTALCO!O1394)</f>
        <v/>
      </c>
      <c r="P861" s="12" t="str">
        <f>IF(TOTALCO!P1394="", "",TOTALCO!P1394)</f>
        <v/>
      </c>
      <c r="Q861" s="12"/>
      <c r="R861" s="13"/>
    </row>
    <row r="862" spans="1:18" ht="15" x14ac:dyDescent="0.2">
      <c r="A862" s="382" t="str">
        <f>IF(TOTALCO!A1395="", "",TOTALCO!A1395)</f>
        <v/>
      </c>
      <c r="B862" s="4" t="str">
        <f>IF(TOTALCO!B1395="", "",TOTALCO!B1395)</f>
        <v/>
      </c>
      <c r="C862" s="4" t="str">
        <f>IF(TOTALCO!C1395="", "",TOTALCO!C1395)</f>
        <v/>
      </c>
      <c r="D862" s="12" t="str">
        <f>IF(TOTALCO!D1395="", "",TOTALCO!D1395)</f>
        <v/>
      </c>
      <c r="E862" s="12" t="str">
        <f>IF(TOTALCO!E1395="", "",TOTALCO!E1395)</f>
        <v/>
      </c>
      <c r="F862" s="12" t="str">
        <f>IF(TOTALCO!F1395="", "",TOTALCO!F1395)</f>
        <v/>
      </c>
      <c r="G862" s="12" t="str">
        <f>IF(TOTALCO!G1395="", "",TOTALCO!G1395)</f>
        <v/>
      </c>
      <c r="H862" s="12" t="str">
        <f>IF(TOTALCO!H1395="", "",TOTALCO!H1395)</f>
        <v/>
      </c>
      <c r="I862" s="12" t="str">
        <f>IF(TOTALCO!I1395="", "",TOTALCO!I1395)</f>
        <v/>
      </c>
      <c r="J862" s="12" t="str">
        <f>IF(TOTALCO!J1395="", "",TOTALCO!J1395)</f>
        <v/>
      </c>
      <c r="K862" s="12" t="str">
        <f>IF(TOTALCO!K1395="", "",TOTALCO!K1395)</f>
        <v/>
      </c>
      <c r="L862" s="12" t="str">
        <f>IF(TOTALCO!L1395="", "",TOTALCO!L1395)</f>
        <v/>
      </c>
      <c r="M862" s="12" t="str">
        <f>IF(TOTALCO!M1395="", "",TOTALCO!M1395)</f>
        <v/>
      </c>
      <c r="N862" s="12" t="str">
        <f>IF(TOTALCO!N1395="", "",TOTALCO!N1395)</f>
        <v/>
      </c>
      <c r="O862" s="12" t="str">
        <f>IF(TOTALCO!O1395="", "",TOTALCO!O1395)</f>
        <v/>
      </c>
      <c r="P862" s="12" t="str">
        <f>IF(TOTALCO!P1395="", "",TOTALCO!P1395)</f>
        <v/>
      </c>
      <c r="Q862" s="12"/>
      <c r="R862" s="13"/>
    </row>
    <row r="863" spans="1:18" ht="15" x14ac:dyDescent="0.2">
      <c r="A863" s="382" t="str">
        <f>IF(TOTALCO!A1396="", "",TOTALCO!A1396)</f>
        <v/>
      </c>
      <c r="B863" s="4" t="str">
        <f>IF(TOTALCO!B1396="", "",TOTALCO!B1396)</f>
        <v/>
      </c>
      <c r="C863" s="4" t="str">
        <f>IF(TOTALCO!C1396="", "",TOTALCO!C1396)</f>
        <v/>
      </c>
      <c r="D863" s="12" t="str">
        <f>IF(TOTALCO!D1396="", "",TOTALCO!D1396)</f>
        <v/>
      </c>
      <c r="E863" s="12" t="str">
        <f>IF(TOTALCO!E1396="", "",TOTALCO!E1396)</f>
        <v/>
      </c>
      <c r="F863" s="12" t="str">
        <f>IF(TOTALCO!F1396="", "",TOTALCO!F1396)</f>
        <v/>
      </c>
      <c r="G863" s="12" t="str">
        <f>IF(TOTALCO!G1396="", "",TOTALCO!G1396)</f>
        <v/>
      </c>
      <c r="H863" s="12" t="str">
        <f>IF(TOTALCO!H1396="", "",TOTALCO!H1396)</f>
        <v/>
      </c>
      <c r="I863" s="12" t="str">
        <f>IF(TOTALCO!I1396="", "",TOTALCO!I1396)</f>
        <v/>
      </c>
      <c r="J863" s="12" t="str">
        <f>IF(TOTALCO!J1396="", "",TOTALCO!J1396)</f>
        <v/>
      </c>
      <c r="K863" s="12" t="str">
        <f>IF(TOTALCO!K1396="", "",TOTALCO!K1396)</f>
        <v/>
      </c>
      <c r="L863" s="12" t="str">
        <f>IF(TOTALCO!L1396="", "",TOTALCO!L1396)</f>
        <v/>
      </c>
      <c r="M863" s="12" t="str">
        <f>IF(TOTALCO!M1396="", "",TOTALCO!M1396)</f>
        <v/>
      </c>
      <c r="N863" s="12" t="str">
        <f>IF(TOTALCO!N1396="", "",TOTALCO!N1396)</f>
        <v/>
      </c>
      <c r="O863" s="12" t="str">
        <f>IF(TOTALCO!O1396="", "",TOTALCO!O1396)</f>
        <v/>
      </c>
      <c r="P863" s="12" t="str">
        <f>IF(TOTALCO!P1396="", "",TOTALCO!P1396)</f>
        <v/>
      </c>
      <c r="Q863" s="12"/>
      <c r="R863" s="13"/>
    </row>
    <row r="864" spans="1:18" ht="15" x14ac:dyDescent="0.2">
      <c r="A864" s="382" t="str">
        <f>IF(TOTALCO!A1397="", "",TOTALCO!A1397)</f>
        <v/>
      </c>
      <c r="B864" s="4" t="str">
        <f>IF(TOTALCO!B1397="", "",TOTALCO!B1397)</f>
        <v xml:space="preserve"> CUSTOMER ACCOUNTING</v>
      </c>
      <c r="C864" s="4" t="str">
        <f>IF(TOTALCO!C1397="", "",TOTALCO!C1397)</f>
        <v/>
      </c>
      <c r="D864" s="12" t="str">
        <f>IF(TOTALCO!D1397="", "",TOTALCO!D1397)</f>
        <v/>
      </c>
      <c r="E864" s="12" t="str">
        <f>IF(TOTALCO!E1397="", "",TOTALCO!E1397)</f>
        <v/>
      </c>
      <c r="F864" s="12" t="str">
        <f>IF(TOTALCO!F1397="", "",TOTALCO!F1397)</f>
        <v/>
      </c>
      <c r="G864" s="12" t="str">
        <f>IF(TOTALCO!G1397="", "",TOTALCO!G1397)</f>
        <v/>
      </c>
      <c r="H864" s="12" t="str">
        <f>IF(TOTALCO!H1397="", "",TOTALCO!H1397)</f>
        <v/>
      </c>
      <c r="I864" s="12" t="str">
        <f>IF(TOTALCO!I1397="", "",TOTALCO!I1397)</f>
        <v/>
      </c>
      <c r="J864" s="12" t="str">
        <f>IF(TOTALCO!J1397="", "",TOTALCO!J1397)</f>
        <v/>
      </c>
      <c r="K864" s="12" t="str">
        <f>IF(TOTALCO!K1397="", "",TOTALCO!K1397)</f>
        <v/>
      </c>
      <c r="L864" s="12" t="str">
        <f>IF(TOTALCO!L1397="", "",TOTALCO!L1397)</f>
        <v/>
      </c>
      <c r="M864" s="12" t="str">
        <f>IF(TOTALCO!M1397="", "",TOTALCO!M1397)</f>
        <v/>
      </c>
      <c r="N864" s="12" t="str">
        <f>IF(TOTALCO!N1397="", "",TOTALCO!N1397)</f>
        <v/>
      </c>
      <c r="O864" s="12" t="str">
        <f>IF(TOTALCO!O1397="", "",TOTALCO!O1397)</f>
        <v/>
      </c>
      <c r="P864" s="12" t="str">
        <f>IF(TOTALCO!P1397="", "",TOTALCO!P1397)</f>
        <v/>
      </c>
      <c r="Q864" s="12"/>
      <c r="R864" s="13"/>
    </row>
    <row r="865" spans="1:18" ht="15" x14ac:dyDescent="0.2">
      <c r="A865" s="382">
        <f>IF(TOTALCO!A1398="", "",TOTALCO!A1398)</f>
        <v>1</v>
      </c>
      <c r="B865" s="4" t="str">
        <f>IF(TOTALCO!B1398="", "",TOTALCO!B1398)</f>
        <v xml:space="preserve">      FERC 901</v>
      </c>
      <c r="C865" s="4" t="str">
        <f>IF(TOTALCO!C1398="", "",TOTALCO!C1398)</f>
        <v>EXP9025CA</v>
      </c>
      <c r="D865" s="12">
        <f ca="1">IF(TOTALCO!D1398="", "",TOTALCO!D1398)</f>
        <v>2455747.42</v>
      </c>
      <c r="E865" s="12" t="str">
        <f>IF(TOTALCO!E1398="", "",TOTALCO!E1398)</f>
        <v/>
      </c>
      <c r="F865" s="12">
        <f ca="1">IF(TOTALCO!F1398="", "",TOTALCO!F1398)</f>
        <v>2323402.4196050591</v>
      </c>
      <c r="G865" s="12" t="str">
        <f>IF(TOTALCO!G1398="", "",TOTALCO!G1398)</f>
        <v/>
      </c>
      <c r="H865" s="12">
        <f ca="1">IF(TOTALCO!H1398="", "",TOTALCO!H1398)</f>
        <v>129289.29269695199</v>
      </c>
      <c r="I865" s="12">
        <f ca="1">IF(TOTALCO!I1398="", "",TOTALCO!I1398)</f>
        <v>3055.7076979889034</v>
      </c>
      <c r="J865" s="12" t="str">
        <f>IF(TOTALCO!J1398="", "",TOTALCO!J1398)</f>
        <v/>
      </c>
      <c r="K865" s="12" t="str">
        <f>IF(TOTALCO!K1398="", "",TOTALCO!K1398)</f>
        <v/>
      </c>
      <c r="L865" s="12">
        <f ca="1">IF(TOTALCO!L1398="", "",TOTALCO!L1398)</f>
        <v>22.999950414970236</v>
      </c>
      <c r="M865" s="12" t="str">
        <f>IF(TOTALCO!M1398="", "",TOTALCO!M1398)</f>
        <v/>
      </c>
      <c r="N865" s="12">
        <f ca="1">IF(TOTALCO!N1398="", "",TOTALCO!N1398)</f>
        <v>3032.7077475739334</v>
      </c>
      <c r="O865" s="12">
        <f ca="1">IF(TOTALCO!O1398="", "",TOTALCO!O1398)</f>
        <v>1623.1393578564714</v>
      </c>
      <c r="P865" s="12">
        <f ca="1">IF(TOTALCO!P1398="", "",TOTALCO!P1398)</f>
        <v>1409.5683897174617</v>
      </c>
      <c r="Q865" s="12"/>
      <c r="R865" s="13"/>
    </row>
    <row r="866" spans="1:18" ht="15" x14ac:dyDescent="0.2">
      <c r="A866" s="382">
        <f>IF(TOTALCO!A1399="", "",TOTALCO!A1399)</f>
        <v>2</v>
      </c>
      <c r="B866" s="4" t="str">
        <f>IF(TOTALCO!B1399="", "",TOTALCO!B1399)</f>
        <v xml:space="preserve">      FERC 902</v>
      </c>
      <c r="C866" s="4" t="str">
        <f>IF(TOTALCO!C1399="", "",TOTALCO!C1399)</f>
        <v>EXP9025CA</v>
      </c>
      <c r="D866" s="12">
        <f ca="1">IF(TOTALCO!D1399="", "",TOTALCO!D1399)</f>
        <v>285948.58000000007</v>
      </c>
      <c r="E866" s="12" t="str">
        <f>IF(TOTALCO!E1399="", "",TOTALCO!E1399)</f>
        <v/>
      </c>
      <c r="F866" s="12">
        <f ca="1">IF(TOTALCO!F1399="", "",TOTALCO!F1399)</f>
        <v>270538.25537751394</v>
      </c>
      <c r="G866" s="12" t="str">
        <f>IF(TOTALCO!G1399="", "",TOTALCO!G1399)</f>
        <v/>
      </c>
      <c r="H866" s="12">
        <f ca="1">IF(TOTALCO!H1399="", "",TOTALCO!H1399)</f>
        <v>15054.516337799021</v>
      </c>
      <c r="I866" s="12">
        <f ca="1">IF(TOTALCO!I1399="", "",TOTALCO!I1399)</f>
        <v>355.80828468710996</v>
      </c>
      <c r="J866" s="12" t="str">
        <f>IF(TOTALCO!J1399="", "",TOTALCO!J1399)</f>
        <v/>
      </c>
      <c r="K866" s="12" t="str">
        <f>IF(TOTALCO!K1399="", "",TOTALCO!K1399)</f>
        <v/>
      </c>
      <c r="L866" s="12">
        <f ca="1">IF(TOTALCO!L1399="", "",TOTALCO!L1399)</f>
        <v>2.6781268739889996</v>
      </c>
      <c r="M866" s="12" t="str">
        <f>IF(TOTALCO!M1399="", "",TOTALCO!M1399)</f>
        <v/>
      </c>
      <c r="N866" s="12">
        <f ca="1">IF(TOTALCO!N1399="", "",TOTALCO!N1399)</f>
        <v>353.13015781312095</v>
      </c>
      <c r="O866" s="12">
        <f ca="1">IF(TOTALCO!O1399="", "",TOTALCO!O1399)</f>
        <v>188.99923939293799</v>
      </c>
      <c r="P866" s="12">
        <f ca="1">IF(TOTALCO!P1399="", "",TOTALCO!P1399)</f>
        <v>164.13091842018298</v>
      </c>
      <c r="Q866" s="12"/>
      <c r="R866" s="13"/>
    </row>
    <row r="867" spans="1:18" ht="15" x14ac:dyDescent="0.2">
      <c r="A867" s="382">
        <f>IF(TOTALCO!A1400="", "",TOTALCO!A1400)</f>
        <v>3</v>
      </c>
      <c r="B867" s="4" t="str">
        <f>IF(TOTALCO!B1400="", "",TOTALCO!B1400)</f>
        <v xml:space="preserve">      FERC 903</v>
      </c>
      <c r="C867" s="4" t="str">
        <f>IF(TOTALCO!C1400="", "",TOTALCO!C1400)</f>
        <v>EXP9025CA</v>
      </c>
      <c r="D867" s="12">
        <f ca="1">IF(TOTALCO!D1400="", "",TOTALCO!D1400)</f>
        <v>8670689.8399999999</v>
      </c>
      <c r="E867" s="12" t="str">
        <f>IF(TOTALCO!E1400="", "",TOTALCO!E1400)</f>
        <v/>
      </c>
      <c r="F867" s="12">
        <f ca="1">IF(TOTALCO!F1400="", "",TOTALCO!F1400)</f>
        <v>8203409.5159106404</v>
      </c>
      <c r="G867" s="12" t="str">
        <f>IF(TOTALCO!G1400="", "",TOTALCO!G1400)</f>
        <v/>
      </c>
      <c r="H867" s="12">
        <f ca="1">IF(TOTALCO!H1400="", "",TOTALCO!H1400)</f>
        <v>456491.3099280576</v>
      </c>
      <c r="I867" s="12">
        <f ca="1">IF(TOTALCO!I1400="", "",TOTALCO!I1400)</f>
        <v>10789.014161302539</v>
      </c>
      <c r="J867" s="12" t="str">
        <f>IF(TOTALCO!J1400="", "",TOTALCO!J1400)</f>
        <v/>
      </c>
      <c r="K867" s="12" t="str">
        <f>IF(TOTALCO!K1400="", "",TOTALCO!K1400)</f>
        <v/>
      </c>
      <c r="L867" s="12">
        <f ca="1">IF(TOTALCO!L1400="", "",TOTALCO!L1400)</f>
        <v>81.207633472169633</v>
      </c>
      <c r="M867" s="12" t="str">
        <f>IF(TOTALCO!M1400="", "",TOTALCO!M1400)</f>
        <v/>
      </c>
      <c r="N867" s="12">
        <f ca="1">IF(TOTALCO!N1400="", "",TOTALCO!N1400)</f>
        <v>10707.806527830369</v>
      </c>
      <c r="O867" s="12">
        <f ca="1">IF(TOTALCO!O1400="", "",TOTALCO!O1400)</f>
        <v>5730.9387050359728</v>
      </c>
      <c r="P867" s="12">
        <f ca="1">IF(TOTALCO!P1400="", "",TOTALCO!P1400)</f>
        <v>4976.8678227943965</v>
      </c>
      <c r="Q867" s="12"/>
      <c r="R867" s="13"/>
    </row>
    <row r="868" spans="1:18" ht="15" x14ac:dyDescent="0.2">
      <c r="A868" s="382">
        <f>IF(TOTALCO!A1401="", "",TOTALCO!A1401)</f>
        <v>4</v>
      </c>
      <c r="B868" s="4" t="str">
        <f>IF(TOTALCO!B1401="", "",TOTALCO!B1401)</f>
        <v xml:space="preserve">      FERC 904</v>
      </c>
      <c r="C868" s="4" t="str">
        <f>IF(TOTALCO!C1401="", "",TOTALCO!C1401)</f>
        <v>EXP9025CA</v>
      </c>
      <c r="D868" s="12">
        <f ca="1">IF(TOTALCO!D1401="", "",TOTALCO!D1401)</f>
        <v>0</v>
      </c>
      <c r="E868" s="12" t="str">
        <f>IF(TOTALCO!E1401="", "",TOTALCO!E1401)</f>
        <v/>
      </c>
      <c r="F868" s="12">
        <f ca="1">IF(TOTALCO!F1401="", "",TOTALCO!F1401)</f>
        <v>0</v>
      </c>
      <c r="G868" s="12" t="str">
        <f>IF(TOTALCO!G1401="", "",TOTALCO!G1401)</f>
        <v/>
      </c>
      <c r="H868" s="12">
        <f ca="1">IF(TOTALCO!H1401="", "",TOTALCO!H1401)</f>
        <v>0</v>
      </c>
      <c r="I868" s="12">
        <f ca="1">IF(TOTALCO!I1401="", "",TOTALCO!I1401)</f>
        <v>0</v>
      </c>
      <c r="J868" s="12" t="str">
        <f>IF(TOTALCO!J1401="", "",TOTALCO!J1401)</f>
        <v/>
      </c>
      <c r="K868" s="12" t="str">
        <f>IF(TOTALCO!K1401="", "",TOTALCO!K1401)</f>
        <v/>
      </c>
      <c r="L868" s="12">
        <f ca="1">IF(TOTALCO!L1401="", "",TOTALCO!L1401)</f>
        <v>0</v>
      </c>
      <c r="M868" s="12" t="str">
        <f>IF(TOTALCO!M1401="", "",TOTALCO!M1401)</f>
        <v/>
      </c>
      <c r="N868" s="12">
        <f ca="1">IF(TOTALCO!N1401="", "",TOTALCO!N1401)</f>
        <v>0</v>
      </c>
      <c r="O868" s="12">
        <f ca="1">IF(TOTALCO!O1401="", "",TOTALCO!O1401)</f>
        <v>0</v>
      </c>
      <c r="P868" s="12">
        <f ca="1">IF(TOTALCO!P1401="", "",TOTALCO!P1401)</f>
        <v>0</v>
      </c>
      <c r="Q868" s="12"/>
      <c r="R868" s="13"/>
    </row>
    <row r="869" spans="1:18" ht="15" x14ac:dyDescent="0.2">
      <c r="A869" s="382">
        <f>IF(TOTALCO!A1402="", "",TOTALCO!A1402)</f>
        <v>5</v>
      </c>
      <c r="B869" s="4" t="str">
        <f>IF(TOTALCO!B1402="", "",TOTALCO!B1402)</f>
        <v xml:space="preserve">      FERC 905</v>
      </c>
      <c r="C869" s="4" t="str">
        <f>IF(TOTALCO!C1402="", "",TOTALCO!C1402)</f>
        <v>EXP9025CA</v>
      </c>
      <c r="D869" s="12">
        <f ca="1">IF(TOTALCO!D1402="", "",TOTALCO!D1402)</f>
        <v>450527.00000000006</v>
      </c>
      <c r="E869" s="12" t="str">
        <f>IF(TOTALCO!E1402="", "",TOTALCO!E1402)</f>
        <v/>
      </c>
      <c r="F869" s="12">
        <f ca="1">IF(TOTALCO!F1402="", "",TOTALCO!F1402)</f>
        <v>426247.224520105</v>
      </c>
      <c r="G869" s="12" t="str">
        <f>IF(TOTALCO!G1402="", "",TOTALCO!G1402)</f>
        <v/>
      </c>
      <c r="H869" s="12">
        <f ca="1">IF(TOTALCO!H1402="", "",TOTALCO!H1402)</f>
        <v>23719.180847548112</v>
      </c>
      <c r="I869" s="12">
        <f ca="1">IF(TOTALCO!I1402="", "",TOTALCO!I1402)</f>
        <v>560.5946323469401</v>
      </c>
      <c r="J869" s="12" t="str">
        <f>IF(TOTALCO!J1402="", "",TOTALCO!J1402)</f>
        <v/>
      </c>
      <c r="K869" s="12" t="str">
        <f>IF(TOTALCO!K1402="", "",TOTALCO!K1402)</f>
        <v/>
      </c>
      <c r="L869" s="12">
        <f ca="1">IF(TOTALCO!L1402="", "",TOTALCO!L1402)</f>
        <v>4.2195294907834198</v>
      </c>
      <c r="M869" s="12" t="str">
        <f>IF(TOTALCO!M1402="", "",TOTALCO!M1402)</f>
        <v/>
      </c>
      <c r="N869" s="12">
        <f ca="1">IF(TOTALCO!N1402="", "",TOTALCO!N1402)</f>
        <v>556.37510285615667</v>
      </c>
      <c r="O869" s="12">
        <f ca="1">IF(TOTALCO!O1402="", "",TOTALCO!O1402)</f>
        <v>297.77822406385854</v>
      </c>
      <c r="P869" s="12">
        <f ca="1">IF(TOTALCO!P1402="", "",TOTALCO!P1402)</f>
        <v>258.59687879229813</v>
      </c>
      <c r="Q869" s="12"/>
      <c r="R869" s="13"/>
    </row>
    <row r="870" spans="1:18" ht="15" x14ac:dyDescent="0.2">
      <c r="A870" s="382" t="str">
        <f>IF(TOTALCO!A1403="", "",TOTALCO!A1403)</f>
        <v/>
      </c>
      <c r="B870" s="4" t="str">
        <f>IF(TOTALCO!B1403="", "",TOTALCO!B1403)</f>
        <v/>
      </c>
      <c r="C870" s="4" t="str">
        <f>IF(TOTALCO!C1403="", "",TOTALCO!C1403)</f>
        <v/>
      </c>
      <c r="D870" s="12" t="str">
        <f>IF(TOTALCO!D1403="", "",TOTALCO!D1403)</f>
        <v/>
      </c>
      <c r="E870" s="12" t="str">
        <f>IF(TOTALCO!E1403="", "",TOTALCO!E1403)</f>
        <v/>
      </c>
      <c r="F870" s="12" t="str">
        <f>IF(TOTALCO!F1403="", "",TOTALCO!F1403)</f>
        <v/>
      </c>
      <c r="G870" s="12" t="str">
        <f>IF(TOTALCO!G1403="", "",TOTALCO!G1403)</f>
        <v/>
      </c>
      <c r="H870" s="12" t="str">
        <f>IF(TOTALCO!H1403="", "",TOTALCO!H1403)</f>
        <v/>
      </c>
      <c r="I870" s="12" t="str">
        <f>IF(TOTALCO!I1403="", "",TOTALCO!I1403)</f>
        <v/>
      </c>
      <c r="J870" s="12" t="str">
        <f>IF(TOTALCO!J1403="", "",TOTALCO!J1403)</f>
        <v/>
      </c>
      <c r="K870" s="12" t="str">
        <f>IF(TOTALCO!K1403="", "",TOTALCO!K1403)</f>
        <v/>
      </c>
      <c r="L870" s="12" t="str">
        <f>IF(TOTALCO!L1403="", "",TOTALCO!L1403)</f>
        <v/>
      </c>
      <c r="M870" s="12" t="str">
        <f>IF(TOTALCO!M1403="", "",TOTALCO!M1403)</f>
        <v/>
      </c>
      <c r="N870" s="12" t="str">
        <f>IF(TOTALCO!N1403="", "",TOTALCO!N1403)</f>
        <v/>
      </c>
      <c r="O870" s="12" t="str">
        <f>IF(TOTALCO!O1403="", "",TOTALCO!O1403)</f>
        <v/>
      </c>
      <c r="P870" s="12" t="str">
        <f>IF(TOTALCO!P1403="", "",TOTALCO!P1403)</f>
        <v/>
      </c>
      <c r="Q870" s="12"/>
      <c r="R870" s="13"/>
    </row>
    <row r="871" spans="1:18" ht="15" x14ac:dyDescent="0.2">
      <c r="A871" s="382">
        <f>IF(TOTALCO!A1404="", "",TOTALCO!A1404)</f>
        <v>6</v>
      </c>
      <c r="B871" s="4" t="str">
        <f>IF(TOTALCO!B1404="", "",TOTALCO!B1404)</f>
        <v xml:space="preserve"> TOTAL CUSTOMER ACCOUNTING LABOR</v>
      </c>
      <c r="C871" s="4" t="str">
        <f>IF(TOTALCO!C1404="", "",TOTALCO!C1404)</f>
        <v/>
      </c>
      <c r="D871" s="12">
        <f ca="1">IF(TOTALCO!D1404="", "",TOTALCO!D1404)</f>
        <v>11862912.840000004</v>
      </c>
      <c r="E871" s="12" t="str">
        <f>IF(TOTALCO!E1404="", "",TOTALCO!E1404)</f>
        <v/>
      </c>
      <c r="F871" s="12">
        <f ca="1">IF(TOTALCO!F1404="", "",TOTALCO!F1404)</f>
        <v>11223597.41541332</v>
      </c>
      <c r="G871" s="12" t="str">
        <f>IF(TOTALCO!G1404="", "",TOTALCO!G1404)</f>
        <v/>
      </c>
      <c r="H871" s="12">
        <f ca="1">IF(TOTALCO!H1404="", "",TOTALCO!H1404)</f>
        <v>624554.29981035669</v>
      </c>
      <c r="I871" s="12">
        <f ca="1">IF(TOTALCO!I1404="", "",TOTALCO!I1404)</f>
        <v>14761.124776325494</v>
      </c>
      <c r="J871" s="12" t="str">
        <f>IF(TOTALCO!J1404="", "",TOTALCO!J1404)</f>
        <v/>
      </c>
      <c r="K871" s="12" t="str">
        <f>IF(TOTALCO!K1404="", "",TOTALCO!K1404)</f>
        <v/>
      </c>
      <c r="L871" s="12">
        <f ca="1">IF(TOTALCO!L1404="", "",TOTALCO!L1404)</f>
        <v>111.10524025191229</v>
      </c>
      <c r="M871" s="12" t="str">
        <f>IF(TOTALCO!M1404="", "",TOTALCO!M1404)</f>
        <v/>
      </c>
      <c r="N871" s="12">
        <f ca="1">IF(TOTALCO!N1404="", "",TOTALCO!N1404)</f>
        <v>14650.019536073582</v>
      </c>
      <c r="O871" s="12">
        <f ca="1">IF(TOTALCO!O1404="", "",TOTALCO!O1404)</f>
        <v>7840.8555263492417</v>
      </c>
      <c r="P871" s="12">
        <f ca="1">IF(TOTALCO!P1404="", "",TOTALCO!P1404)</f>
        <v>6809.1640097243398</v>
      </c>
      <c r="Q871" s="12"/>
      <c r="R871" s="13"/>
    </row>
    <row r="872" spans="1:18" ht="15" x14ac:dyDescent="0.2">
      <c r="A872" s="382" t="str">
        <f>IF(TOTALCO!A1405="", "",TOTALCO!A1405)</f>
        <v/>
      </c>
      <c r="B872" s="4" t="str">
        <f>IF(TOTALCO!B1405="", "",TOTALCO!B1405)</f>
        <v/>
      </c>
      <c r="C872" s="4" t="str">
        <f>IF(TOTALCO!C1405="", "",TOTALCO!C1405)</f>
        <v/>
      </c>
      <c r="D872" s="12" t="str">
        <f>IF(TOTALCO!D1405="", "",TOTALCO!D1405)</f>
        <v/>
      </c>
      <c r="E872" s="12" t="str">
        <f>IF(TOTALCO!E1405="", "",TOTALCO!E1405)</f>
        <v/>
      </c>
      <c r="F872" s="12" t="str">
        <f>IF(TOTALCO!F1405="", "",TOTALCO!F1405)</f>
        <v/>
      </c>
      <c r="G872" s="12" t="str">
        <f>IF(TOTALCO!G1405="", "",TOTALCO!G1405)</f>
        <v/>
      </c>
      <c r="H872" s="12" t="str">
        <f>IF(TOTALCO!H1405="", "",TOTALCO!H1405)</f>
        <v/>
      </c>
      <c r="I872" s="12" t="str">
        <f>IF(TOTALCO!I1405="", "",TOTALCO!I1405)</f>
        <v/>
      </c>
      <c r="J872" s="12" t="str">
        <f>IF(TOTALCO!J1405="", "",TOTALCO!J1405)</f>
        <v/>
      </c>
      <c r="K872" s="12" t="str">
        <f>IF(TOTALCO!K1405="", "",TOTALCO!K1405)</f>
        <v/>
      </c>
      <c r="L872" s="12" t="str">
        <f>IF(TOTALCO!L1405="", "",TOTALCO!L1405)</f>
        <v/>
      </c>
      <c r="M872" s="12" t="str">
        <f>IF(TOTALCO!M1405="", "",TOTALCO!M1405)</f>
        <v/>
      </c>
      <c r="N872" s="12" t="str">
        <f>IF(TOTALCO!N1405="", "",TOTALCO!N1405)</f>
        <v/>
      </c>
      <c r="O872" s="12" t="str">
        <f>IF(TOTALCO!O1405="", "",TOTALCO!O1405)</f>
        <v/>
      </c>
      <c r="P872" s="12" t="str">
        <f>IF(TOTALCO!P1405="", "",TOTALCO!P1405)</f>
        <v/>
      </c>
      <c r="Q872" s="12"/>
      <c r="R872" s="13"/>
    </row>
    <row r="873" spans="1:18" ht="15" x14ac:dyDescent="0.2">
      <c r="A873" s="382" t="str">
        <f>IF(TOTALCO!A1406="", "",TOTALCO!A1406)</f>
        <v/>
      </c>
      <c r="B873" s="4" t="str">
        <f>IF(TOTALCO!B1406="", "",TOTALCO!B1406)</f>
        <v xml:space="preserve"> CUSTOMER SERVICE &amp; SALES EXP</v>
      </c>
      <c r="C873" s="4" t="str">
        <f>IF(TOTALCO!C1406="", "",TOTALCO!C1406)</f>
        <v/>
      </c>
      <c r="D873" s="12" t="str">
        <f>IF(TOTALCO!D1406="", "",TOTALCO!D1406)</f>
        <v/>
      </c>
      <c r="E873" s="12" t="str">
        <f>IF(TOTALCO!E1406="", "",TOTALCO!E1406)</f>
        <v/>
      </c>
      <c r="F873" s="12" t="str">
        <f>IF(TOTALCO!F1406="", "",TOTALCO!F1406)</f>
        <v/>
      </c>
      <c r="G873" s="12" t="str">
        <f>IF(TOTALCO!G1406="", "",TOTALCO!G1406)</f>
        <v/>
      </c>
      <c r="H873" s="12" t="str">
        <f>IF(TOTALCO!H1406="", "",TOTALCO!H1406)</f>
        <v/>
      </c>
      <c r="I873" s="12" t="str">
        <f>IF(TOTALCO!I1406="", "",TOTALCO!I1406)</f>
        <v/>
      </c>
      <c r="J873" s="12" t="str">
        <f>IF(TOTALCO!J1406="", "",TOTALCO!J1406)</f>
        <v/>
      </c>
      <c r="K873" s="12" t="str">
        <f>IF(TOTALCO!K1406="", "",TOTALCO!K1406)</f>
        <v/>
      </c>
      <c r="L873" s="12" t="str">
        <f>IF(TOTALCO!L1406="", "",TOTALCO!L1406)</f>
        <v/>
      </c>
      <c r="M873" s="12" t="str">
        <f>IF(TOTALCO!M1406="", "",TOTALCO!M1406)</f>
        <v/>
      </c>
      <c r="N873" s="12" t="str">
        <f>IF(TOTALCO!N1406="", "",TOTALCO!N1406)</f>
        <v/>
      </c>
      <c r="O873" s="12" t="str">
        <f>IF(TOTALCO!O1406="", "",TOTALCO!O1406)</f>
        <v/>
      </c>
      <c r="P873" s="12" t="str">
        <f>IF(TOTALCO!P1406="", "",TOTALCO!P1406)</f>
        <v/>
      </c>
      <c r="Q873" s="12"/>
      <c r="R873" s="13"/>
    </row>
    <row r="874" spans="1:18" ht="15" x14ac:dyDescent="0.2">
      <c r="A874" s="382">
        <f>IF(TOTALCO!A1407="", "",TOTALCO!A1407)</f>
        <v>7</v>
      </c>
      <c r="B874" s="4" t="str">
        <f>IF(TOTALCO!B1407="", "",TOTALCO!B1407)</f>
        <v xml:space="preserve">      FERC 907</v>
      </c>
      <c r="C874" s="4" t="str">
        <f>IF(TOTALCO!C1407="", "",TOTALCO!C1407)</f>
        <v>EXP9080CS</v>
      </c>
      <c r="D874" s="12">
        <f ca="1">IF(TOTALCO!D1407="", "",TOTALCO!D1407)</f>
        <v>180507.86999999997</v>
      </c>
      <c r="E874" s="12" t="str">
        <f>IF(TOTALCO!E1407="", "",TOTALCO!E1407)</f>
        <v/>
      </c>
      <c r="F874" s="12">
        <f ca="1">IF(TOTALCO!F1407="", "",TOTALCO!F1407)</f>
        <v>180380.8167346133</v>
      </c>
      <c r="G874" s="12" t="str">
        <f>IF(TOTALCO!G1407="", "",TOTALCO!G1407)</f>
        <v/>
      </c>
      <c r="H874" s="12">
        <f ca="1">IF(TOTALCO!H1407="", "",TOTALCO!H1407)</f>
        <v>127.03583874807386</v>
      </c>
      <c r="I874" s="12">
        <f ca="1">IF(TOTALCO!I1407="", "",TOTALCO!I1407)</f>
        <v>1.7426638601882625E-2</v>
      </c>
      <c r="J874" s="12" t="str">
        <f>IF(TOTALCO!J1407="", "",TOTALCO!J1407)</f>
        <v/>
      </c>
      <c r="K874" s="12" t="str">
        <f>IF(TOTALCO!K1407="", "",TOTALCO!K1407)</f>
        <v/>
      </c>
      <c r="L874" s="12">
        <f ca="1">IF(TOTALCO!L1407="", "",TOTALCO!L1407)</f>
        <v>1.7426638601882625E-2</v>
      </c>
      <c r="M874" s="12" t="str">
        <f>IF(TOTALCO!M1407="", "",TOTALCO!M1407)</f>
        <v/>
      </c>
      <c r="N874" s="12">
        <f ca="1">IF(TOTALCO!N1407="", "",TOTALCO!N1407)</f>
        <v>0</v>
      </c>
      <c r="O874" s="12">
        <f ca="1">IF(TOTALCO!O1407="", "",TOTALCO!O1407)</f>
        <v>0</v>
      </c>
      <c r="P874" s="12">
        <f ca="1">IF(TOTALCO!P1407="", "",TOTALCO!P1407)</f>
        <v>0</v>
      </c>
      <c r="Q874" s="12"/>
      <c r="R874" s="13"/>
    </row>
    <row r="875" spans="1:18" ht="15" x14ac:dyDescent="0.2">
      <c r="A875" s="382">
        <f>IF(TOTALCO!A1408="", "",TOTALCO!A1408)</f>
        <v>8</v>
      </c>
      <c r="B875" s="4" t="str">
        <f>IF(TOTALCO!B1408="", "",TOTALCO!B1408)</f>
        <v xml:space="preserve">      FERC 908</v>
      </c>
      <c r="C875" s="4" t="str">
        <f>IF(TOTALCO!C1408="", "",TOTALCO!C1408)</f>
        <v>EXP9080CS</v>
      </c>
      <c r="D875" s="12">
        <f ca="1">IF(TOTALCO!D1408="", "",TOTALCO!D1408)</f>
        <v>1276694.24</v>
      </c>
      <c r="E875" s="12" t="str">
        <f>IF(TOTALCO!E1408="", "",TOTALCO!E1408)</f>
        <v/>
      </c>
      <c r="F875" s="12">
        <f ca="1">IF(TOTALCO!F1408="", "",TOTALCO!F1408)</f>
        <v>1275795.618947675</v>
      </c>
      <c r="G875" s="12" t="str">
        <f>IF(TOTALCO!G1408="", "",TOTALCO!G1408)</f>
        <v/>
      </c>
      <c r="H875" s="12">
        <f ca="1">IF(TOTALCO!H1408="", "",TOTALCO!H1408)</f>
        <v>898.49779737157576</v>
      </c>
      <c r="I875" s="12">
        <f ca="1">IF(TOTALCO!I1408="", "",TOTALCO!I1408)</f>
        <v>0.12325495351302523</v>
      </c>
      <c r="J875" s="12" t="str">
        <f>IF(TOTALCO!J1408="", "",TOTALCO!J1408)</f>
        <v/>
      </c>
      <c r="K875" s="12" t="str">
        <f>IF(TOTALCO!K1408="", "",TOTALCO!K1408)</f>
        <v/>
      </c>
      <c r="L875" s="12">
        <f ca="1">IF(TOTALCO!L1408="", "",TOTALCO!L1408)</f>
        <v>0.12325495351302523</v>
      </c>
      <c r="M875" s="12" t="str">
        <f>IF(TOTALCO!M1408="", "",TOTALCO!M1408)</f>
        <v/>
      </c>
      <c r="N875" s="12">
        <f ca="1">IF(TOTALCO!N1408="", "",TOTALCO!N1408)</f>
        <v>0</v>
      </c>
      <c r="O875" s="12">
        <f ca="1">IF(TOTALCO!O1408="", "",TOTALCO!O1408)</f>
        <v>0</v>
      </c>
      <c r="P875" s="12">
        <f ca="1">IF(TOTALCO!P1408="", "",TOTALCO!P1408)</f>
        <v>0</v>
      </c>
      <c r="Q875" s="12"/>
      <c r="R875" s="13"/>
    </row>
    <row r="876" spans="1:18" ht="15" x14ac:dyDescent="0.2">
      <c r="A876" s="382">
        <f>IF(TOTALCO!A1409="", "",TOTALCO!A1409)</f>
        <v>9</v>
      </c>
      <c r="B876" s="4" t="str">
        <f>IF(TOTALCO!B1409="", "",TOTALCO!B1409)</f>
        <v xml:space="preserve">      FERC 909</v>
      </c>
      <c r="C876" s="4" t="str">
        <f>IF(TOTALCO!C1409="", "",TOTALCO!C1409)</f>
        <v>EXP9080CS</v>
      </c>
      <c r="D876" s="12">
        <f ca="1">IF(TOTALCO!D1409="", "",TOTALCO!D1409)</f>
        <v>0</v>
      </c>
      <c r="E876" s="12" t="str">
        <f>IF(TOTALCO!E1409="", "",TOTALCO!E1409)</f>
        <v/>
      </c>
      <c r="F876" s="12">
        <f ca="1">IF(TOTALCO!F1409="", "",TOTALCO!F1409)</f>
        <v>0</v>
      </c>
      <c r="G876" s="12" t="str">
        <f>IF(TOTALCO!G1409="", "",TOTALCO!G1409)</f>
        <v/>
      </c>
      <c r="H876" s="12">
        <f ca="1">IF(TOTALCO!H1409="", "",TOTALCO!H1409)</f>
        <v>0</v>
      </c>
      <c r="I876" s="12">
        <f ca="1">IF(TOTALCO!I1409="", "",TOTALCO!I1409)</f>
        <v>0</v>
      </c>
      <c r="J876" s="12" t="str">
        <f>IF(TOTALCO!J1409="", "",TOTALCO!J1409)</f>
        <v/>
      </c>
      <c r="K876" s="12" t="str">
        <f>IF(TOTALCO!K1409="", "",TOTALCO!K1409)</f>
        <v/>
      </c>
      <c r="L876" s="12">
        <f ca="1">IF(TOTALCO!L1409="", "",TOTALCO!L1409)</f>
        <v>0</v>
      </c>
      <c r="M876" s="12" t="str">
        <f>IF(TOTALCO!M1409="", "",TOTALCO!M1409)</f>
        <v/>
      </c>
      <c r="N876" s="12">
        <f ca="1">IF(TOTALCO!N1409="", "",TOTALCO!N1409)</f>
        <v>0</v>
      </c>
      <c r="O876" s="12">
        <f ca="1">IF(TOTALCO!O1409="", "",TOTALCO!O1409)</f>
        <v>0</v>
      </c>
      <c r="P876" s="12">
        <f ca="1">IF(TOTALCO!P1409="", "",TOTALCO!P1409)</f>
        <v>0</v>
      </c>
      <c r="Q876" s="12"/>
      <c r="R876" s="13"/>
    </row>
    <row r="877" spans="1:18" ht="15" x14ac:dyDescent="0.2">
      <c r="A877" s="382">
        <f>IF(TOTALCO!A1410="", "",TOTALCO!A1410)</f>
        <v>10</v>
      </c>
      <c r="B877" s="4" t="str">
        <f>IF(TOTALCO!B1410="", "",TOTALCO!B1410)</f>
        <v xml:space="preserve">      FERC 910</v>
      </c>
      <c r="C877" s="4" t="str">
        <f>IF(TOTALCO!C1410="", "",TOTALCO!C1410)</f>
        <v>EXP9080CS</v>
      </c>
      <c r="D877" s="12">
        <f ca="1">IF(TOTALCO!D1410="", "",TOTALCO!D1410)</f>
        <v>0</v>
      </c>
      <c r="E877" s="12" t="str">
        <f>IF(TOTALCO!E1410="", "",TOTALCO!E1410)</f>
        <v/>
      </c>
      <c r="F877" s="12">
        <f ca="1">IF(TOTALCO!F1410="", "",TOTALCO!F1410)</f>
        <v>0</v>
      </c>
      <c r="G877" s="12" t="str">
        <f>IF(TOTALCO!G1410="", "",TOTALCO!G1410)</f>
        <v/>
      </c>
      <c r="H877" s="12">
        <f ca="1">IF(TOTALCO!H1410="", "",TOTALCO!H1410)</f>
        <v>0</v>
      </c>
      <c r="I877" s="12">
        <f ca="1">IF(TOTALCO!I1410="", "",TOTALCO!I1410)</f>
        <v>0</v>
      </c>
      <c r="J877" s="12" t="str">
        <f>IF(TOTALCO!J1410="", "",TOTALCO!J1410)</f>
        <v/>
      </c>
      <c r="K877" s="12" t="str">
        <f>IF(TOTALCO!K1410="", "",TOTALCO!K1410)</f>
        <v/>
      </c>
      <c r="L877" s="12">
        <f ca="1">IF(TOTALCO!L1410="", "",TOTALCO!L1410)</f>
        <v>0</v>
      </c>
      <c r="M877" s="12" t="str">
        <f>IF(TOTALCO!M1410="", "",TOTALCO!M1410)</f>
        <v/>
      </c>
      <c r="N877" s="12">
        <f ca="1">IF(TOTALCO!N1410="", "",TOTALCO!N1410)</f>
        <v>0</v>
      </c>
      <c r="O877" s="12">
        <f ca="1">IF(TOTALCO!O1410="", "",TOTALCO!O1410)</f>
        <v>0</v>
      </c>
      <c r="P877" s="12">
        <f ca="1">IF(TOTALCO!P1410="", "",TOTALCO!P1410)</f>
        <v>0</v>
      </c>
      <c r="Q877" s="12"/>
      <c r="R877" s="13"/>
    </row>
    <row r="878" spans="1:18" ht="15" x14ac:dyDescent="0.2">
      <c r="A878" s="382">
        <f>IF(TOTALCO!A1411="", "",TOTALCO!A1411)</f>
        <v>11</v>
      </c>
      <c r="B878" s="4" t="str">
        <f>IF(TOTALCO!B1411="", "",TOTALCO!B1411)</f>
        <v xml:space="preserve">      FERC 912</v>
      </c>
      <c r="C878" s="4" t="str">
        <f>IF(TOTALCO!C1411="", "",TOTALCO!C1411)</f>
        <v>EXP9080CS</v>
      </c>
      <c r="D878" s="12">
        <f ca="1">IF(TOTALCO!D1411="", "",TOTALCO!D1411)</f>
        <v>0</v>
      </c>
      <c r="E878" s="12" t="str">
        <f>IF(TOTALCO!E1411="", "",TOTALCO!E1411)</f>
        <v/>
      </c>
      <c r="F878" s="12">
        <f ca="1">IF(TOTALCO!F1411="", "",TOTALCO!F1411)</f>
        <v>0</v>
      </c>
      <c r="G878" s="12" t="str">
        <f>IF(TOTALCO!G1411="", "",TOTALCO!G1411)</f>
        <v/>
      </c>
      <c r="H878" s="12">
        <f ca="1">IF(TOTALCO!H1411="", "",TOTALCO!H1411)</f>
        <v>0</v>
      </c>
      <c r="I878" s="12">
        <f ca="1">IF(TOTALCO!I1411="", "",TOTALCO!I1411)</f>
        <v>0</v>
      </c>
      <c r="J878" s="12" t="str">
        <f>IF(TOTALCO!J1411="", "",TOTALCO!J1411)</f>
        <v/>
      </c>
      <c r="K878" s="12" t="str">
        <f>IF(TOTALCO!K1411="", "",TOTALCO!K1411)</f>
        <v/>
      </c>
      <c r="L878" s="12">
        <f ca="1">IF(TOTALCO!L1411="", "",TOTALCO!L1411)</f>
        <v>0</v>
      </c>
      <c r="M878" s="12" t="str">
        <f>IF(TOTALCO!M1411="", "",TOTALCO!M1411)</f>
        <v/>
      </c>
      <c r="N878" s="12">
        <f ca="1">IF(TOTALCO!N1411="", "",TOTALCO!N1411)</f>
        <v>0</v>
      </c>
      <c r="O878" s="12">
        <f ca="1">IF(TOTALCO!O1411="", "",TOTALCO!O1411)</f>
        <v>0</v>
      </c>
      <c r="P878" s="12">
        <f ca="1">IF(TOTALCO!P1411="", "",TOTALCO!P1411)</f>
        <v>0</v>
      </c>
      <c r="Q878" s="12"/>
      <c r="R878" s="13"/>
    </row>
    <row r="879" spans="1:18" ht="15" x14ac:dyDescent="0.2">
      <c r="A879" s="382">
        <f>IF(TOTALCO!A1412="", "",TOTALCO!A1412)</f>
        <v>12</v>
      </c>
      <c r="B879" s="4" t="str">
        <f>IF(TOTALCO!B1412="", "",TOTALCO!B1412)</f>
        <v xml:space="preserve">      FERC 913</v>
      </c>
      <c r="C879" s="4" t="str">
        <f>IF(TOTALCO!C1412="", "",TOTALCO!C1412)</f>
        <v>EXP9080CS</v>
      </c>
      <c r="D879" s="12">
        <f ca="1">IF(TOTALCO!D1412="", "",TOTALCO!D1412)</f>
        <v>0</v>
      </c>
      <c r="E879" s="12" t="str">
        <f>IF(TOTALCO!E1412="", "",TOTALCO!E1412)</f>
        <v/>
      </c>
      <c r="F879" s="12">
        <f ca="1">IF(TOTALCO!F1412="", "",TOTALCO!F1412)</f>
        <v>0</v>
      </c>
      <c r="G879" s="12" t="str">
        <f>IF(TOTALCO!G1412="", "",TOTALCO!G1412)</f>
        <v/>
      </c>
      <c r="H879" s="12">
        <f ca="1">IF(TOTALCO!H1412="", "",TOTALCO!H1412)</f>
        <v>0</v>
      </c>
      <c r="I879" s="12">
        <f ca="1">IF(TOTALCO!I1412="", "",TOTALCO!I1412)</f>
        <v>0</v>
      </c>
      <c r="J879" s="12" t="str">
        <f>IF(TOTALCO!J1412="", "",TOTALCO!J1412)</f>
        <v/>
      </c>
      <c r="K879" s="12" t="str">
        <f>IF(TOTALCO!K1412="", "",TOTALCO!K1412)</f>
        <v/>
      </c>
      <c r="L879" s="12">
        <f ca="1">IF(TOTALCO!L1412="", "",TOTALCO!L1412)</f>
        <v>0</v>
      </c>
      <c r="M879" s="12" t="str">
        <f>IF(TOTALCO!M1412="", "",TOTALCO!M1412)</f>
        <v/>
      </c>
      <c r="N879" s="12">
        <f ca="1">IF(TOTALCO!N1412="", "",TOTALCO!N1412)</f>
        <v>0</v>
      </c>
      <c r="O879" s="12">
        <f ca="1">IF(TOTALCO!O1412="", "",TOTALCO!O1412)</f>
        <v>0</v>
      </c>
      <c r="P879" s="12">
        <f ca="1">IF(TOTALCO!P1412="", "",TOTALCO!P1412)</f>
        <v>0</v>
      </c>
      <c r="Q879" s="12"/>
      <c r="R879" s="13"/>
    </row>
    <row r="880" spans="1:18" ht="15" x14ac:dyDescent="0.2">
      <c r="A880" s="382">
        <f>IF(TOTALCO!A1413="", "",TOTALCO!A1413)</f>
        <v>13</v>
      </c>
      <c r="B880" s="4" t="str">
        <f>IF(TOTALCO!B1413="", "",TOTALCO!B1413)</f>
        <v xml:space="preserve">      FERC 916</v>
      </c>
      <c r="C880" s="4" t="str">
        <f>IF(TOTALCO!C1413="", "",TOTALCO!C1413)</f>
        <v>EXP9080CS</v>
      </c>
      <c r="D880" s="12">
        <f ca="1">IF(TOTALCO!D1413="", "",TOTALCO!D1413)</f>
        <v>0</v>
      </c>
      <c r="E880" s="12" t="str">
        <f>IF(TOTALCO!E1413="", "",TOTALCO!E1413)</f>
        <v/>
      </c>
      <c r="F880" s="12">
        <f ca="1">IF(TOTALCO!F1413="", "",TOTALCO!F1413)</f>
        <v>0</v>
      </c>
      <c r="G880" s="12" t="str">
        <f>IF(TOTALCO!G1413="", "",TOTALCO!G1413)</f>
        <v/>
      </c>
      <c r="H880" s="12">
        <f ca="1">IF(TOTALCO!H1413="", "",TOTALCO!H1413)</f>
        <v>0</v>
      </c>
      <c r="I880" s="12">
        <f ca="1">IF(TOTALCO!I1413="", "",TOTALCO!I1413)</f>
        <v>0</v>
      </c>
      <c r="J880" s="12" t="str">
        <f>IF(TOTALCO!J1413="", "",TOTALCO!J1413)</f>
        <v/>
      </c>
      <c r="K880" s="12" t="str">
        <f>IF(TOTALCO!K1413="", "",TOTALCO!K1413)</f>
        <v/>
      </c>
      <c r="L880" s="12">
        <f ca="1">IF(TOTALCO!L1413="", "",TOTALCO!L1413)</f>
        <v>0</v>
      </c>
      <c r="M880" s="12" t="str">
        <f>IF(TOTALCO!M1413="", "",TOTALCO!M1413)</f>
        <v/>
      </c>
      <c r="N880" s="12">
        <f ca="1">IF(TOTALCO!N1413="", "",TOTALCO!N1413)</f>
        <v>0</v>
      </c>
      <c r="O880" s="12">
        <f ca="1">IF(TOTALCO!O1413="", "",TOTALCO!O1413)</f>
        <v>0</v>
      </c>
      <c r="P880" s="12">
        <f ca="1">IF(TOTALCO!P1413="", "",TOTALCO!P1413)</f>
        <v>0</v>
      </c>
      <c r="Q880" s="12"/>
      <c r="R880" s="13"/>
    </row>
    <row r="881" spans="1:18" ht="15" x14ac:dyDescent="0.2">
      <c r="A881" s="382" t="str">
        <f>IF(TOTALCO!A1414="", "",TOTALCO!A1414)</f>
        <v/>
      </c>
      <c r="B881" s="4" t="str">
        <f>IF(TOTALCO!B1414="", "",TOTALCO!B1414)</f>
        <v/>
      </c>
      <c r="C881" s="4" t="str">
        <f>IF(TOTALCO!C1414="", "",TOTALCO!C1414)</f>
        <v/>
      </c>
      <c r="D881" s="12" t="str">
        <f>IF(TOTALCO!D1414="", "",TOTALCO!D1414)</f>
        <v/>
      </c>
      <c r="E881" s="12" t="str">
        <f>IF(TOTALCO!E1414="", "",TOTALCO!E1414)</f>
        <v/>
      </c>
      <c r="F881" s="12" t="str">
        <f>IF(TOTALCO!F1414="", "",TOTALCO!F1414)</f>
        <v/>
      </c>
      <c r="G881" s="12" t="str">
        <f>IF(TOTALCO!G1414="", "",TOTALCO!G1414)</f>
        <v/>
      </c>
      <c r="H881" s="12" t="str">
        <f>IF(TOTALCO!H1414="", "",TOTALCO!H1414)</f>
        <v/>
      </c>
      <c r="I881" s="12" t="str">
        <f>IF(TOTALCO!I1414="", "",TOTALCO!I1414)</f>
        <v/>
      </c>
      <c r="J881" s="12" t="str">
        <f>IF(TOTALCO!J1414="", "",TOTALCO!J1414)</f>
        <v/>
      </c>
      <c r="K881" s="12" t="str">
        <f>IF(TOTALCO!K1414="", "",TOTALCO!K1414)</f>
        <v/>
      </c>
      <c r="L881" s="12" t="str">
        <f>IF(TOTALCO!L1414="", "",TOTALCO!L1414)</f>
        <v/>
      </c>
      <c r="M881" s="12" t="str">
        <f>IF(TOTALCO!M1414="", "",TOTALCO!M1414)</f>
        <v/>
      </c>
      <c r="N881" s="12" t="str">
        <f>IF(TOTALCO!N1414="", "",TOTALCO!N1414)</f>
        <v/>
      </c>
      <c r="O881" s="12" t="str">
        <f>IF(TOTALCO!O1414="", "",TOTALCO!O1414)</f>
        <v/>
      </c>
      <c r="P881" s="12" t="str">
        <f>IF(TOTALCO!P1414="", "",TOTALCO!P1414)</f>
        <v/>
      </c>
      <c r="Q881" s="12"/>
      <c r="R881" s="13"/>
    </row>
    <row r="882" spans="1:18" ht="15" x14ac:dyDescent="0.2">
      <c r="A882" s="382">
        <f>IF(TOTALCO!A1415="", "",TOTALCO!A1415)</f>
        <v>14</v>
      </c>
      <c r="B882" s="4" t="str">
        <f>IF(TOTALCO!B1415="", "",TOTALCO!B1415)</f>
        <v xml:space="preserve"> TOTAL CUSTOMER SERVICE AND SALES LABOR</v>
      </c>
      <c r="C882" s="4" t="str">
        <f>IF(TOTALCO!C1415="", "",TOTALCO!C1415)</f>
        <v/>
      </c>
      <c r="D882" s="12">
        <f ca="1">IF(TOTALCO!D1415="", "",TOTALCO!D1415)</f>
        <v>1457202.11</v>
      </c>
      <c r="E882" s="12" t="str">
        <f>IF(TOTALCO!E1415="", "",TOTALCO!E1415)</f>
        <v/>
      </c>
      <c r="F882" s="12">
        <f ca="1">IF(TOTALCO!F1415="", "",TOTALCO!F1415)</f>
        <v>1456176.4356822884</v>
      </c>
      <c r="G882" s="12" t="str">
        <f>IF(TOTALCO!G1415="", "",TOTALCO!G1415)</f>
        <v/>
      </c>
      <c r="H882" s="12">
        <f ca="1">IF(TOTALCO!H1415="", "",TOTALCO!H1415)</f>
        <v>1025.5336361196496</v>
      </c>
      <c r="I882" s="12">
        <f ca="1">IF(TOTALCO!I1415="", "",TOTALCO!I1415)</f>
        <v>0.14068159211490786</v>
      </c>
      <c r="J882" s="12" t="str">
        <f>IF(TOTALCO!J1415="", "",TOTALCO!J1415)</f>
        <v/>
      </c>
      <c r="K882" s="12" t="str">
        <f>IF(TOTALCO!K1415="", "",TOTALCO!K1415)</f>
        <v/>
      </c>
      <c r="L882" s="12">
        <f ca="1">IF(TOTALCO!L1415="", "",TOTALCO!L1415)</f>
        <v>0.14068159211490786</v>
      </c>
      <c r="M882" s="12" t="str">
        <f>IF(TOTALCO!M1415="", "",TOTALCO!M1415)</f>
        <v/>
      </c>
      <c r="N882" s="12">
        <f ca="1">IF(TOTALCO!N1415="", "",TOTALCO!N1415)</f>
        <v>0</v>
      </c>
      <c r="O882" s="12">
        <f ca="1">IF(TOTALCO!O1415="", "",TOTALCO!O1415)</f>
        <v>0</v>
      </c>
      <c r="P882" s="12">
        <f ca="1">IF(TOTALCO!P1415="", "",TOTALCO!P1415)</f>
        <v>0</v>
      </c>
      <c r="Q882" s="12"/>
      <c r="R882" s="13"/>
    </row>
    <row r="883" spans="1:18" ht="15" x14ac:dyDescent="0.2">
      <c r="A883" s="382" t="str">
        <f>IF(TOTALCO!A1416="", "",TOTALCO!A1416)</f>
        <v/>
      </c>
      <c r="B883" s="4" t="str">
        <f>IF(TOTALCO!B1416="", "",TOTALCO!B1416)</f>
        <v/>
      </c>
      <c r="C883" s="4" t="str">
        <f>IF(TOTALCO!C1416="", "",TOTALCO!C1416)</f>
        <v/>
      </c>
      <c r="D883" s="12" t="str">
        <f>IF(TOTALCO!D1416="", "",TOTALCO!D1416)</f>
        <v/>
      </c>
      <c r="E883" s="12" t="str">
        <f>IF(TOTALCO!E1416="", "",TOTALCO!E1416)</f>
        <v/>
      </c>
      <c r="F883" s="12" t="str">
        <f>IF(TOTALCO!F1416="", "",TOTALCO!F1416)</f>
        <v/>
      </c>
      <c r="G883" s="12" t="str">
        <f>IF(TOTALCO!G1416="", "",TOTALCO!G1416)</f>
        <v/>
      </c>
      <c r="H883" s="12" t="str">
        <f>IF(TOTALCO!H1416="", "",TOTALCO!H1416)</f>
        <v/>
      </c>
      <c r="I883" s="12" t="str">
        <f>IF(TOTALCO!I1416="", "",TOTALCO!I1416)</f>
        <v/>
      </c>
      <c r="J883" s="12" t="str">
        <f>IF(TOTALCO!J1416="", "",TOTALCO!J1416)</f>
        <v/>
      </c>
      <c r="K883" s="12" t="str">
        <f>IF(TOTALCO!K1416="", "",TOTALCO!K1416)</f>
        <v/>
      </c>
      <c r="L883" s="12" t="str">
        <f>IF(TOTALCO!L1416="", "",TOTALCO!L1416)</f>
        <v/>
      </c>
      <c r="M883" s="12" t="str">
        <f>IF(TOTALCO!M1416="", "",TOTALCO!M1416)</f>
        <v/>
      </c>
      <c r="N883" s="12" t="str">
        <f>IF(TOTALCO!N1416="", "",TOTALCO!N1416)</f>
        <v/>
      </c>
      <c r="O883" s="12" t="str">
        <f>IF(TOTALCO!O1416="", "",TOTALCO!O1416)</f>
        <v/>
      </c>
      <c r="P883" s="12" t="str">
        <f>IF(TOTALCO!P1416="", "",TOTALCO!P1416)</f>
        <v/>
      </c>
      <c r="Q883" s="12"/>
      <c r="R883" s="13"/>
    </row>
    <row r="884" spans="1:18" ht="15" x14ac:dyDescent="0.2">
      <c r="A884" s="382">
        <f>IF(TOTALCO!A1417="", "",TOTALCO!A1417)</f>
        <v>15</v>
      </c>
      <c r="B884" s="4" t="str">
        <f>IF(TOTALCO!B1417="", "",TOTALCO!B1417)</f>
        <v>TOTAL PROD, TRAN, DIST, CUSTOMER LABOR</v>
      </c>
      <c r="C884" s="4" t="str">
        <f>IF(TOTALCO!C1417="", "",TOTALCO!C1417)</f>
        <v/>
      </c>
      <c r="D884" s="12">
        <f ca="1">IF(TOTALCO!D1417="", "",TOTALCO!D1417)</f>
        <v>86705625.650000006</v>
      </c>
      <c r="E884" s="12" t="str">
        <f>IF(TOTALCO!E1417="", "",TOTALCO!E1417)</f>
        <v/>
      </c>
      <c r="F884" s="12">
        <f ca="1">IF(TOTALCO!F1417="", "",TOTALCO!F1417)</f>
        <v>77114147.550367326</v>
      </c>
      <c r="G884" s="12" t="str">
        <f>IF(TOTALCO!G1417="", "",TOTALCO!G1417)</f>
        <v/>
      </c>
      <c r="H884" s="12">
        <f ca="1">IF(TOTALCO!H1417="", "",TOTALCO!H1417)</f>
        <v>4750860.1268153582</v>
      </c>
      <c r="I884" s="12">
        <f ca="1">IF(TOTALCO!I1417="", "",TOTALCO!I1417)</f>
        <v>4840617.9728173101</v>
      </c>
      <c r="J884" s="12" t="str">
        <f>IF(TOTALCO!J1417="", "",TOTALCO!J1417)</f>
        <v/>
      </c>
      <c r="K884" s="12" t="str">
        <f>IF(TOTALCO!K1417="", "",TOTALCO!K1417)</f>
        <v/>
      </c>
      <c r="L884" s="12">
        <f ca="1">IF(TOTALCO!L1417="", "",TOTALCO!L1417)</f>
        <v>2661.7439903384416</v>
      </c>
      <c r="M884" s="12" t="str">
        <f>IF(TOTALCO!M1417="", "",TOTALCO!M1417)</f>
        <v/>
      </c>
      <c r="N884" s="12">
        <f ca="1">IF(TOTALCO!N1417="", "",TOTALCO!N1417)</f>
        <v>4837956.2288269717</v>
      </c>
      <c r="O884" s="12">
        <f ca="1">IF(TOTALCO!O1417="", "",TOTALCO!O1417)</f>
        <v>1571670.8628577269</v>
      </c>
      <c r="P884" s="12">
        <f ca="1">IF(TOTALCO!P1417="", "",TOTALCO!P1417)</f>
        <v>3266285.3659692449</v>
      </c>
      <c r="Q884" s="12"/>
      <c r="R884" s="13"/>
    </row>
    <row r="885" spans="1:18" ht="15" x14ac:dyDescent="0.2">
      <c r="A885" s="382" t="str">
        <f>IF(TOTALCO!A1418="", "",TOTALCO!A1418)</f>
        <v/>
      </c>
      <c r="B885" s="4" t="str">
        <f>IF(TOTALCO!B1418="", "",TOTALCO!B1418)</f>
        <v/>
      </c>
      <c r="C885" s="4" t="str">
        <f>IF(TOTALCO!C1418="", "",TOTALCO!C1418)</f>
        <v/>
      </c>
      <c r="D885" s="12" t="str">
        <f>IF(TOTALCO!D1418="", "",TOTALCO!D1418)</f>
        <v/>
      </c>
      <c r="E885" s="12" t="str">
        <f>IF(TOTALCO!E1418="", "",TOTALCO!E1418)</f>
        <v/>
      </c>
      <c r="F885" s="12" t="str">
        <f>IF(TOTALCO!F1418="", "",TOTALCO!F1418)</f>
        <v/>
      </c>
      <c r="G885" s="12" t="str">
        <f>IF(TOTALCO!G1418="", "",TOTALCO!G1418)</f>
        <v/>
      </c>
      <c r="H885" s="12" t="str">
        <f>IF(TOTALCO!H1418="", "",TOTALCO!H1418)</f>
        <v/>
      </c>
      <c r="I885" s="12" t="str">
        <f>IF(TOTALCO!I1418="", "",TOTALCO!I1418)</f>
        <v/>
      </c>
      <c r="J885" s="12" t="str">
        <f>IF(TOTALCO!J1418="", "",TOTALCO!J1418)</f>
        <v/>
      </c>
      <c r="K885" s="12" t="str">
        <f>IF(TOTALCO!K1418="", "",TOTALCO!K1418)</f>
        <v/>
      </c>
      <c r="L885" s="12" t="str">
        <f>IF(TOTALCO!L1418="", "",TOTALCO!L1418)</f>
        <v/>
      </c>
      <c r="M885" s="12" t="str">
        <f>IF(TOTALCO!M1418="", "",TOTALCO!M1418)</f>
        <v/>
      </c>
      <c r="N885" s="12" t="str">
        <f>IF(TOTALCO!N1418="", "",TOTALCO!N1418)</f>
        <v/>
      </c>
      <c r="O885" s="12" t="str">
        <f>IF(TOTALCO!O1418="", "",TOTALCO!O1418)</f>
        <v/>
      </c>
      <c r="P885" s="12" t="str">
        <f>IF(TOTALCO!P1418="", "",TOTALCO!P1418)</f>
        <v/>
      </c>
      <c r="Q885" s="12"/>
      <c r="R885" s="13"/>
    </row>
    <row r="886" spans="1:18" ht="15" x14ac:dyDescent="0.2">
      <c r="A886" s="382" t="str">
        <f>IF(TOTALCO!A1419="", "",TOTALCO!A1419)</f>
        <v/>
      </c>
      <c r="B886" s="4" t="str">
        <f>IF(TOTALCO!B1419="", "",TOTALCO!B1419)</f>
        <v>ADMIN &amp; GENERAL LABOR</v>
      </c>
      <c r="C886" s="4" t="str">
        <f>IF(TOTALCO!C1419="", "",TOTALCO!C1419)</f>
        <v/>
      </c>
      <c r="D886" s="12" t="str">
        <f>IF(TOTALCO!D1419="", "",TOTALCO!D1419)</f>
        <v/>
      </c>
      <c r="E886" s="12" t="str">
        <f>IF(TOTALCO!E1419="", "",TOTALCO!E1419)</f>
        <v/>
      </c>
      <c r="F886" s="12" t="str">
        <f>IF(TOTALCO!F1419="", "",TOTALCO!F1419)</f>
        <v/>
      </c>
      <c r="G886" s="12" t="str">
        <f>IF(TOTALCO!G1419="", "",TOTALCO!G1419)</f>
        <v/>
      </c>
      <c r="H886" s="12" t="str">
        <f>IF(TOTALCO!H1419="", "",TOTALCO!H1419)</f>
        <v/>
      </c>
      <c r="I886" s="12" t="str">
        <f>IF(TOTALCO!I1419="", "",TOTALCO!I1419)</f>
        <v/>
      </c>
      <c r="J886" s="12" t="str">
        <f>IF(TOTALCO!J1419="", "",TOTALCO!J1419)</f>
        <v/>
      </c>
      <c r="K886" s="12" t="str">
        <f>IF(TOTALCO!K1419="", "",TOTALCO!K1419)</f>
        <v/>
      </c>
      <c r="L886" s="12" t="str">
        <f>IF(TOTALCO!L1419="", "",TOTALCO!L1419)</f>
        <v/>
      </c>
      <c r="M886" s="12" t="str">
        <f>IF(TOTALCO!M1419="", "",TOTALCO!M1419)</f>
        <v/>
      </c>
      <c r="N886" s="12" t="str">
        <f>IF(TOTALCO!N1419="", "",TOTALCO!N1419)</f>
        <v/>
      </c>
      <c r="O886" s="12" t="str">
        <f>IF(TOTALCO!O1419="", "",TOTALCO!O1419)</f>
        <v/>
      </c>
      <c r="P886" s="12" t="str">
        <f>IF(TOTALCO!P1419="", "",TOTALCO!P1419)</f>
        <v/>
      </c>
      <c r="Q886" s="12"/>
      <c r="R886" s="13"/>
    </row>
    <row r="887" spans="1:18" ht="15" x14ac:dyDescent="0.2">
      <c r="A887" s="382">
        <f>IF(TOTALCO!A1420="", "",TOTALCO!A1420)</f>
        <v>16</v>
      </c>
      <c r="B887" s="4" t="str">
        <f>IF(TOTALCO!B1420="", "",TOTALCO!B1420)</f>
        <v xml:space="preserve">      FERC 920</v>
      </c>
      <c r="C887" s="4" t="str">
        <f>IF(TOTALCO!C1420="", "",TOTALCO!C1420)</f>
        <v>PTDCUSTLABOR</v>
      </c>
      <c r="D887" s="12">
        <f ca="1">IF(TOTALCO!D1420="", "",TOTALCO!D1420)</f>
        <v>21837389.060000002</v>
      </c>
      <c r="E887" s="12" t="str">
        <f>IF(TOTALCO!E1420="", "",TOTALCO!E1420)</f>
        <v/>
      </c>
      <c r="F887" s="12">
        <f ca="1">IF(TOTALCO!F1420="", "",TOTALCO!F1420)</f>
        <v>19421711.445635792</v>
      </c>
      <c r="G887" s="12" t="str">
        <f>IF(TOTALCO!G1420="", "",TOTALCO!G1420)</f>
        <v/>
      </c>
      <c r="H887" s="12">
        <f ca="1">IF(TOTALCO!H1420="", "",TOTALCO!H1420)</f>
        <v>1196535.7516442523</v>
      </c>
      <c r="I887" s="12">
        <f ca="1">IF(TOTALCO!I1420="", "",TOTALCO!I1420)</f>
        <v>1219141.8627199552</v>
      </c>
      <c r="J887" s="12" t="str">
        <f>IF(TOTALCO!J1420="", "",TOTALCO!J1420)</f>
        <v/>
      </c>
      <c r="K887" s="12" t="str">
        <f>IF(TOTALCO!K1420="", "",TOTALCO!K1420)</f>
        <v/>
      </c>
      <c r="L887" s="12">
        <f ca="1">IF(TOTALCO!L1420="", "",TOTALCO!L1420)</f>
        <v>670.37794444583915</v>
      </c>
      <c r="M887" s="12" t="str">
        <f>IF(TOTALCO!M1420="", "",TOTALCO!M1420)</f>
        <v/>
      </c>
      <c r="N887" s="12">
        <f ca="1">IF(TOTALCO!N1420="", "",TOTALCO!N1420)</f>
        <v>1218471.4847755092</v>
      </c>
      <c r="O887" s="12">
        <f ca="1">IF(TOTALCO!O1420="", "",TOTALCO!O1420)</f>
        <v>395835.7701613573</v>
      </c>
      <c r="P887" s="12">
        <f ca="1">IF(TOTALCO!P1420="", "",TOTALCO!P1420)</f>
        <v>822635.71461415198</v>
      </c>
      <c r="Q887" s="12"/>
      <c r="R887" s="13"/>
    </row>
    <row r="888" spans="1:18" ht="15" x14ac:dyDescent="0.2">
      <c r="A888" s="382">
        <f>IF(TOTALCO!A1421="", "",TOTALCO!A1421)</f>
        <v>17</v>
      </c>
      <c r="B888" s="4" t="str">
        <f>IF(TOTALCO!B1421="", "",TOTALCO!B1421)</f>
        <v xml:space="preserve">      FERC 921</v>
      </c>
      <c r="C888" s="4" t="str">
        <f>IF(TOTALCO!C1421="", "",TOTALCO!C1421)</f>
        <v>PTDCUSTLABOR</v>
      </c>
      <c r="D888" s="12">
        <f ca="1">IF(TOTALCO!D1421="", "",TOTALCO!D1421)</f>
        <v>38924.779999999992</v>
      </c>
      <c r="E888" s="12" t="str">
        <f>IF(TOTALCO!E1421="", "",TOTALCO!E1421)</f>
        <v/>
      </c>
      <c r="F888" s="12">
        <f ca="1">IF(TOTALCO!F1421="", "",TOTALCO!F1421)</f>
        <v>34618.875139684627</v>
      </c>
      <c r="G888" s="12" t="str">
        <f>IF(TOTALCO!G1421="", "",TOTALCO!G1421)</f>
        <v/>
      </c>
      <c r="H888" s="12">
        <f ca="1">IF(TOTALCO!H1421="", "",TOTALCO!H1421)</f>
        <v>2132.8049231031632</v>
      </c>
      <c r="I888" s="12">
        <f ca="1">IF(TOTALCO!I1421="", "",TOTALCO!I1421)</f>
        <v>2173.0999372122033</v>
      </c>
      <c r="J888" s="12" t="str">
        <f>IF(TOTALCO!J1421="", "",TOTALCO!J1421)</f>
        <v/>
      </c>
      <c r="K888" s="12" t="str">
        <f>IF(TOTALCO!K1421="", "",TOTALCO!K1421)</f>
        <v/>
      </c>
      <c r="L888" s="12">
        <f ca="1">IF(TOTALCO!L1421="", "",TOTALCO!L1421)</f>
        <v>1.1949374502927188</v>
      </c>
      <c r="M888" s="12" t="str">
        <f>IF(TOTALCO!M1421="", "",TOTALCO!M1421)</f>
        <v/>
      </c>
      <c r="N888" s="12">
        <f ca="1">IF(TOTALCO!N1421="", "",TOTALCO!N1421)</f>
        <v>2171.9049997619104</v>
      </c>
      <c r="O888" s="12">
        <f ca="1">IF(TOTALCO!O1421="", "",TOTALCO!O1421)</f>
        <v>705.5706260179345</v>
      </c>
      <c r="P888" s="12">
        <f ca="1">IF(TOTALCO!P1421="", "",TOTALCO!P1421)</f>
        <v>1466.3343737439757</v>
      </c>
      <c r="Q888" s="12"/>
      <c r="R888" s="13"/>
    </row>
    <row r="889" spans="1:18" ht="15" x14ac:dyDescent="0.2">
      <c r="A889" s="382">
        <f>IF(TOTALCO!A1422="", "",TOTALCO!A1422)</f>
        <v>18</v>
      </c>
      <c r="B889" s="4" t="str">
        <f>IF(TOTALCO!B1422="", "",TOTALCO!B1422)</f>
        <v xml:space="preserve">      FERC 922</v>
      </c>
      <c r="C889" s="4" t="str">
        <f>IF(TOTALCO!C1422="", "",TOTALCO!C1422)</f>
        <v>PTDCUSTLABOR</v>
      </c>
      <c r="D889" s="12">
        <f ca="1">IF(TOTALCO!D1422="", "",TOTALCO!D1422)</f>
        <v>-2118578.75</v>
      </c>
      <c r="E889" s="12" t="str">
        <f>IF(TOTALCO!E1422="", "",TOTALCO!E1422)</f>
        <v/>
      </c>
      <c r="F889" s="12">
        <f ca="1">IF(TOTALCO!F1422="", "",TOTALCO!F1422)</f>
        <v>-1884219.0815166878</v>
      </c>
      <c r="G889" s="12" t="str">
        <f>IF(TOTALCO!G1422="", "",TOTALCO!G1422)</f>
        <v/>
      </c>
      <c r="H889" s="12">
        <f ca="1">IF(TOTALCO!H1422="", "",TOTALCO!H1422)</f>
        <v>-116083.25565312753</v>
      </c>
      <c r="I889" s="12">
        <f ca="1">IF(TOTALCO!I1422="", "",TOTALCO!I1422)</f>
        <v>-118276.41283018446</v>
      </c>
      <c r="J889" s="12" t="str">
        <f>IF(TOTALCO!J1422="", "",TOTALCO!J1422)</f>
        <v/>
      </c>
      <c r="K889" s="12" t="str">
        <f>IF(TOTALCO!K1422="", "",TOTALCO!K1422)</f>
        <v/>
      </c>
      <c r="L889" s="12">
        <f ca="1">IF(TOTALCO!L1422="", "",TOTALCO!L1422)</f>
        <v>-65.037466872499607</v>
      </c>
      <c r="M889" s="12" t="str">
        <f>IF(TOTALCO!M1422="", "",TOTALCO!M1422)</f>
        <v/>
      </c>
      <c r="N889" s="12">
        <f ca="1">IF(TOTALCO!N1422="", "",TOTALCO!N1422)</f>
        <v>-118211.37536331196</v>
      </c>
      <c r="O889" s="12">
        <f ca="1">IF(TOTALCO!O1422="", "",TOTALCO!O1422)</f>
        <v>-38402.450441744135</v>
      </c>
      <c r="P889" s="12">
        <f ca="1">IF(TOTALCO!P1422="", "",TOTALCO!P1422)</f>
        <v>-79808.924921567828</v>
      </c>
      <c r="Q889" s="12"/>
      <c r="R889" s="13"/>
    </row>
    <row r="890" spans="1:18" ht="15" x14ac:dyDescent="0.2">
      <c r="A890" s="382">
        <f>IF(TOTALCO!A1423="", "",TOTALCO!A1423)</f>
        <v>19</v>
      </c>
      <c r="B890" s="4" t="str">
        <f>IF(TOTALCO!B1423="", "",TOTALCO!B1423)</f>
        <v xml:space="preserve">      FERC 923</v>
      </c>
      <c r="C890" s="4" t="str">
        <f>IF(TOTALCO!C1423="", "",TOTALCO!C1423)</f>
        <v>PTDCUSTLABOR</v>
      </c>
      <c r="D890" s="12">
        <f ca="1">IF(TOTALCO!D1423="", "",TOTALCO!D1423)</f>
        <v>0</v>
      </c>
      <c r="E890" s="12" t="str">
        <f>IF(TOTALCO!E1423="", "",TOTALCO!E1423)</f>
        <v/>
      </c>
      <c r="F890" s="12">
        <f ca="1">IF(TOTALCO!F1423="", "",TOTALCO!F1423)</f>
        <v>0</v>
      </c>
      <c r="G890" s="12" t="str">
        <f>IF(TOTALCO!G1423="", "",TOTALCO!G1423)</f>
        <v/>
      </c>
      <c r="H890" s="12">
        <f ca="1">IF(TOTALCO!H1423="", "",TOTALCO!H1423)</f>
        <v>0</v>
      </c>
      <c r="I890" s="12">
        <f ca="1">IF(TOTALCO!I1423="", "",TOTALCO!I1423)</f>
        <v>0</v>
      </c>
      <c r="J890" s="12" t="str">
        <f>IF(TOTALCO!J1423="", "",TOTALCO!J1423)</f>
        <v/>
      </c>
      <c r="K890" s="12" t="str">
        <f>IF(TOTALCO!K1423="", "",TOTALCO!K1423)</f>
        <v/>
      </c>
      <c r="L890" s="12">
        <f ca="1">IF(TOTALCO!L1423="", "",TOTALCO!L1423)</f>
        <v>0</v>
      </c>
      <c r="M890" s="12" t="str">
        <f>IF(TOTALCO!M1423="", "",TOTALCO!M1423)</f>
        <v/>
      </c>
      <c r="N890" s="12">
        <f ca="1">IF(TOTALCO!N1423="", "",TOTALCO!N1423)</f>
        <v>0</v>
      </c>
      <c r="O890" s="12">
        <f ca="1">IF(TOTALCO!O1423="", "",TOTALCO!O1423)</f>
        <v>0</v>
      </c>
      <c r="P890" s="12">
        <f ca="1">IF(TOTALCO!P1423="", "",TOTALCO!P1423)</f>
        <v>0</v>
      </c>
      <c r="Q890" s="12"/>
      <c r="R890" s="13"/>
    </row>
    <row r="891" spans="1:18" ht="15" x14ac:dyDescent="0.2">
      <c r="A891" s="382">
        <f>IF(TOTALCO!A1424="", "",TOTALCO!A1424)</f>
        <v>20</v>
      </c>
      <c r="B891" s="4" t="str">
        <f>IF(TOTALCO!B1424="", "",TOTALCO!B1424)</f>
        <v xml:space="preserve">      FERC 924</v>
      </c>
      <c r="C891" s="4" t="str">
        <f>IF(TOTALCO!C1424="", "",TOTALCO!C1424)</f>
        <v>PTDCUSTLABOR</v>
      </c>
      <c r="D891" s="12">
        <f ca="1">IF(TOTALCO!D1424="", "",TOTALCO!D1424)</f>
        <v>0</v>
      </c>
      <c r="E891" s="12" t="str">
        <f>IF(TOTALCO!E1424="", "",TOTALCO!E1424)</f>
        <v/>
      </c>
      <c r="F891" s="12">
        <f ca="1">IF(TOTALCO!F1424="", "",TOTALCO!F1424)</f>
        <v>0</v>
      </c>
      <c r="G891" s="12" t="str">
        <f>IF(TOTALCO!G1424="", "",TOTALCO!G1424)</f>
        <v/>
      </c>
      <c r="H891" s="12">
        <f ca="1">IF(TOTALCO!H1424="", "",TOTALCO!H1424)</f>
        <v>0</v>
      </c>
      <c r="I891" s="12">
        <f ca="1">IF(TOTALCO!I1424="", "",TOTALCO!I1424)</f>
        <v>0</v>
      </c>
      <c r="J891" s="12" t="str">
        <f>IF(TOTALCO!J1424="", "",TOTALCO!J1424)</f>
        <v/>
      </c>
      <c r="K891" s="12" t="str">
        <f>IF(TOTALCO!K1424="", "",TOTALCO!K1424)</f>
        <v/>
      </c>
      <c r="L891" s="12">
        <f ca="1">IF(TOTALCO!L1424="", "",TOTALCO!L1424)</f>
        <v>0</v>
      </c>
      <c r="M891" s="12" t="str">
        <f>IF(TOTALCO!M1424="", "",TOTALCO!M1424)</f>
        <v/>
      </c>
      <c r="N891" s="12">
        <f ca="1">IF(TOTALCO!N1424="", "",TOTALCO!N1424)</f>
        <v>0</v>
      </c>
      <c r="O891" s="12">
        <f ca="1">IF(TOTALCO!O1424="", "",TOTALCO!O1424)</f>
        <v>0</v>
      </c>
      <c r="P891" s="12">
        <f ca="1">IF(TOTALCO!P1424="", "",TOTALCO!P1424)</f>
        <v>0</v>
      </c>
      <c r="Q891" s="12"/>
      <c r="R891" s="13"/>
    </row>
    <row r="892" spans="1:18" ht="15" x14ac:dyDescent="0.2">
      <c r="A892" s="382">
        <f>IF(TOTALCO!A1425="", "",TOTALCO!A1425)</f>
        <v>21</v>
      </c>
      <c r="B892" s="4" t="str">
        <f>IF(TOTALCO!B1425="", "",TOTALCO!B1425)</f>
        <v xml:space="preserve">      FERC 925</v>
      </c>
      <c r="C892" s="4" t="str">
        <f>IF(TOTALCO!C1425="", "",TOTALCO!C1425)</f>
        <v>PTDCUSTLABOR</v>
      </c>
      <c r="D892" s="12">
        <f ca="1">IF(TOTALCO!D1425="", "",TOTALCO!D1425)</f>
        <v>894372.42</v>
      </c>
      <c r="E892" s="12" t="str">
        <f>IF(TOTALCO!E1425="", "",TOTALCO!E1425)</f>
        <v/>
      </c>
      <c r="F892" s="12">
        <f ca="1">IF(TOTALCO!F1425="", "",TOTALCO!F1425)</f>
        <v>795435.89292881254</v>
      </c>
      <c r="G892" s="12" t="str">
        <f>IF(TOTALCO!G1425="", "",TOTALCO!G1425)</f>
        <v/>
      </c>
      <c r="H892" s="12">
        <f ca="1">IF(TOTALCO!H1425="", "",TOTALCO!H1425)</f>
        <v>49005.335430635445</v>
      </c>
      <c r="I892" s="12">
        <f ca="1">IF(TOTALCO!I1425="", "",TOTALCO!I1425)</f>
        <v>49931.19164055201</v>
      </c>
      <c r="J892" s="12" t="str">
        <f>IF(TOTALCO!J1425="", "",TOTALCO!J1425)</f>
        <v/>
      </c>
      <c r="K892" s="12" t="str">
        <f>IF(TOTALCO!K1425="", "",TOTALCO!K1425)</f>
        <v/>
      </c>
      <c r="L892" s="12">
        <f ca="1">IF(TOTALCO!L1425="", "",TOTALCO!L1425)</f>
        <v>27.456008721614577</v>
      </c>
      <c r="M892" s="12" t="str">
        <f>IF(TOTALCO!M1425="", "",TOTALCO!M1425)</f>
        <v/>
      </c>
      <c r="N892" s="12">
        <f ca="1">IF(TOTALCO!N1425="", "",TOTALCO!N1425)</f>
        <v>49903.735631830394</v>
      </c>
      <c r="O892" s="12">
        <f ca="1">IF(TOTALCO!O1425="", "",TOTALCO!O1425)</f>
        <v>16211.855488266732</v>
      </c>
      <c r="P892" s="12">
        <f ca="1">IF(TOTALCO!P1425="", "",TOTALCO!P1425)</f>
        <v>33691.880143563663</v>
      </c>
      <c r="Q892" s="12"/>
      <c r="R892" s="13"/>
    </row>
    <row r="893" spans="1:18" ht="15" x14ac:dyDescent="0.2">
      <c r="A893" s="382">
        <f>IF(TOTALCO!A1426="", "",TOTALCO!A1426)</f>
        <v>22</v>
      </c>
      <c r="B893" s="4" t="str">
        <f>IF(TOTALCO!B1426="", "",TOTALCO!B1426)</f>
        <v xml:space="preserve">      FERC 926</v>
      </c>
      <c r="C893" s="4" t="str">
        <f>IF(TOTALCO!C1426="", "",TOTALCO!C1426)</f>
        <v>PTDCUSTLABOR</v>
      </c>
      <c r="D893" s="12">
        <f ca="1">IF(TOTALCO!D1426="", "",TOTALCO!D1426)</f>
        <v>39264089.25</v>
      </c>
      <c r="E893" s="12" t="str">
        <f>IF(TOTALCO!E1426="", "",TOTALCO!E1426)</f>
        <v/>
      </c>
      <c r="F893" s="12">
        <f ca="1">IF(TOTALCO!F1426="", "",TOTALCO!F1426)</f>
        <v>34920649.602109082</v>
      </c>
      <c r="G893" s="12" t="str">
        <f>IF(TOTALCO!G1426="", "",TOTALCO!G1426)</f>
        <v/>
      </c>
      <c r="H893" s="12">
        <f ca="1">IF(TOTALCO!H1426="", "",TOTALCO!H1426)</f>
        <v>2151396.690066379</v>
      </c>
      <c r="I893" s="12">
        <f ca="1">IF(TOTALCO!I1426="", "",TOTALCO!I1426)</f>
        <v>2192042.9578245357</v>
      </c>
      <c r="J893" s="12" t="str">
        <f>IF(TOTALCO!J1426="", "",TOTALCO!J1426)</f>
        <v/>
      </c>
      <c r="K893" s="12" t="str">
        <f>IF(TOTALCO!K1426="", "",TOTALCO!K1426)</f>
        <v/>
      </c>
      <c r="L893" s="12">
        <f ca="1">IF(TOTALCO!L1426="", "",TOTALCO!L1426)</f>
        <v>1205.3537796863784</v>
      </c>
      <c r="M893" s="12" t="str">
        <f>IF(TOTALCO!M1426="", "",TOTALCO!M1426)</f>
        <v/>
      </c>
      <c r="N893" s="12">
        <f ca="1">IF(TOTALCO!N1426="", "",TOTALCO!N1426)</f>
        <v>2190837.6040448495</v>
      </c>
      <c r="O893" s="12">
        <f ca="1">IF(TOTALCO!O1426="", "",TOTALCO!O1426)</f>
        <v>711721.12038003956</v>
      </c>
      <c r="P893" s="12">
        <f ca="1">IF(TOTALCO!P1426="", "",TOTALCO!P1426)</f>
        <v>1479116.48366481</v>
      </c>
      <c r="Q893" s="12"/>
      <c r="R893" s="13"/>
    </row>
    <row r="894" spans="1:18" ht="15" x14ac:dyDescent="0.2">
      <c r="A894" s="382">
        <f>IF(TOTALCO!A1427="", "",TOTALCO!A1427)</f>
        <v>23</v>
      </c>
      <c r="B894" s="4" t="str">
        <f>IF(TOTALCO!B1427="", "",TOTALCO!B1427)</f>
        <v xml:space="preserve">      FERC 927</v>
      </c>
      <c r="C894" s="4" t="str">
        <f>IF(TOTALCO!C1427="", "",TOTALCO!C1427)</f>
        <v>PTDCUSTLABOR</v>
      </c>
      <c r="D894" s="12">
        <f ca="1">IF(TOTALCO!D1427="", "",TOTALCO!D1427)</f>
        <v>0</v>
      </c>
      <c r="E894" s="12" t="str">
        <f>IF(TOTALCO!E1427="", "",TOTALCO!E1427)</f>
        <v/>
      </c>
      <c r="F894" s="12">
        <f ca="1">IF(TOTALCO!F1427="", "",TOTALCO!F1427)</f>
        <v>0</v>
      </c>
      <c r="G894" s="12" t="str">
        <f>IF(TOTALCO!G1427="", "",TOTALCO!G1427)</f>
        <v/>
      </c>
      <c r="H894" s="12">
        <f ca="1">IF(TOTALCO!H1427="", "",TOTALCO!H1427)</f>
        <v>0</v>
      </c>
      <c r="I894" s="12">
        <f ca="1">IF(TOTALCO!I1427="", "",TOTALCO!I1427)</f>
        <v>0</v>
      </c>
      <c r="J894" s="12" t="str">
        <f>IF(TOTALCO!J1427="", "",TOTALCO!J1427)</f>
        <v/>
      </c>
      <c r="K894" s="12" t="str">
        <f>IF(TOTALCO!K1427="", "",TOTALCO!K1427)</f>
        <v/>
      </c>
      <c r="L894" s="12">
        <f ca="1">IF(TOTALCO!L1427="", "",TOTALCO!L1427)</f>
        <v>0</v>
      </c>
      <c r="M894" s="12" t="str">
        <f>IF(TOTALCO!M1427="", "",TOTALCO!M1427)</f>
        <v/>
      </c>
      <c r="N894" s="12">
        <f ca="1">IF(TOTALCO!N1427="", "",TOTALCO!N1427)</f>
        <v>0</v>
      </c>
      <c r="O894" s="12">
        <f ca="1">IF(TOTALCO!O1427="", "",TOTALCO!O1427)</f>
        <v>0</v>
      </c>
      <c r="P894" s="12">
        <f ca="1">IF(TOTALCO!P1427="", "",TOTALCO!P1427)</f>
        <v>0</v>
      </c>
      <c r="Q894" s="12"/>
      <c r="R894" s="13"/>
    </row>
    <row r="895" spans="1:18" ht="15" x14ac:dyDescent="0.2">
      <c r="A895" s="382">
        <f>IF(TOTALCO!A1428="", "",TOTALCO!A1428)</f>
        <v>24</v>
      </c>
      <c r="B895" s="4" t="str">
        <f>IF(TOTALCO!B1428="", "",TOTALCO!B1428)</f>
        <v xml:space="preserve">      FERC 929</v>
      </c>
      <c r="C895" s="4" t="str">
        <f>IF(TOTALCO!C1428="", "",TOTALCO!C1428)</f>
        <v>PTDCUSTLABOR</v>
      </c>
      <c r="D895" s="12">
        <f ca="1">IF(TOTALCO!D1428="", "",TOTALCO!D1428)</f>
        <v>0</v>
      </c>
      <c r="E895" s="12" t="str">
        <f>IF(TOTALCO!E1428="", "",TOTALCO!E1428)</f>
        <v/>
      </c>
      <c r="F895" s="12">
        <f ca="1">IF(TOTALCO!F1428="", "",TOTALCO!F1428)</f>
        <v>0</v>
      </c>
      <c r="G895" s="12" t="str">
        <f>IF(TOTALCO!G1428="", "",TOTALCO!G1428)</f>
        <v/>
      </c>
      <c r="H895" s="12">
        <f ca="1">IF(TOTALCO!H1428="", "",TOTALCO!H1428)</f>
        <v>0</v>
      </c>
      <c r="I895" s="12">
        <f ca="1">IF(TOTALCO!I1428="", "",TOTALCO!I1428)</f>
        <v>0</v>
      </c>
      <c r="J895" s="12" t="str">
        <f>IF(TOTALCO!J1428="", "",TOTALCO!J1428)</f>
        <v/>
      </c>
      <c r="K895" s="12" t="str">
        <f>IF(TOTALCO!K1428="", "",TOTALCO!K1428)</f>
        <v/>
      </c>
      <c r="L895" s="12">
        <f ca="1">IF(TOTALCO!L1428="", "",TOTALCO!L1428)</f>
        <v>0</v>
      </c>
      <c r="M895" s="12" t="str">
        <f>IF(TOTALCO!M1428="", "",TOTALCO!M1428)</f>
        <v/>
      </c>
      <c r="N895" s="12">
        <f ca="1">IF(TOTALCO!N1428="", "",TOTALCO!N1428)</f>
        <v>0</v>
      </c>
      <c r="O895" s="12">
        <f ca="1">IF(TOTALCO!O1428="", "",TOTALCO!O1428)</f>
        <v>0</v>
      </c>
      <c r="P895" s="12">
        <f ca="1">IF(TOTALCO!P1428="", "",TOTALCO!P1428)</f>
        <v>0</v>
      </c>
      <c r="Q895" s="12"/>
      <c r="R895" s="13"/>
    </row>
    <row r="896" spans="1:18" ht="15" x14ac:dyDescent="0.2">
      <c r="A896" s="382">
        <f>IF(TOTALCO!A1429="", "",TOTALCO!A1429)</f>
        <v>25</v>
      </c>
      <c r="B896" s="4" t="str">
        <f>IF(TOTALCO!B1429="", "",TOTALCO!B1429)</f>
        <v xml:space="preserve">      FERC 930</v>
      </c>
      <c r="C896" s="4" t="str">
        <f>IF(TOTALCO!C1429="", "",TOTALCO!C1429)</f>
        <v>PTDCUSTLABOR</v>
      </c>
      <c r="D896" s="12">
        <f ca="1">IF(TOTALCO!D1429="", "",TOTALCO!D1429)</f>
        <v>34852.629999999997</v>
      </c>
      <c r="E896" s="12" t="str">
        <f>IF(TOTALCO!E1429="", "",TOTALCO!E1429)</f>
        <v/>
      </c>
      <c r="F896" s="12">
        <f ca="1">IF(TOTALCO!F1429="", "",TOTALCO!F1429)</f>
        <v>30997.191153286592</v>
      </c>
      <c r="G896" s="12" t="str">
        <f>IF(TOTALCO!G1429="", "",TOTALCO!G1429)</f>
        <v/>
      </c>
      <c r="H896" s="12">
        <f ca="1">IF(TOTALCO!H1429="", "",TOTALCO!H1429)</f>
        <v>1909.6796654237482</v>
      </c>
      <c r="I896" s="12">
        <f ca="1">IF(TOTALCO!I1429="", "",TOTALCO!I1429)</f>
        <v>1945.7591812896605</v>
      </c>
      <c r="J896" s="12" t="str">
        <f>IF(TOTALCO!J1429="", "",TOTALCO!J1429)</f>
        <v/>
      </c>
      <c r="K896" s="12" t="str">
        <f>IF(TOTALCO!K1429="", "",TOTALCO!K1429)</f>
        <v/>
      </c>
      <c r="L896" s="12">
        <f ca="1">IF(TOTALCO!L1429="", "",TOTALCO!L1429)</f>
        <v>1.0699280208698809</v>
      </c>
      <c r="M896" s="12" t="str">
        <f>IF(TOTALCO!M1429="", "",TOTALCO!M1429)</f>
        <v/>
      </c>
      <c r="N896" s="12">
        <f ca="1">IF(TOTALCO!N1429="", "",TOTALCO!N1429)</f>
        <v>1944.6892532687907</v>
      </c>
      <c r="O896" s="12">
        <f ca="1">IF(TOTALCO!O1429="", "",TOTALCO!O1429)</f>
        <v>631.75673613239303</v>
      </c>
      <c r="P896" s="12">
        <f ca="1">IF(TOTALCO!P1429="", "",TOTALCO!P1429)</f>
        <v>1312.9325171363976</v>
      </c>
      <c r="Q896" s="12"/>
      <c r="R896" s="13"/>
    </row>
    <row r="897" spans="1:18" ht="15" x14ac:dyDescent="0.2">
      <c r="A897" s="382">
        <f>IF(TOTALCO!A1430="", "",TOTALCO!A1430)</f>
        <v>26</v>
      </c>
      <c r="B897" s="4" t="str">
        <f>IF(TOTALCO!B1430="", "",TOTALCO!B1430)</f>
        <v xml:space="preserve">      FERC 931</v>
      </c>
      <c r="C897" s="4" t="str">
        <f>IF(TOTALCO!C1430="", "",TOTALCO!C1430)</f>
        <v>PTDCUSTLABOR</v>
      </c>
      <c r="D897" s="12">
        <f ca="1">IF(TOTALCO!D1430="", "",TOTALCO!D1430)</f>
        <v>0</v>
      </c>
      <c r="E897" s="12" t="str">
        <f>IF(TOTALCO!E1430="", "",TOTALCO!E1430)</f>
        <v/>
      </c>
      <c r="F897" s="12">
        <f ca="1">IF(TOTALCO!F1430="", "",TOTALCO!F1430)</f>
        <v>0</v>
      </c>
      <c r="G897" s="12" t="str">
        <f>IF(TOTALCO!G1430="", "",TOTALCO!G1430)</f>
        <v/>
      </c>
      <c r="H897" s="12">
        <f ca="1">IF(TOTALCO!H1430="", "",TOTALCO!H1430)</f>
        <v>0</v>
      </c>
      <c r="I897" s="12">
        <f ca="1">IF(TOTALCO!I1430="", "",TOTALCO!I1430)</f>
        <v>0</v>
      </c>
      <c r="J897" s="12" t="str">
        <f>IF(TOTALCO!J1430="", "",TOTALCO!J1430)</f>
        <v/>
      </c>
      <c r="K897" s="12" t="str">
        <f>IF(TOTALCO!K1430="", "",TOTALCO!K1430)</f>
        <v/>
      </c>
      <c r="L897" s="12">
        <f ca="1">IF(TOTALCO!L1430="", "",TOTALCO!L1430)</f>
        <v>0</v>
      </c>
      <c r="M897" s="12" t="str">
        <f>IF(TOTALCO!M1430="", "",TOTALCO!M1430)</f>
        <v/>
      </c>
      <c r="N897" s="12">
        <f ca="1">IF(TOTALCO!N1430="", "",TOTALCO!N1430)</f>
        <v>0</v>
      </c>
      <c r="O897" s="12">
        <f ca="1">IF(TOTALCO!O1430="", "",TOTALCO!O1430)</f>
        <v>0</v>
      </c>
      <c r="P897" s="12">
        <f ca="1">IF(TOTALCO!P1430="", "",TOTALCO!P1430)</f>
        <v>0</v>
      </c>
      <c r="Q897" s="12"/>
      <c r="R897" s="13"/>
    </row>
    <row r="898" spans="1:18" ht="15" x14ac:dyDescent="0.2">
      <c r="A898" s="382">
        <f>IF(TOTALCO!A1431="", "",TOTALCO!A1431)</f>
        <v>27</v>
      </c>
      <c r="B898" s="4" t="str">
        <f>IF(TOTALCO!B1431="", "",TOTALCO!B1431)</f>
        <v xml:space="preserve">      FERC 935</v>
      </c>
      <c r="C898" s="4" t="str">
        <f>IF(TOTALCO!C1431="", "",TOTALCO!C1431)</f>
        <v>PTDCUSTLABOR</v>
      </c>
      <c r="D898" s="12">
        <f ca="1">IF(TOTALCO!D1431="", "",TOTALCO!D1431)</f>
        <v>5695280.1600000001</v>
      </c>
      <c r="E898" s="12" t="str">
        <f>IF(TOTALCO!E1431="", "",TOTALCO!E1431)</f>
        <v/>
      </c>
      <c r="F898" s="12">
        <f ca="1">IF(TOTALCO!F1431="", "",TOTALCO!F1431)</f>
        <v>5065261.5825847471</v>
      </c>
      <c r="G898" s="12" t="str">
        <f>IF(TOTALCO!G1431="", "",TOTALCO!G1431)</f>
        <v/>
      </c>
      <c r="H898" s="12">
        <f ca="1">IF(TOTALCO!H1431="", "",TOTALCO!H1431)</f>
        <v>312061.40570864553</v>
      </c>
      <c r="I898" s="12">
        <f ca="1">IF(TOTALCO!I1431="", "",TOTALCO!I1431)</f>
        <v>317957.1717066071</v>
      </c>
      <c r="J898" s="12" t="str">
        <f>IF(TOTALCO!J1431="", "",TOTALCO!J1431)</f>
        <v/>
      </c>
      <c r="K898" s="12" t="str">
        <f>IF(TOTALCO!K1431="", "",TOTALCO!K1431)</f>
        <v/>
      </c>
      <c r="L898" s="12">
        <f ca="1">IF(TOTALCO!L1431="", "",TOTALCO!L1431)</f>
        <v>174.83730294925513</v>
      </c>
      <c r="M898" s="12" t="str">
        <f>IF(TOTALCO!M1431="", "",TOTALCO!M1431)</f>
        <v/>
      </c>
      <c r="N898" s="12">
        <f ca="1">IF(TOTALCO!N1431="", "",TOTALCO!N1431)</f>
        <v>317782.33440365782</v>
      </c>
      <c r="O898" s="12">
        <f ca="1">IF(TOTALCO!O1431="", "",TOTALCO!O1431)</f>
        <v>103235.5838064781</v>
      </c>
      <c r="P898" s="12">
        <f ca="1">IF(TOTALCO!P1431="", "",TOTALCO!P1431)</f>
        <v>214546.75059717972</v>
      </c>
      <c r="Q898" s="12"/>
      <c r="R898" s="13"/>
    </row>
    <row r="899" spans="1:18" ht="15" x14ac:dyDescent="0.2">
      <c r="A899" s="382" t="str">
        <f>IF(TOTALCO!A1432="", "",TOTALCO!A1432)</f>
        <v/>
      </c>
      <c r="B899" s="4" t="str">
        <f>IF(TOTALCO!B1432="", "",TOTALCO!B1432)</f>
        <v/>
      </c>
      <c r="C899" s="4" t="str">
        <f>IF(TOTALCO!C1432="", "",TOTALCO!C1432)</f>
        <v/>
      </c>
      <c r="D899" s="12" t="str">
        <f>IF(TOTALCO!D1432="", "",TOTALCO!D1432)</f>
        <v/>
      </c>
      <c r="E899" s="12" t="str">
        <f>IF(TOTALCO!E1432="", "",TOTALCO!E1432)</f>
        <v/>
      </c>
      <c r="F899" s="12" t="str">
        <f>IF(TOTALCO!F1432="", "",TOTALCO!F1432)</f>
        <v/>
      </c>
      <c r="G899" s="12" t="str">
        <f>IF(TOTALCO!G1432="", "",TOTALCO!G1432)</f>
        <v/>
      </c>
      <c r="H899" s="12" t="str">
        <f>IF(TOTALCO!H1432="", "",TOTALCO!H1432)</f>
        <v/>
      </c>
      <c r="I899" s="12" t="str">
        <f>IF(TOTALCO!I1432="", "",TOTALCO!I1432)</f>
        <v/>
      </c>
      <c r="J899" s="12" t="str">
        <f>IF(TOTALCO!J1432="", "",TOTALCO!J1432)</f>
        <v/>
      </c>
      <c r="K899" s="12" t="str">
        <f>IF(TOTALCO!K1432="", "",TOTALCO!K1432)</f>
        <v/>
      </c>
      <c r="L899" s="12" t="str">
        <f>IF(TOTALCO!L1432="", "",TOTALCO!L1432)</f>
        <v/>
      </c>
      <c r="M899" s="12" t="str">
        <f>IF(TOTALCO!M1432="", "",TOTALCO!M1432)</f>
        <v/>
      </c>
      <c r="N899" s="12" t="str">
        <f>IF(TOTALCO!N1432="", "",TOTALCO!N1432)</f>
        <v/>
      </c>
      <c r="O899" s="12" t="str">
        <f>IF(TOTALCO!O1432="", "",TOTALCO!O1432)</f>
        <v/>
      </c>
      <c r="P899" s="12" t="str">
        <f>IF(TOTALCO!P1432="", "",TOTALCO!P1432)</f>
        <v/>
      </c>
      <c r="Q899" s="12"/>
      <c r="R899" s="13"/>
    </row>
    <row r="900" spans="1:18" ht="15" x14ac:dyDescent="0.2">
      <c r="A900" s="382">
        <f>IF(TOTALCO!A1433="", "",TOTALCO!A1433)</f>
        <v>28</v>
      </c>
      <c r="B900" s="4" t="str">
        <f>IF(TOTALCO!B1433="", "",TOTALCO!B1433)</f>
        <v xml:space="preserve"> TOTAL ADMIN &amp; GENERAL  LABOR</v>
      </c>
      <c r="C900" s="4" t="str">
        <f>IF(TOTALCO!C1433="", "",TOTALCO!C1433)</f>
        <v/>
      </c>
      <c r="D900" s="12">
        <f ca="1">IF(TOTALCO!D1433="", "",TOTALCO!D1433)</f>
        <v>65646329.549999997</v>
      </c>
      <c r="E900" s="12" t="str">
        <f>IF(TOTALCO!E1433="", "",TOTALCO!E1433)</f>
        <v/>
      </c>
      <c r="F900" s="12">
        <f ca="1">IF(TOTALCO!F1433="", "",TOTALCO!F1433)</f>
        <v>58384455.508034714</v>
      </c>
      <c r="G900" s="12" t="str">
        <f>IF(TOTALCO!G1433="", "",TOTALCO!G1433)</f>
        <v/>
      </c>
      <c r="H900" s="12">
        <f ca="1">IF(TOTALCO!H1433="", "",TOTALCO!H1433)</f>
        <v>3596958.411785312</v>
      </c>
      <c r="I900" s="12">
        <f ca="1">IF(TOTALCO!I1433="", "",TOTALCO!I1433)</f>
        <v>3664915.6301799677</v>
      </c>
      <c r="J900" s="12" t="str">
        <f>IF(TOTALCO!J1433="", "",TOTALCO!J1433)</f>
        <v/>
      </c>
      <c r="K900" s="12" t="str">
        <f>IF(TOTALCO!K1433="", "",TOTALCO!K1433)</f>
        <v/>
      </c>
      <c r="L900" s="12">
        <f ca="1">IF(TOTALCO!L1433="", "",TOTALCO!L1433)</f>
        <v>2015.2524344017502</v>
      </c>
      <c r="M900" s="12" t="str">
        <f>IF(TOTALCO!M1433="", "",TOTALCO!M1433)</f>
        <v/>
      </c>
      <c r="N900" s="12">
        <f ca="1">IF(TOTALCO!N1433="", "",TOTALCO!N1433)</f>
        <v>3662900.377745566</v>
      </c>
      <c r="O900" s="12">
        <f ca="1">IF(TOTALCO!O1433="", "",TOTALCO!O1433)</f>
        <v>1189939.2067565478</v>
      </c>
      <c r="P900" s="12">
        <f ca="1">IF(TOTALCO!P1433="", "",TOTALCO!P1433)</f>
        <v>2472961.1709890179</v>
      </c>
      <c r="Q900" s="12"/>
      <c r="R900" s="13"/>
    </row>
    <row r="901" spans="1:18" ht="15" x14ac:dyDescent="0.2">
      <c r="A901" s="382" t="str">
        <f>IF(TOTALCO!A1434="", "",TOTALCO!A1434)</f>
        <v/>
      </c>
      <c r="B901" s="4" t="str">
        <f>IF(TOTALCO!B1434="", "",TOTALCO!B1434)</f>
        <v/>
      </c>
      <c r="C901" s="4" t="str">
        <f>IF(TOTALCO!C1434="", "",TOTALCO!C1434)</f>
        <v/>
      </c>
      <c r="D901" s="12" t="str">
        <f>IF(TOTALCO!D1434="", "",TOTALCO!D1434)</f>
        <v/>
      </c>
      <c r="E901" s="12" t="str">
        <f>IF(TOTALCO!E1434="", "",TOTALCO!E1434)</f>
        <v/>
      </c>
      <c r="F901" s="12" t="str">
        <f>IF(TOTALCO!F1434="", "",TOTALCO!F1434)</f>
        <v/>
      </c>
      <c r="G901" s="12" t="str">
        <f>IF(TOTALCO!G1434="", "",TOTALCO!G1434)</f>
        <v/>
      </c>
      <c r="H901" s="12" t="str">
        <f>IF(TOTALCO!H1434="", "",TOTALCO!H1434)</f>
        <v/>
      </c>
      <c r="I901" s="12" t="str">
        <f>IF(TOTALCO!I1434="", "",TOTALCO!I1434)</f>
        <v/>
      </c>
      <c r="J901" s="12" t="str">
        <f>IF(TOTALCO!J1434="", "",TOTALCO!J1434)</f>
        <v/>
      </c>
      <c r="K901" s="12" t="str">
        <f>IF(TOTALCO!K1434="", "",TOTALCO!K1434)</f>
        <v/>
      </c>
      <c r="L901" s="12" t="str">
        <f>IF(TOTALCO!L1434="", "",TOTALCO!L1434)</f>
        <v/>
      </c>
      <c r="M901" s="12" t="str">
        <f>IF(TOTALCO!M1434="", "",TOTALCO!M1434)</f>
        <v/>
      </c>
      <c r="N901" s="12" t="str">
        <f>IF(TOTALCO!N1434="", "",TOTALCO!N1434)</f>
        <v/>
      </c>
      <c r="O901" s="12" t="str">
        <f>IF(TOTALCO!O1434="", "",TOTALCO!O1434)</f>
        <v/>
      </c>
      <c r="P901" s="12" t="str">
        <f>IF(TOTALCO!P1434="", "",TOTALCO!P1434)</f>
        <v/>
      </c>
      <c r="Q901" s="12"/>
      <c r="R901" s="13"/>
    </row>
    <row r="902" spans="1:18" ht="15" x14ac:dyDescent="0.2">
      <c r="A902" s="382">
        <f>IF(TOTALCO!A1435="", "",TOTALCO!A1435)</f>
        <v>29</v>
      </c>
      <c r="B902" s="4" t="str">
        <f>IF(TOTALCO!B1435="", "",TOTALCO!B1435)</f>
        <v>TOTAL LABOR EXPENSES</v>
      </c>
      <c r="C902" s="4" t="str">
        <f>IF(TOTALCO!C1435="", "",TOTALCO!C1435)</f>
        <v/>
      </c>
      <c r="D902" s="12">
        <f ca="1">IF(TOTALCO!D1435="", "",TOTALCO!D1435)</f>
        <v>152351955.20000002</v>
      </c>
      <c r="E902" s="12" t="str">
        <f>IF(TOTALCO!E1435="", "",TOTALCO!E1435)</f>
        <v/>
      </c>
      <c r="F902" s="12">
        <f ca="1">IF(TOTALCO!F1435="", "",TOTALCO!F1435)</f>
        <v>135498603.05840206</v>
      </c>
      <c r="G902" s="12" t="str">
        <f>IF(TOTALCO!G1435="", "",TOTALCO!G1435)</f>
        <v/>
      </c>
      <c r="H902" s="12">
        <f ca="1">IF(TOTALCO!H1435="", "",TOTALCO!H1435)</f>
        <v>8347818.5386006702</v>
      </c>
      <c r="I902" s="12">
        <f ca="1">IF(TOTALCO!I1435="", "",TOTALCO!I1435)</f>
        <v>8505533.6029972769</v>
      </c>
      <c r="J902" s="12" t="str">
        <f>IF(TOTALCO!J1435="", "",TOTALCO!J1435)</f>
        <v/>
      </c>
      <c r="K902" s="12" t="str">
        <f>IF(TOTALCO!K1435="", "",TOTALCO!K1435)</f>
        <v/>
      </c>
      <c r="L902" s="12">
        <f ca="1">IF(TOTALCO!L1435="", "",TOTALCO!L1435)</f>
        <v>4676.9964247401913</v>
      </c>
      <c r="M902" s="12" t="str">
        <f>IF(TOTALCO!M1435="", "",TOTALCO!M1435)</f>
        <v/>
      </c>
      <c r="N902" s="12">
        <f ca="1">IF(TOTALCO!N1435="", "",TOTALCO!N1435)</f>
        <v>8500856.6065725368</v>
      </c>
      <c r="O902" s="12">
        <f ca="1">IF(TOTALCO!O1435="", "",TOTALCO!O1435)</f>
        <v>2761610.0696142744</v>
      </c>
      <c r="P902" s="12">
        <f ca="1">IF(TOTALCO!P1435="", "",TOTALCO!P1435)</f>
        <v>5739246.5369582623</v>
      </c>
      <c r="Q902" s="12"/>
      <c r="R902" s="13"/>
    </row>
    <row r="903" spans="1:18" ht="15" x14ac:dyDescent="0.2">
      <c r="A903" s="382" t="str">
        <f>IF(TOTALCO!A1438="", "",TOTALCO!A1438)</f>
        <v/>
      </c>
      <c r="B903" s="4" t="str">
        <f>IF(TOTALCO!B1438="", "",TOTALCO!B1438)</f>
        <v/>
      </c>
      <c r="C903" s="4" t="str">
        <f>IF(TOTALCO!C1438="", "",TOTALCO!C1438)</f>
        <v/>
      </c>
      <c r="D903" s="12" t="str">
        <f>IF(TOTALCO!D1438="", "",TOTALCO!D1438)</f>
        <v/>
      </c>
      <c r="E903" s="12" t="str">
        <f>IF(TOTALCO!E1438="", "",TOTALCO!E1438)</f>
        <v/>
      </c>
      <c r="F903" s="12" t="str">
        <f>IF(TOTALCO!F1438="", "",TOTALCO!F1438)</f>
        <v/>
      </c>
      <c r="G903" s="12" t="str">
        <f>IF(TOTALCO!G1438="", "",TOTALCO!G1438)</f>
        <v/>
      </c>
      <c r="H903" s="12" t="str">
        <f>IF(TOTALCO!H1438="", "",TOTALCO!H1438)</f>
        <v/>
      </c>
      <c r="I903" s="12" t="str">
        <f>IF(TOTALCO!I1438="", "",TOTALCO!I1438)</f>
        <v/>
      </c>
      <c r="J903" s="12" t="str">
        <f>IF(TOTALCO!J1438="", "",TOTALCO!J1438)</f>
        <v/>
      </c>
      <c r="K903" s="12" t="str">
        <f>IF(TOTALCO!K1438="", "",TOTALCO!K1438)</f>
        <v/>
      </c>
      <c r="L903" s="12" t="str">
        <f>IF(TOTALCO!L1438="", "",TOTALCO!L1438)</f>
        <v/>
      </c>
      <c r="M903" s="12" t="str">
        <f>IF(TOTALCO!M1438="", "",TOTALCO!M1438)</f>
        <v/>
      </c>
      <c r="N903" s="12" t="str">
        <f>IF(TOTALCO!N1438="", "",TOTALCO!N1438)</f>
        <v/>
      </c>
      <c r="O903" s="12" t="str">
        <f>IF(TOTALCO!O1438="", "",TOTALCO!O1438)</f>
        <v/>
      </c>
      <c r="P903" s="12" t="str">
        <f>IF(TOTALCO!P1438="", "",TOTALCO!P1438)</f>
        <v/>
      </c>
      <c r="Q903" s="12"/>
      <c r="R903" s="13"/>
    </row>
    <row r="904" spans="1:18" ht="15" x14ac:dyDescent="0.2">
      <c r="A904" s="382" t="str">
        <f>IF(TOTALCO!A23="", "",TOTALCO!A23)</f>
        <v/>
      </c>
      <c r="B904" s="4" t="str">
        <f>IF(TOTALCO!B23="", "",TOTALCO!B23)</f>
        <v>ALLOCATION FACTOR TABLE</v>
      </c>
      <c r="C904" s="4" t="str">
        <f>IF(TOTALCO!C23="", "",TOTALCO!C23)</f>
        <v/>
      </c>
      <c r="D904" s="4" t="str">
        <f>IF(TOTALCO!D23="", "",TOTALCO!D23)</f>
        <v/>
      </c>
      <c r="E904" s="4" t="str">
        <f>IF(TOTALCO!E23="", "",TOTALCO!E23)</f>
        <v/>
      </c>
      <c r="F904" s="4" t="str">
        <f>IF(TOTALCO!F23="", "",TOTALCO!F23)</f>
        <v/>
      </c>
      <c r="G904" s="4" t="str">
        <f>IF(TOTALCO!G23="", "",TOTALCO!G23)</f>
        <v/>
      </c>
      <c r="H904" s="4" t="str">
        <f>IF(TOTALCO!H23="", "",TOTALCO!H23)</f>
        <v/>
      </c>
      <c r="I904" s="4" t="str">
        <f>IF(TOTALCO!I23="", "",TOTALCO!I23)</f>
        <v/>
      </c>
      <c r="J904" s="4" t="str">
        <f>IF(TOTALCO!J23="", "",TOTALCO!J23)</f>
        <v/>
      </c>
      <c r="K904" s="4" t="str">
        <f>IF(TOTALCO!K23="", "",TOTALCO!K23)</f>
        <v/>
      </c>
      <c r="L904" s="4" t="str">
        <f>IF(TOTALCO!L23="", "",TOTALCO!L23)</f>
        <v/>
      </c>
      <c r="M904" s="4" t="str">
        <f>IF(TOTALCO!M23="", "",TOTALCO!M23)</f>
        <v/>
      </c>
      <c r="N904" s="4" t="str">
        <f>IF(TOTALCO!N23="", "",TOTALCO!N23)</f>
        <v/>
      </c>
      <c r="O904" s="4" t="str">
        <f>IF(TOTALCO!O23="", "",TOTALCO!O23)</f>
        <v/>
      </c>
      <c r="P904" s="4" t="str">
        <f>IF(TOTALCO!P23="", "",TOTALCO!P23)</f>
        <v/>
      </c>
      <c r="Q904" s="4"/>
      <c r="R904" s="13"/>
    </row>
    <row r="905" spans="1:18" ht="15" x14ac:dyDescent="0.2">
      <c r="A905" s="382" t="str">
        <f>IF(TOTALCO!A24="", "",TOTALCO!A24)</f>
        <v/>
      </c>
      <c r="B905" s="4" t="str">
        <f>IF(TOTALCO!B24="", "",TOTALCO!B24)</f>
        <v/>
      </c>
      <c r="C905" s="4" t="str">
        <f>IF(TOTALCO!C24="", "",TOTALCO!C24)</f>
        <v/>
      </c>
      <c r="D905" s="4" t="str">
        <f>IF(TOTALCO!D24="", "",TOTALCO!D24)</f>
        <v/>
      </c>
      <c r="E905" s="4" t="str">
        <f>IF(TOTALCO!E24="", "",TOTALCO!E24)</f>
        <v/>
      </c>
      <c r="F905" s="4" t="str">
        <f>IF(TOTALCO!F24="", "",TOTALCO!F24)</f>
        <v/>
      </c>
      <c r="G905" s="4" t="str">
        <f>IF(TOTALCO!G24="", "",TOTALCO!G24)</f>
        <v/>
      </c>
      <c r="H905" s="4" t="str">
        <f>IF(TOTALCO!H24="", "",TOTALCO!H24)</f>
        <v/>
      </c>
      <c r="I905" s="4" t="str">
        <f>IF(TOTALCO!I24="", "",TOTALCO!I24)</f>
        <v/>
      </c>
      <c r="J905" s="4" t="str">
        <f>IF(TOTALCO!J24="", "",TOTALCO!J24)</f>
        <v/>
      </c>
      <c r="K905" s="4" t="str">
        <f>IF(TOTALCO!K24="", "",TOTALCO!K24)</f>
        <v/>
      </c>
      <c r="L905" s="4" t="str">
        <f>IF(TOTALCO!L24="", "",TOTALCO!L24)</f>
        <v/>
      </c>
      <c r="M905" s="4" t="str">
        <f>IF(TOTALCO!M24="", "",TOTALCO!M24)</f>
        <v/>
      </c>
      <c r="N905" s="4" t="str">
        <f>IF(TOTALCO!N24="", "",TOTALCO!N24)</f>
        <v/>
      </c>
      <c r="O905" s="4" t="str">
        <f>IF(TOTALCO!O24="", "",TOTALCO!O24)</f>
        <v/>
      </c>
      <c r="P905" s="4" t="str">
        <f>IF(TOTALCO!P24="", "",TOTALCO!P24)</f>
        <v/>
      </c>
      <c r="Q905" s="4"/>
      <c r="R905" s="13"/>
    </row>
    <row r="906" spans="1:18" ht="15" x14ac:dyDescent="0.2">
      <c r="A906" s="382" t="str">
        <f>IF(TOTALCO!A25="", "",TOTALCO!A25)</f>
        <v/>
      </c>
      <c r="B906" s="4" t="str">
        <f>IF(TOTALCO!B25="", "",TOTALCO!B25)</f>
        <v>DEMAND RELATED</v>
      </c>
      <c r="C906" s="4" t="str">
        <f>IF(TOTALCO!C25="", "",TOTALCO!C25)</f>
        <v/>
      </c>
      <c r="D906" s="4" t="str">
        <f>IF(TOTALCO!D25="", "",TOTALCO!D25)</f>
        <v/>
      </c>
      <c r="E906" s="4" t="str">
        <f>IF(TOTALCO!E25="", "",TOTALCO!E25)</f>
        <v/>
      </c>
      <c r="F906" s="4" t="str">
        <f>IF(TOTALCO!F25="", "",TOTALCO!F25)</f>
        <v/>
      </c>
      <c r="G906" s="4" t="str">
        <f>IF(TOTALCO!G25="", "",TOTALCO!G25)</f>
        <v/>
      </c>
      <c r="H906" s="4" t="str">
        <f>IF(TOTALCO!H25="", "",TOTALCO!H25)</f>
        <v/>
      </c>
      <c r="I906" s="4" t="str">
        <f>IF(TOTALCO!I25="", "",TOTALCO!I25)</f>
        <v/>
      </c>
      <c r="J906" s="4" t="str">
        <f>IF(TOTALCO!J25="", "",TOTALCO!J25)</f>
        <v/>
      </c>
      <c r="K906" s="4" t="str">
        <f>IF(TOTALCO!K25="", "",TOTALCO!K25)</f>
        <v/>
      </c>
      <c r="L906" s="4" t="str">
        <f>IF(TOTALCO!L25="", "",TOTALCO!L25)</f>
        <v/>
      </c>
      <c r="M906" s="4" t="str">
        <f>IF(TOTALCO!M25="", "",TOTALCO!M25)</f>
        <v/>
      </c>
      <c r="N906" s="4" t="str">
        <f>IF(TOTALCO!N25="", "",TOTALCO!N25)</f>
        <v/>
      </c>
      <c r="O906" s="4" t="str">
        <f>IF(TOTALCO!O25="", "",TOTALCO!O25)</f>
        <v/>
      </c>
      <c r="P906" s="4" t="str">
        <f>IF(TOTALCO!P25="", "",TOTALCO!P25)</f>
        <v/>
      </c>
      <c r="Q906" s="4"/>
      <c r="R906" s="13"/>
    </row>
    <row r="907" spans="1:18" ht="15" x14ac:dyDescent="0.2">
      <c r="A907" s="382" t="str">
        <f>IF(TOTALCO!A26="", "",TOTALCO!A26)</f>
        <v/>
      </c>
      <c r="B907" s="4" t="str">
        <f>IF(TOTALCO!B26="", "",TOTALCO!B26)</f>
        <v>-</v>
      </c>
      <c r="C907" s="4" t="str">
        <f>IF(TOTALCO!C26="", "",TOTALCO!C26)</f>
        <v/>
      </c>
      <c r="D907" s="4" t="str">
        <f>IF(TOTALCO!D26="", "",TOTALCO!D26)</f>
        <v/>
      </c>
      <c r="E907" s="4" t="str">
        <f>IF(TOTALCO!E26="", "",TOTALCO!E26)</f>
        <v/>
      </c>
      <c r="F907" s="4" t="str">
        <f>IF(TOTALCO!F26="", "",TOTALCO!F26)</f>
        <v/>
      </c>
      <c r="G907" s="4" t="str">
        <f>IF(TOTALCO!G26="", "",TOTALCO!G26)</f>
        <v/>
      </c>
      <c r="H907" s="4" t="str">
        <f>IF(TOTALCO!H26="", "",TOTALCO!H26)</f>
        <v/>
      </c>
      <c r="I907" s="4" t="str">
        <f>IF(TOTALCO!I26="", "",TOTALCO!I26)</f>
        <v/>
      </c>
      <c r="J907" s="4" t="str">
        <f>IF(TOTALCO!J26="", "",TOTALCO!J26)</f>
        <v/>
      </c>
      <c r="K907" s="4" t="str">
        <f>IF(TOTALCO!K26="", "",TOTALCO!K26)</f>
        <v/>
      </c>
      <c r="L907" s="4" t="str">
        <f>IF(TOTALCO!L26="", "",TOTALCO!L26)</f>
        <v/>
      </c>
      <c r="M907" s="4" t="str">
        <f>IF(TOTALCO!M26="", "",TOTALCO!M26)</f>
        <v/>
      </c>
      <c r="N907" s="4" t="str">
        <f>IF(TOTALCO!N26="", "",TOTALCO!N26)</f>
        <v/>
      </c>
      <c r="O907" s="4" t="str">
        <f>IF(TOTALCO!O26="", "",TOTALCO!O26)</f>
        <v/>
      </c>
      <c r="P907" s="4" t="str">
        <f>IF(TOTALCO!P26="", "",TOTALCO!P26)</f>
        <v/>
      </c>
      <c r="Q907" s="4"/>
      <c r="R907" s="13"/>
    </row>
    <row r="908" spans="1:18" ht="15" x14ac:dyDescent="0.2">
      <c r="A908" s="382" t="str">
        <f>IF(TOTALCO!A27="", "",TOTALCO!A27)</f>
        <v/>
      </c>
      <c r="B908" s="4" t="str">
        <f>IF(TOTALCO!B27="", "",TOTALCO!B27)</f>
        <v>PRODUCTION ALLOCATORS</v>
      </c>
      <c r="C908" s="4" t="str">
        <f>IF(TOTALCO!C27="", "",TOTALCO!C27)</f>
        <v/>
      </c>
      <c r="D908" s="4" t="str">
        <f>IF(TOTALCO!D27="", "",TOTALCO!D27)</f>
        <v/>
      </c>
      <c r="E908" s="4" t="str">
        <f>IF(TOTALCO!E27="", "",TOTALCO!E27)</f>
        <v/>
      </c>
      <c r="F908" s="4" t="str">
        <f>IF(TOTALCO!F27="", "",TOTALCO!F27)</f>
        <v/>
      </c>
      <c r="G908" s="4" t="str">
        <f>IF(TOTALCO!G27="", "",TOTALCO!G27)</f>
        <v/>
      </c>
      <c r="H908" s="4" t="str">
        <f>IF(TOTALCO!H27="", "",TOTALCO!H27)</f>
        <v/>
      </c>
      <c r="I908" s="4" t="str">
        <f>IF(TOTALCO!I27="", "",TOTALCO!I27)</f>
        <v/>
      </c>
      <c r="J908" s="4" t="str">
        <f>IF(TOTALCO!J27="", "",TOTALCO!J27)</f>
        <v/>
      </c>
      <c r="K908" s="4" t="str">
        <f>IF(TOTALCO!K27="", "",TOTALCO!K27)</f>
        <v/>
      </c>
      <c r="L908" s="4" t="str">
        <f>IF(TOTALCO!L27="", "",TOTALCO!L27)</f>
        <v/>
      </c>
      <c r="M908" s="4" t="str">
        <f>IF(TOTALCO!M27="", "",TOTALCO!M27)</f>
        <v/>
      </c>
      <c r="N908" s="4">
        <f>IF(TOTALCO!N27="", "",TOTALCO!N27)</f>
        <v>0</v>
      </c>
      <c r="O908" s="4" t="str">
        <f>IF(TOTALCO!O27="", "",TOTALCO!O27)</f>
        <v/>
      </c>
      <c r="P908" s="4" t="str">
        <f>IF(TOTALCO!P27="", "",TOTALCO!P27)</f>
        <v/>
      </c>
      <c r="Q908" s="4"/>
      <c r="R908" s="13"/>
    </row>
    <row r="909" spans="1:18" ht="15" x14ac:dyDescent="0.2">
      <c r="A909" s="382">
        <f>IF(TOTALCO!A28="", "",TOTALCO!A28)</f>
        <v>1</v>
      </c>
      <c r="B909" s="4" t="str">
        <f>IF(TOTALCO!B28="", "",TOTALCO!B28)</f>
        <v>DEMAND (12 CP GEN LEV)-PROD</v>
      </c>
      <c r="C909" s="4" t="str">
        <f>IF(TOTALCO!C28="", "",TOTALCO!C28)</f>
        <v>DEMPROD</v>
      </c>
      <c r="D909" s="12">
        <f>IF(TOTALCO!D28="", "",TOTALCO!D28)</f>
        <v>3658952</v>
      </c>
      <c r="E909" s="12" t="str">
        <f>IF(TOTALCO!E28="", "",TOTALCO!E28)</f>
        <v/>
      </c>
      <c r="F909" s="12">
        <f>IF(TOTALCO!F28="", "",TOTALCO!F28)</f>
        <v>3166787</v>
      </c>
      <c r="G909" s="12" t="str">
        <f>IF(TOTALCO!G28="", "",TOTALCO!G28)</f>
        <v/>
      </c>
      <c r="H909" s="12">
        <f>IF(TOTALCO!H28="", "",TOTALCO!H28)</f>
        <v>185976</v>
      </c>
      <c r="I909" s="12">
        <f>IF(TOTALCO!I28="", "",TOTALCO!I28)</f>
        <v>306189</v>
      </c>
      <c r="J909" s="12" t="str">
        <f>IF(TOTALCO!J28="", "",TOTALCO!J28)</f>
        <v/>
      </c>
      <c r="K909" s="12" t="str">
        <f>IF(TOTALCO!K28="", "",TOTALCO!K28)</f>
        <v/>
      </c>
      <c r="L909" s="12">
        <f>IF(TOTALCO!L28="", "",TOTALCO!L28)</f>
        <v>28</v>
      </c>
      <c r="M909" s="12" t="str">
        <f>IF(TOTALCO!M28="", "",TOTALCO!M28)</f>
        <v/>
      </c>
      <c r="N909" s="12">
        <f>IF(TOTALCO!N28="", "",TOTALCO!N28)</f>
        <v>306161</v>
      </c>
      <c r="O909" s="12">
        <f>IF(TOTALCO!O28="", "",TOTALCO!O28)</f>
        <v>95530</v>
      </c>
      <c r="P909" s="12">
        <f>IF(TOTALCO!P28="", "",TOTALCO!P28)</f>
        <v>210631</v>
      </c>
      <c r="Q909" s="12"/>
      <c r="R909" s="13"/>
    </row>
    <row r="910" spans="1:18" ht="15" x14ac:dyDescent="0.2">
      <c r="A910" s="382">
        <f>IF(TOTALCO!A29="", "",TOTALCO!A29)</f>
        <v>2</v>
      </c>
      <c r="B910" s="4" t="str">
        <f>IF(TOTALCO!B29="", "",TOTALCO!B29)</f>
        <v>DEMAND (12 CP GEN LEV)-FERC</v>
      </c>
      <c r="C910" s="4" t="str">
        <f>IF(TOTALCO!C29="", "",TOTALCO!C29)</f>
        <v>DEMFERC</v>
      </c>
      <c r="D910" s="12">
        <f>IF(TOTALCO!D29="", "",TOTALCO!D29)</f>
        <v>492137</v>
      </c>
      <c r="E910" s="12" t="str">
        <f>IF(TOTALCO!E29="", "",TOTALCO!E29)</f>
        <v/>
      </c>
      <c r="F910" s="12">
        <f>IF(TOTALCO!F29="", "",TOTALCO!F29)</f>
        <v>0</v>
      </c>
      <c r="G910" s="12" t="str">
        <f>IF(TOTALCO!G29="", "",TOTALCO!G29)</f>
        <v/>
      </c>
      <c r="H910" s="12">
        <f>IF(TOTALCO!H29="", "",TOTALCO!H29)</f>
        <v>185976</v>
      </c>
      <c r="I910" s="12">
        <f>IF(TOTALCO!I29="", "",TOTALCO!I29)</f>
        <v>306161</v>
      </c>
      <c r="J910" s="12" t="str">
        <f>IF(TOTALCO!J29="", "",TOTALCO!J29)</f>
        <v/>
      </c>
      <c r="K910" s="12" t="str">
        <f>IF(TOTALCO!K29="", "",TOTALCO!K29)</f>
        <v/>
      </c>
      <c r="L910" s="12">
        <f>IF(TOTALCO!L29="", "",TOTALCO!L29)</f>
        <v>0</v>
      </c>
      <c r="M910" s="12" t="str">
        <f>IF(TOTALCO!M29="", "",TOTALCO!M29)</f>
        <v/>
      </c>
      <c r="N910" s="12">
        <f>IF(TOTALCO!N29="", "",TOTALCO!N29)</f>
        <v>306161</v>
      </c>
      <c r="O910" s="12">
        <f>IF(TOTALCO!O29="", "",TOTALCO!O29)</f>
        <v>95530</v>
      </c>
      <c r="P910" s="12">
        <f>IF(TOTALCO!P29="", "",TOTALCO!P29)</f>
        <v>210631</v>
      </c>
      <c r="Q910" s="12"/>
      <c r="R910" s="13"/>
    </row>
    <row r="911" spans="1:18" ht="15" x14ac:dyDescent="0.2">
      <c r="A911" s="382">
        <f>IF(TOTALCO!A30="", "",TOTALCO!A30)</f>
        <v>3</v>
      </c>
      <c r="B911" s="4" t="str">
        <f>IF(TOTALCO!B30="", "",TOTALCO!B30)</f>
        <v>DEMAND (12 CP GEN)-PROD VA</v>
      </c>
      <c r="C911" s="4" t="str">
        <f>IF(TOTALCO!C30="", "",TOTALCO!C30)</f>
        <v>DPRODVA</v>
      </c>
      <c r="D911" s="12">
        <f>IF(TOTALCO!D30="", "",TOTALCO!D30)</f>
        <v>185976</v>
      </c>
      <c r="E911" s="12" t="str">
        <f>IF(TOTALCO!E30="", "",TOTALCO!E30)</f>
        <v/>
      </c>
      <c r="F911" s="12">
        <f>IF(TOTALCO!F30="", "",TOTALCO!F30)</f>
        <v>0</v>
      </c>
      <c r="G911" s="12" t="str">
        <f>IF(TOTALCO!G30="", "",TOTALCO!G30)</f>
        <v/>
      </c>
      <c r="H911" s="12">
        <f>IF(TOTALCO!H30="", "",TOTALCO!H30)</f>
        <v>185976</v>
      </c>
      <c r="I911" s="12">
        <f>IF(TOTALCO!I30="", "",TOTALCO!I30)</f>
        <v>0</v>
      </c>
      <c r="J911" s="12" t="str">
        <f>IF(TOTALCO!J30="", "",TOTALCO!J30)</f>
        <v/>
      </c>
      <c r="K911" s="12" t="str">
        <f>IF(TOTALCO!K30="", "",TOTALCO!K30)</f>
        <v/>
      </c>
      <c r="L911" s="12">
        <f>IF(TOTALCO!L30="", "",TOTALCO!L30)</f>
        <v>0</v>
      </c>
      <c r="M911" s="12" t="str">
        <f>IF(TOTALCO!M30="", "",TOTALCO!M30)</f>
        <v/>
      </c>
      <c r="N911" s="12">
        <f>IF(TOTALCO!N30="", "",TOTALCO!N30)</f>
        <v>0</v>
      </c>
      <c r="O911" s="12">
        <f>IF(TOTALCO!O30="", "",TOTALCO!O30)</f>
        <v>0</v>
      </c>
      <c r="P911" s="12">
        <f>IF(TOTALCO!P30="", "",TOTALCO!P30)</f>
        <v>0</v>
      </c>
      <c r="Q911" s="12"/>
      <c r="R911" s="13"/>
    </row>
    <row r="912" spans="1:18" ht="15" x14ac:dyDescent="0.2">
      <c r="A912" s="382">
        <f>IF(TOTALCO!A31="", "",TOTALCO!A31)</f>
        <v>4</v>
      </c>
      <c r="B912" s="4" t="str">
        <f>IF(TOTALCO!B31="", "",TOTALCO!B31)</f>
        <v>DEMAND (12 CP GEN)-PROD KY</v>
      </c>
      <c r="C912" s="4" t="str">
        <f>IF(TOTALCO!C31="", "",TOTALCO!C31)</f>
        <v>DPRODKY</v>
      </c>
      <c r="D912" s="12">
        <f>IF(TOTALCO!D31="", "",TOTALCO!D31)</f>
        <v>3472948</v>
      </c>
      <c r="E912" s="12" t="str">
        <f>IF(TOTALCO!E31="", "",TOTALCO!E31)</f>
        <v/>
      </c>
      <c r="F912" s="12">
        <f>IF(TOTALCO!F31="", "",TOTALCO!F31)</f>
        <v>3166787</v>
      </c>
      <c r="G912" s="12" t="str">
        <f>IF(TOTALCO!G31="", "",TOTALCO!G31)</f>
        <v/>
      </c>
      <c r="H912" s="12">
        <f>IF(TOTALCO!H31="", "",TOTALCO!H31)</f>
        <v>0</v>
      </c>
      <c r="I912" s="12">
        <f>IF(TOTALCO!I31="", "",TOTALCO!I31)</f>
        <v>306161</v>
      </c>
      <c r="J912" s="12" t="str">
        <f>IF(TOTALCO!J31="", "",TOTALCO!J31)</f>
        <v/>
      </c>
      <c r="K912" s="12" t="str">
        <f>IF(TOTALCO!K31="", "",TOTALCO!K31)</f>
        <v/>
      </c>
      <c r="L912" s="12">
        <f>IF(TOTALCO!L31="", "",TOTALCO!L31)</f>
        <v>0</v>
      </c>
      <c r="M912" s="12" t="str">
        <f>IF(TOTALCO!M31="", "",TOTALCO!M31)</f>
        <v/>
      </c>
      <c r="N912" s="12">
        <f>IF(TOTALCO!N31="", "",TOTALCO!N31)</f>
        <v>306161</v>
      </c>
      <c r="O912" s="12">
        <f>IF(TOTALCO!O31="", "",TOTALCO!O31)</f>
        <v>95530</v>
      </c>
      <c r="P912" s="12">
        <f>IF(TOTALCO!P31="", "",TOTALCO!P31)</f>
        <v>210631</v>
      </c>
      <c r="Q912" s="12"/>
      <c r="R912" s="13"/>
    </row>
    <row r="913" spans="1:18" ht="15" x14ac:dyDescent="0.2">
      <c r="A913" s="382">
        <f>IF(TOTALCO!A32="", "",TOTALCO!A32)</f>
        <v>5</v>
      </c>
      <c r="B913" s="4" t="str">
        <f>IF(TOTALCO!B32="", "",TOTALCO!B32)</f>
        <v>DEM (12 CP GEN LV)-FERC POST</v>
      </c>
      <c r="C913" s="4" t="str">
        <f>IF(TOTALCO!C32="", "",TOTALCO!C32)</f>
        <v>DEMFERCP</v>
      </c>
      <c r="D913" s="12">
        <f>IF(TOTALCO!D32="", "",TOTALCO!D32)</f>
        <v>306161</v>
      </c>
      <c r="E913" s="12" t="str">
        <f>IF(TOTALCO!E32="", "",TOTALCO!E32)</f>
        <v/>
      </c>
      <c r="F913" s="12">
        <f>IF(TOTALCO!F32="", "",TOTALCO!F32)</f>
        <v>0</v>
      </c>
      <c r="G913" s="12" t="str">
        <f>IF(TOTALCO!G32="", "",TOTALCO!G32)</f>
        <v/>
      </c>
      <c r="H913" s="12">
        <f>IF(TOTALCO!H32="", "",TOTALCO!H32)</f>
        <v>0</v>
      </c>
      <c r="I913" s="12">
        <f>IF(TOTALCO!I32="", "",TOTALCO!I32)</f>
        <v>306161</v>
      </c>
      <c r="J913" s="12" t="str">
        <f>IF(TOTALCO!J32="", "",TOTALCO!J32)</f>
        <v/>
      </c>
      <c r="K913" s="12" t="str">
        <f>IF(TOTALCO!K32="", "",TOTALCO!K32)</f>
        <v/>
      </c>
      <c r="L913" s="12">
        <f>IF(TOTALCO!L32="", "",TOTALCO!L32)</f>
        <v>0</v>
      </c>
      <c r="M913" s="12" t="str">
        <f>IF(TOTALCO!M32="", "",TOTALCO!M32)</f>
        <v/>
      </c>
      <c r="N913" s="12">
        <f>IF(TOTALCO!N32="", "",TOTALCO!N32)</f>
        <v>306161</v>
      </c>
      <c r="O913" s="12">
        <f>IF(TOTALCO!O32="", "",TOTALCO!O32)</f>
        <v>95530</v>
      </c>
      <c r="P913" s="12">
        <f>IF(TOTALCO!P32="", "",TOTALCO!P32)</f>
        <v>210631</v>
      </c>
      <c r="Q913" s="12"/>
      <c r="R913" s="13"/>
    </row>
    <row r="914" spans="1:18" ht="15" x14ac:dyDescent="0.2">
      <c r="A914" s="382">
        <f>IF(TOTALCO!A33="", "",TOTALCO!A33)</f>
        <v>6</v>
      </c>
      <c r="B914" s="4" t="str">
        <f>IF(TOTALCO!B33="", "",TOTALCO!B33)</f>
        <v>DEM (12 CP GEN LV)-NON VA</v>
      </c>
      <c r="C914" s="4" t="str">
        <f>IF(TOTALCO!C33="", "",TOTALCO!C33)</f>
        <v>DEMPRODNV</v>
      </c>
      <c r="D914" s="12">
        <f>IF(TOTALCO!D33="", "",TOTALCO!D33)</f>
        <v>3472976</v>
      </c>
      <c r="E914" s="12" t="str">
        <f>IF(TOTALCO!E33="", "",TOTALCO!E33)</f>
        <v/>
      </c>
      <c r="F914" s="12">
        <f>IF(TOTALCO!F33="", "",TOTALCO!F33)</f>
        <v>3166787</v>
      </c>
      <c r="G914" s="12" t="str">
        <f>IF(TOTALCO!G33="", "",TOTALCO!G33)</f>
        <v/>
      </c>
      <c r="H914" s="12">
        <f>IF(TOTALCO!H33="", "",TOTALCO!H33)</f>
        <v>0</v>
      </c>
      <c r="I914" s="12">
        <f>IF(TOTALCO!I33="", "",TOTALCO!I33)</f>
        <v>306189</v>
      </c>
      <c r="J914" s="12" t="str">
        <f>IF(TOTALCO!J33="", "",TOTALCO!J33)</f>
        <v/>
      </c>
      <c r="K914" s="12" t="str">
        <f>IF(TOTALCO!K33="", "",TOTALCO!K33)</f>
        <v/>
      </c>
      <c r="L914" s="12">
        <f>IF(TOTALCO!L33="", "",TOTALCO!L33)</f>
        <v>28</v>
      </c>
      <c r="M914" s="12" t="str">
        <f>IF(TOTALCO!M33="", "",TOTALCO!M33)</f>
        <v/>
      </c>
      <c r="N914" s="12">
        <f>IF(TOTALCO!N33="", "",TOTALCO!N33)</f>
        <v>306161</v>
      </c>
      <c r="O914" s="12">
        <f>IF(TOTALCO!O33="", "",TOTALCO!O33)</f>
        <v>95530</v>
      </c>
      <c r="P914" s="12">
        <f>IF(TOTALCO!P33="", "",TOTALCO!P33)</f>
        <v>210631</v>
      </c>
      <c r="Q914" s="12"/>
      <c r="R914" s="13"/>
    </row>
    <row r="915" spans="1:18" ht="15" x14ac:dyDescent="0.2">
      <c r="A915" s="382" t="str">
        <f>IF(TOTALCO!A34="", "",TOTALCO!A34)</f>
        <v/>
      </c>
      <c r="B915" s="4" t="str">
        <f>IF(TOTALCO!B34="", "",TOTALCO!B34)</f>
        <v>TRANSMISSION ALLOCATORS</v>
      </c>
      <c r="C915" s="4" t="str">
        <f>IF(TOTALCO!C34="", "",TOTALCO!C34)</f>
        <v/>
      </c>
      <c r="D915" s="12" t="str">
        <f>IF(TOTALCO!D34="", "",TOTALCO!D34)</f>
        <v/>
      </c>
      <c r="E915" s="12" t="str">
        <f>IF(TOTALCO!E34="", "",TOTALCO!E34)</f>
        <v/>
      </c>
      <c r="F915" s="12" t="str">
        <f>IF(TOTALCO!F34="", "",TOTALCO!F34)</f>
        <v/>
      </c>
      <c r="G915" s="12" t="str">
        <f>IF(TOTALCO!G34="", "",TOTALCO!G34)</f>
        <v/>
      </c>
      <c r="H915" s="12" t="str">
        <f>IF(TOTALCO!H34="", "",TOTALCO!H34)</f>
        <v/>
      </c>
      <c r="I915" s="12" t="str">
        <f>IF(TOTALCO!I34="", "",TOTALCO!I34)</f>
        <v/>
      </c>
      <c r="J915" s="12" t="str">
        <f>IF(TOTALCO!J34="", "",TOTALCO!J34)</f>
        <v/>
      </c>
      <c r="K915" s="12" t="str">
        <f>IF(TOTALCO!K34="", "",TOTALCO!K34)</f>
        <v/>
      </c>
      <c r="L915" s="12" t="str">
        <f>IF(TOTALCO!L34="", "",TOTALCO!L34)</f>
        <v/>
      </c>
      <c r="M915" s="12" t="str">
        <f>IF(TOTALCO!M34="", "",TOTALCO!M34)</f>
        <v/>
      </c>
      <c r="N915" s="12" t="str">
        <f>IF(TOTALCO!N34="", "",TOTALCO!N34)</f>
        <v/>
      </c>
      <c r="O915" s="12" t="str">
        <f>IF(TOTALCO!O34="", "",TOTALCO!O34)</f>
        <v/>
      </c>
      <c r="P915" s="12" t="str">
        <f>IF(TOTALCO!P34="", "",TOTALCO!P34)</f>
        <v/>
      </c>
      <c r="Q915" s="12"/>
      <c r="R915" s="13"/>
    </row>
    <row r="916" spans="1:18" ht="15" x14ac:dyDescent="0.2">
      <c r="A916" s="382">
        <f>IF(TOTALCO!A35="", "",TOTALCO!A35)</f>
        <v>7</v>
      </c>
      <c r="B916" s="4" t="str">
        <f>IF(TOTALCO!B35="", "",TOTALCO!B35)</f>
        <v>DEMAND (12 CP GEN LEV)-TRAN</v>
      </c>
      <c r="C916" s="4" t="str">
        <f>IF(TOTALCO!C35="", "",TOTALCO!C35)</f>
        <v>DEMTRAN</v>
      </c>
      <c r="D916" s="12">
        <f>IF(TOTALCO!D35="", "",TOTALCO!D35)</f>
        <v>3658952</v>
      </c>
      <c r="E916" s="12" t="str">
        <f>IF(TOTALCO!E35="", "",TOTALCO!E35)</f>
        <v/>
      </c>
      <c r="F916" s="12">
        <f>IF(TOTALCO!F35="", "",TOTALCO!F35)</f>
        <v>3166787</v>
      </c>
      <c r="G916" s="12" t="str">
        <f>IF(TOTALCO!G35="", "",TOTALCO!G35)</f>
        <v/>
      </c>
      <c r="H916" s="12">
        <f>IF(TOTALCO!H35="", "",TOTALCO!H35)</f>
        <v>185976</v>
      </c>
      <c r="I916" s="12">
        <f>IF(TOTALCO!I35="", "",TOTALCO!I35)</f>
        <v>306189</v>
      </c>
      <c r="J916" s="12" t="str">
        <f>IF(TOTALCO!J35="", "",TOTALCO!J35)</f>
        <v/>
      </c>
      <c r="K916" s="12" t="str">
        <f>IF(TOTALCO!K35="", "",TOTALCO!K35)</f>
        <v/>
      </c>
      <c r="L916" s="12">
        <f>IF(TOTALCO!L35="", "",TOTALCO!L35)</f>
        <v>28</v>
      </c>
      <c r="M916" s="12" t="str">
        <f>IF(TOTALCO!M35="", "",TOTALCO!M35)</f>
        <v/>
      </c>
      <c r="N916" s="12">
        <f>IF(TOTALCO!N35="", "",TOTALCO!N35)</f>
        <v>306161</v>
      </c>
      <c r="O916" s="12">
        <f>IF(TOTALCO!O35="", "",TOTALCO!O35)</f>
        <v>95530</v>
      </c>
      <c r="P916" s="12">
        <f>IF(TOTALCO!P35="", "",TOTALCO!P35)</f>
        <v>210631</v>
      </c>
      <c r="Q916" s="12"/>
      <c r="R916" s="13"/>
    </row>
    <row r="917" spans="1:18" ht="15" x14ac:dyDescent="0.2">
      <c r="A917" s="382">
        <f>IF(TOTALCO!A36="", "",TOTALCO!A36)</f>
        <v>8</v>
      </c>
      <c r="B917" s="4" t="str">
        <f>IF(TOTALCO!B36="", "",TOTALCO!B36)</f>
        <v>DEMAND (12 CP GEN LEV)-VA</v>
      </c>
      <c r="C917" s="4" t="str">
        <f>IF(TOTALCO!C36="", "",TOTALCO!C36)</f>
        <v>DEMVA</v>
      </c>
      <c r="D917" s="12">
        <f>IF(TOTALCO!D36="", "",TOTALCO!D36)</f>
        <v>185976</v>
      </c>
      <c r="E917" s="12" t="str">
        <f>IF(TOTALCO!E36="", "",TOTALCO!E36)</f>
        <v/>
      </c>
      <c r="F917" s="12">
        <f>IF(TOTALCO!F36="", "",TOTALCO!F36)</f>
        <v>0</v>
      </c>
      <c r="G917" s="12" t="str">
        <f>IF(TOTALCO!G36="", "",TOTALCO!G36)</f>
        <v/>
      </c>
      <c r="H917" s="12">
        <f>IF(TOTALCO!H36="", "",TOTALCO!H36)</f>
        <v>185976</v>
      </c>
      <c r="I917" s="12">
        <f>IF(TOTALCO!I36="", "",TOTALCO!I36)</f>
        <v>0</v>
      </c>
      <c r="J917" s="12" t="str">
        <f>IF(TOTALCO!J36="", "",TOTALCO!J36)</f>
        <v/>
      </c>
      <c r="K917" s="12" t="str">
        <f>IF(TOTALCO!K36="", "",TOTALCO!K36)</f>
        <v/>
      </c>
      <c r="L917" s="12">
        <f>IF(TOTALCO!L36="", "",TOTALCO!L36)</f>
        <v>0</v>
      </c>
      <c r="M917" s="12" t="str">
        <f>IF(TOTALCO!M36="", "",TOTALCO!M36)</f>
        <v/>
      </c>
      <c r="N917" s="12">
        <f>IF(TOTALCO!N36="", "",TOTALCO!N36)</f>
        <v>0</v>
      </c>
      <c r="O917" s="12">
        <f>IF(TOTALCO!O36="", "",TOTALCO!O36)</f>
        <v>0</v>
      </c>
      <c r="P917" s="12">
        <f>IF(TOTALCO!P36="", "",TOTALCO!P36)</f>
        <v>0</v>
      </c>
      <c r="Q917" s="12"/>
      <c r="R917" s="13"/>
    </row>
    <row r="918" spans="1:18" ht="15" x14ac:dyDescent="0.2">
      <c r="A918" s="382">
        <f>IF(TOTALCO!A37="", "",TOTALCO!A37)</f>
        <v>9</v>
      </c>
      <c r="B918" s="4" t="str">
        <f>IF(TOTALCO!B37="", "",TOTALCO!B37)</f>
        <v>DEM (12 CP GEN LEV)-NON FERC</v>
      </c>
      <c r="C918" s="4" t="str">
        <f>IF(TOTALCO!C37="", "",TOTALCO!C37)</f>
        <v>DEMTRANNF</v>
      </c>
      <c r="D918" s="12">
        <f>IF(TOTALCO!D37="", "",TOTALCO!D37)</f>
        <v>3352791</v>
      </c>
      <c r="E918" s="12" t="str">
        <f>IF(TOTALCO!E37="", "",TOTALCO!E37)</f>
        <v/>
      </c>
      <c r="F918" s="12">
        <f>IF(TOTALCO!F37="", "",TOTALCO!F37)</f>
        <v>3166787</v>
      </c>
      <c r="G918" s="12" t="str">
        <f>IF(TOTALCO!G37="", "",TOTALCO!G37)</f>
        <v/>
      </c>
      <c r="H918" s="12">
        <f>IF(TOTALCO!H37="", "",TOTALCO!H37)</f>
        <v>185976</v>
      </c>
      <c r="I918" s="12">
        <f>IF(TOTALCO!I37="", "",TOTALCO!I37)</f>
        <v>28</v>
      </c>
      <c r="J918" s="12" t="str">
        <f>IF(TOTALCO!J37="", "",TOTALCO!J37)</f>
        <v/>
      </c>
      <c r="K918" s="12" t="str">
        <f>IF(TOTALCO!K37="", "",TOTALCO!K37)</f>
        <v/>
      </c>
      <c r="L918" s="12">
        <f>IF(TOTALCO!L37="", "",TOTALCO!L37)</f>
        <v>28</v>
      </c>
      <c r="M918" s="12" t="str">
        <f>IF(TOTALCO!M37="", "",TOTALCO!M37)</f>
        <v/>
      </c>
      <c r="N918" s="12">
        <f>IF(TOTALCO!N37="", "",TOTALCO!N37)</f>
        <v>0</v>
      </c>
      <c r="O918" s="12">
        <f>IF(TOTALCO!O37="", "",TOTALCO!O37)</f>
        <v>0</v>
      </c>
      <c r="P918" s="12">
        <f>IF(TOTALCO!P37="", "",TOTALCO!P37)</f>
        <v>0</v>
      </c>
      <c r="Q918" s="12"/>
      <c r="R918" s="13"/>
    </row>
    <row r="919" spans="1:18" ht="15" x14ac:dyDescent="0.2">
      <c r="A919" s="382">
        <f>IF(TOTALCO!A38="", "",TOTALCO!A38)</f>
        <v>10</v>
      </c>
      <c r="B919" s="4" t="str">
        <f>IF(TOTALCO!B38="", "",TOTALCO!B38)</f>
        <v>DEM (12 CP GN LEV)-TRAN FERC</v>
      </c>
      <c r="C919" s="4" t="str">
        <f>IF(TOTALCO!C38="", "",TOTALCO!C38)</f>
        <v>DEMFERCT</v>
      </c>
      <c r="D919" s="12">
        <f>IF(TOTALCO!D38="", "",TOTALCO!D38)</f>
        <v>492137</v>
      </c>
      <c r="E919" s="12" t="str">
        <f>IF(TOTALCO!E38="", "",TOTALCO!E38)</f>
        <v/>
      </c>
      <c r="F919" s="12">
        <f>IF(TOTALCO!F38="", "",TOTALCO!F38)</f>
        <v>0</v>
      </c>
      <c r="G919" s="12" t="str">
        <f>IF(TOTALCO!G38="", "",TOTALCO!G38)</f>
        <v/>
      </c>
      <c r="H919" s="12">
        <f>IF(TOTALCO!H38="", "",TOTALCO!H38)</f>
        <v>185976</v>
      </c>
      <c r="I919" s="12">
        <f>IF(TOTALCO!I38="", "",TOTALCO!I38)</f>
        <v>306161</v>
      </c>
      <c r="J919" s="12" t="str">
        <f>IF(TOTALCO!J38="", "",TOTALCO!J38)</f>
        <v/>
      </c>
      <c r="K919" s="12" t="str">
        <f>IF(TOTALCO!K38="", "",TOTALCO!K38)</f>
        <v/>
      </c>
      <c r="L919" s="12">
        <f>IF(TOTALCO!L38="", "",TOTALCO!L38)</f>
        <v>0</v>
      </c>
      <c r="M919" s="12" t="str">
        <f>IF(TOTALCO!M38="", "",TOTALCO!M38)</f>
        <v/>
      </c>
      <c r="N919" s="12">
        <f>IF(TOTALCO!N38="", "",TOTALCO!N38)</f>
        <v>306161</v>
      </c>
      <c r="O919" s="12">
        <f>IF(TOTALCO!O38="", "",TOTALCO!O38)</f>
        <v>95530</v>
      </c>
      <c r="P919" s="12">
        <f>IF(TOTALCO!P38="", "",TOTALCO!P38)</f>
        <v>210631</v>
      </c>
      <c r="Q919" s="12"/>
      <c r="R919" s="13"/>
    </row>
    <row r="920" spans="1:18" ht="15" x14ac:dyDescent="0.2">
      <c r="A920" s="382">
        <f>IF(TOTALCO!A39="", "",TOTALCO!A39)</f>
        <v>11</v>
      </c>
      <c r="B920" s="4" t="str">
        <f>IF(TOTALCO!B39="", "",TOTALCO!B39)</f>
        <v>DEM (12 CP GN)-TR FERC POST</v>
      </c>
      <c r="C920" s="4" t="str">
        <f>IF(TOTALCO!C39="", "",TOTALCO!C39)</f>
        <v>DFERCTP</v>
      </c>
      <c r="D920" s="12">
        <f>IF(TOTALCO!D39="", "",TOTALCO!D39)</f>
        <v>306161</v>
      </c>
      <c r="E920" s="12" t="str">
        <f>IF(TOTALCO!E39="", "",TOTALCO!E39)</f>
        <v/>
      </c>
      <c r="F920" s="12">
        <f>IF(TOTALCO!F39="", "",TOTALCO!F39)</f>
        <v>0</v>
      </c>
      <c r="G920" s="12" t="str">
        <f>IF(TOTALCO!G39="", "",TOTALCO!G39)</f>
        <v/>
      </c>
      <c r="H920" s="12">
        <f>IF(TOTALCO!H39="", "",TOTALCO!H39)</f>
        <v>0</v>
      </c>
      <c r="I920" s="12">
        <f>IF(TOTALCO!I39="", "",TOTALCO!I39)</f>
        <v>306161</v>
      </c>
      <c r="J920" s="12" t="str">
        <f>IF(TOTALCO!J39="", "",TOTALCO!J39)</f>
        <v/>
      </c>
      <c r="K920" s="12" t="str">
        <f>IF(TOTALCO!K39="", "",TOTALCO!K39)</f>
        <v/>
      </c>
      <c r="L920" s="12">
        <f>IF(TOTALCO!L39="", "",TOTALCO!L39)</f>
        <v>0</v>
      </c>
      <c r="M920" s="12" t="str">
        <f>IF(TOTALCO!M39="", "",TOTALCO!M39)</f>
        <v/>
      </c>
      <c r="N920" s="12">
        <f>IF(TOTALCO!N39="", "",TOTALCO!N39)</f>
        <v>306161</v>
      </c>
      <c r="O920" s="12">
        <f>IF(TOTALCO!O39="", "",TOTALCO!O39)</f>
        <v>95530</v>
      </c>
      <c r="P920" s="12">
        <f>IF(TOTALCO!P39="", "",TOTALCO!P39)</f>
        <v>210631</v>
      </c>
      <c r="Q920" s="12"/>
      <c r="R920" s="13"/>
    </row>
    <row r="921" spans="1:18" ht="15" x14ac:dyDescent="0.2">
      <c r="A921" s="382" t="str">
        <f>IF(TOTALCO!A40="", "",TOTALCO!A40)</f>
        <v/>
      </c>
      <c r="B921" s="4" t="str">
        <f>IF(TOTALCO!B40="", "",TOTALCO!B40)</f>
        <v/>
      </c>
      <c r="C921" s="4" t="str">
        <f>IF(TOTALCO!C40="", "",TOTALCO!C40)</f>
        <v/>
      </c>
      <c r="D921" s="12" t="str">
        <f>IF(TOTALCO!D40="", "",TOTALCO!D40)</f>
        <v/>
      </c>
      <c r="E921" s="12" t="str">
        <f>IF(TOTALCO!E40="", "",TOTALCO!E40)</f>
        <v/>
      </c>
      <c r="F921" s="12" t="str">
        <f>IF(TOTALCO!F40="", "",TOTALCO!F40)</f>
        <v/>
      </c>
      <c r="G921" s="12" t="str">
        <f>IF(TOTALCO!G40="", "",TOTALCO!G40)</f>
        <v/>
      </c>
      <c r="H921" s="12" t="str">
        <f>IF(TOTALCO!H40="", "",TOTALCO!H40)</f>
        <v/>
      </c>
      <c r="I921" s="12" t="str">
        <f>IF(TOTALCO!I40="", "",TOTALCO!I40)</f>
        <v/>
      </c>
      <c r="J921" s="12" t="str">
        <f>IF(TOTALCO!J40="", "",TOTALCO!J40)</f>
        <v/>
      </c>
      <c r="K921" s="12" t="str">
        <f>IF(TOTALCO!K40="", "",TOTALCO!K40)</f>
        <v/>
      </c>
      <c r="L921" s="12" t="str">
        <f>IF(TOTALCO!L40="", "",TOTALCO!L40)</f>
        <v/>
      </c>
      <c r="M921" s="12" t="str">
        <f>IF(TOTALCO!M40="", "",TOTALCO!M40)</f>
        <v/>
      </c>
      <c r="N921" s="12" t="str">
        <f>IF(TOTALCO!N40="", "",TOTALCO!N40)</f>
        <v/>
      </c>
      <c r="O921" s="12" t="str">
        <f>IF(TOTALCO!O40="", "",TOTALCO!O40)</f>
        <v/>
      </c>
      <c r="P921" s="12" t="str">
        <f>IF(TOTALCO!P40="", "",TOTALCO!P40)</f>
        <v/>
      </c>
      <c r="Q921" s="12"/>
      <c r="R921" s="13"/>
    </row>
    <row r="922" spans="1:18" ht="15" x14ac:dyDescent="0.2">
      <c r="A922" s="382" t="str">
        <f>IF(TOTALCO!A41="", "",TOTALCO!A41)</f>
        <v/>
      </c>
      <c r="B922" s="4" t="str">
        <f>IF(TOTALCO!B41="", "",TOTALCO!B41)</f>
        <v>DISTRIBUTION ALLOCATORS</v>
      </c>
      <c r="C922" s="4" t="str">
        <f>IF(TOTALCO!C41="", "",TOTALCO!C41)</f>
        <v/>
      </c>
      <c r="D922" s="12" t="str">
        <f>IF(TOTALCO!D41="", "",TOTALCO!D41)</f>
        <v/>
      </c>
      <c r="E922" s="12" t="str">
        <f>IF(TOTALCO!E41="", "",TOTALCO!E41)</f>
        <v/>
      </c>
      <c r="F922" s="12" t="str">
        <f>IF(TOTALCO!F41="", "",TOTALCO!F41)</f>
        <v/>
      </c>
      <c r="G922" s="12" t="str">
        <f>IF(TOTALCO!G41="", "",TOTALCO!G41)</f>
        <v/>
      </c>
      <c r="H922" s="12" t="str">
        <f>IF(TOTALCO!H41="", "",TOTALCO!H41)</f>
        <v/>
      </c>
      <c r="I922" s="12" t="str">
        <f>IF(TOTALCO!I41="", "",TOTALCO!I41)</f>
        <v/>
      </c>
      <c r="J922" s="12" t="str">
        <f>IF(TOTALCO!J41="", "",TOTALCO!J41)</f>
        <v/>
      </c>
      <c r="K922" s="12" t="str">
        <f>IF(TOTALCO!K41="", "",TOTALCO!K41)</f>
        <v/>
      </c>
      <c r="L922" s="12" t="str">
        <f>IF(TOTALCO!L41="", "",TOTALCO!L41)</f>
        <v/>
      </c>
      <c r="M922" s="12" t="str">
        <f>IF(TOTALCO!M41="", "",TOTALCO!M41)</f>
        <v/>
      </c>
      <c r="N922" s="12" t="str">
        <f>IF(TOTALCO!N41="", "",TOTALCO!N41)</f>
        <v/>
      </c>
      <c r="O922" s="12" t="str">
        <f>IF(TOTALCO!O41="", "",TOTALCO!O41)</f>
        <v/>
      </c>
      <c r="P922" s="12" t="str">
        <f>IF(TOTALCO!P41="", "",TOTALCO!P41)</f>
        <v/>
      </c>
      <c r="Q922" s="12"/>
      <c r="R922" s="13"/>
    </row>
    <row r="923" spans="1:18" ht="15" x14ac:dyDescent="0.2">
      <c r="A923" s="382">
        <f>IF(TOTALCO!A42="", "",TOTALCO!A42)</f>
        <v>12</v>
      </c>
      <c r="B923" s="4" t="str">
        <f>IF(TOTALCO!B42="", "",TOTALCO!B42)</f>
        <v>DIRECT ASSIGN 360 KY</v>
      </c>
      <c r="C923" s="4" t="str">
        <f>IF(TOTALCO!C42="", "",TOTALCO!C42)</f>
        <v>DEM360K</v>
      </c>
      <c r="D923" s="12">
        <f>IF(TOTALCO!D42="", "",TOTALCO!D42)</f>
        <v>5112550.1000000006</v>
      </c>
      <c r="E923" s="12" t="str">
        <f>IF(TOTALCO!E42="", "",TOTALCO!E42)</f>
        <v/>
      </c>
      <c r="F923" s="12">
        <f>IF(TOTALCO!F42="", "",TOTALCO!F42)</f>
        <v>5103392.1000000006</v>
      </c>
      <c r="G923" s="12" t="str">
        <f>IF(TOTALCO!G42="", "",TOTALCO!G42)</f>
        <v/>
      </c>
      <c r="H923" s="12">
        <f>IF(TOTALCO!H42="", "",TOTALCO!H42)</f>
        <v>0</v>
      </c>
      <c r="I923" s="12">
        <f>IF(TOTALCO!I42="", "",TOTALCO!I42)</f>
        <v>9158</v>
      </c>
      <c r="J923" s="12" t="str">
        <f>IF(TOTALCO!J42="", "",TOTALCO!J42)</f>
        <v/>
      </c>
      <c r="K923" s="12" t="str">
        <f>IF(TOTALCO!K42="", "",TOTALCO!K42)</f>
        <v/>
      </c>
      <c r="L923" s="12">
        <f>IF(TOTALCO!L42="", "",TOTALCO!L42)</f>
        <v>0</v>
      </c>
      <c r="M923" s="12" t="str">
        <f>IF(TOTALCO!M42="", "",TOTALCO!M42)</f>
        <v/>
      </c>
      <c r="N923" s="12">
        <f>IF(TOTALCO!N42="", "",TOTALCO!N42)</f>
        <v>9158</v>
      </c>
      <c r="O923" s="12">
        <f>IF(TOTALCO!O42="", "",TOTALCO!O42)</f>
        <v>9158</v>
      </c>
      <c r="P923" s="12">
        <f>IF(TOTALCO!P42="", "",TOTALCO!P42)</f>
        <v>0</v>
      </c>
      <c r="Q923" s="12"/>
      <c r="R923" s="13"/>
    </row>
    <row r="924" spans="1:18" ht="15" x14ac:dyDescent="0.2">
      <c r="A924" s="382">
        <f>IF(TOTALCO!A43="", "",TOTALCO!A43)</f>
        <v>13</v>
      </c>
      <c r="B924" s="4" t="str">
        <f>IF(TOTALCO!B43="", "",TOTALCO!B43)</f>
        <v>DIRECT ASSIGN 361 KY</v>
      </c>
      <c r="C924" s="4" t="str">
        <f>IF(TOTALCO!C43="", "",TOTALCO!C43)</f>
        <v>DEM361K</v>
      </c>
      <c r="D924" s="12">
        <f>IF(TOTALCO!D43="", "",TOTALCO!D43)</f>
        <v>7214274.7599999998</v>
      </c>
      <c r="E924" s="12" t="str">
        <f>IF(TOTALCO!E43="", "",TOTALCO!E43)</f>
        <v/>
      </c>
      <c r="F924" s="12">
        <f>IF(TOTALCO!F43="", "",TOTALCO!F43)</f>
        <v>6940988.7599999998</v>
      </c>
      <c r="G924" s="12" t="str">
        <f>IF(TOTALCO!G43="", "",TOTALCO!G43)</f>
        <v/>
      </c>
      <c r="H924" s="12">
        <f>IF(TOTALCO!H43="", "",TOTALCO!H43)</f>
        <v>0</v>
      </c>
      <c r="I924" s="12">
        <f>IF(TOTALCO!I43="", "",TOTALCO!I43)</f>
        <v>273286</v>
      </c>
      <c r="J924" s="12" t="str">
        <f>IF(TOTALCO!J43="", "",TOTALCO!J43)</f>
        <v/>
      </c>
      <c r="K924" s="12" t="str">
        <f>IF(TOTALCO!K43="", "",TOTALCO!K43)</f>
        <v/>
      </c>
      <c r="L924" s="12">
        <f>IF(TOTALCO!L43="", "",TOTALCO!L43)</f>
        <v>0</v>
      </c>
      <c r="M924" s="12" t="str">
        <f>IF(TOTALCO!M43="", "",TOTALCO!M43)</f>
        <v/>
      </c>
      <c r="N924" s="12">
        <f>IF(TOTALCO!N43="", "",TOTALCO!N43)</f>
        <v>273286</v>
      </c>
      <c r="O924" s="12">
        <f>IF(TOTALCO!O43="", "",TOTALCO!O43)</f>
        <v>273286</v>
      </c>
      <c r="P924" s="12">
        <f>IF(TOTALCO!P43="", "",TOTALCO!P43)</f>
        <v>0</v>
      </c>
      <c r="Q924" s="12"/>
      <c r="R924" s="13"/>
    </row>
    <row r="925" spans="1:18" ht="15" x14ac:dyDescent="0.2">
      <c r="A925" s="382">
        <f>IF(TOTALCO!A44="", "",TOTALCO!A44)</f>
        <v>14</v>
      </c>
      <c r="B925" s="4" t="str">
        <f>IF(TOTALCO!B44="", "",TOTALCO!B44)</f>
        <v>DIRECT ASSIGN 362 KY</v>
      </c>
      <c r="C925" s="4" t="str">
        <f>IF(TOTALCO!C44="", "",TOTALCO!C44)</f>
        <v>DEM362K</v>
      </c>
      <c r="D925" s="12">
        <f>IF(TOTALCO!D44="", "",TOTALCO!D44)</f>
        <v>137609925.59999999</v>
      </c>
      <c r="E925" s="12" t="str">
        <f>IF(TOTALCO!E44="", "",TOTALCO!E44)</f>
        <v/>
      </c>
      <c r="F925" s="12">
        <f>IF(TOTALCO!F44="", "",TOTALCO!F44)</f>
        <v>134408399.59999999</v>
      </c>
      <c r="G925" s="12" t="str">
        <f>IF(TOTALCO!G44="", "",TOTALCO!G44)</f>
        <v/>
      </c>
      <c r="H925" s="12">
        <f>IF(TOTALCO!H44="", "",TOTALCO!H44)</f>
        <v>0</v>
      </c>
      <c r="I925" s="12">
        <f>IF(TOTALCO!I44="", "",TOTALCO!I44)</f>
        <v>3201526</v>
      </c>
      <c r="J925" s="12" t="str">
        <f>IF(TOTALCO!J44="", "",TOTALCO!J44)</f>
        <v/>
      </c>
      <c r="K925" s="12" t="str">
        <f>IF(TOTALCO!K44="", "",TOTALCO!K44)</f>
        <v/>
      </c>
      <c r="L925" s="12">
        <f>IF(TOTALCO!L44="", "",TOTALCO!L44)</f>
        <v>0</v>
      </c>
      <c r="M925" s="12" t="str">
        <f>IF(TOTALCO!M44="", "",TOTALCO!M44)</f>
        <v/>
      </c>
      <c r="N925" s="12">
        <f>IF(TOTALCO!N44="", "",TOTALCO!N44)</f>
        <v>3201526</v>
      </c>
      <c r="O925" s="12">
        <f>IF(TOTALCO!O44="", "",TOTALCO!O44)</f>
        <v>3201526</v>
      </c>
      <c r="P925" s="12">
        <f>IF(TOTALCO!P44="", "",TOTALCO!P44)</f>
        <v>0</v>
      </c>
      <c r="Q925" s="12"/>
      <c r="R925" s="13"/>
    </row>
    <row r="926" spans="1:18" ht="15" x14ac:dyDescent="0.2">
      <c r="A926" s="382">
        <f>IF(TOTALCO!A45="", "",TOTALCO!A45)</f>
        <v>15</v>
      </c>
      <c r="B926" s="4" t="str">
        <f>IF(TOTALCO!B45="", "",TOTALCO!B45)</f>
        <v>DIRECT ASSIGN 364 KY</v>
      </c>
      <c r="C926" s="4" t="str">
        <f>IF(TOTALCO!C45="", "",TOTALCO!C45)</f>
        <v>DEM364K</v>
      </c>
      <c r="D926" s="12">
        <f>IF(TOTALCO!D45="", "",TOTALCO!D45)</f>
        <v>273798351.31999999</v>
      </c>
      <c r="E926" s="12" t="str">
        <f>IF(TOTALCO!E45="", "",TOTALCO!E45)</f>
        <v/>
      </c>
      <c r="F926" s="12">
        <f>IF(TOTALCO!F45="", "",TOTALCO!F45)</f>
        <v>273798351.31999999</v>
      </c>
      <c r="G926" s="12" t="str">
        <f>IF(TOTALCO!G45="", "",TOTALCO!G45)</f>
        <v/>
      </c>
      <c r="H926" s="12">
        <f>IF(TOTALCO!H45="", "",TOTALCO!H45)</f>
        <v>0</v>
      </c>
      <c r="I926" s="12">
        <f>IF(TOTALCO!I45="", "",TOTALCO!I45)</f>
        <v>0</v>
      </c>
      <c r="J926" s="12" t="str">
        <f>IF(TOTALCO!J45="", "",TOTALCO!J45)</f>
        <v/>
      </c>
      <c r="K926" s="12" t="str">
        <f>IF(TOTALCO!K45="", "",TOTALCO!K45)</f>
        <v/>
      </c>
      <c r="L926" s="12">
        <f>IF(TOTALCO!L45="", "",TOTALCO!L45)</f>
        <v>0</v>
      </c>
      <c r="M926" s="12" t="str">
        <f>IF(TOTALCO!M45="", "",TOTALCO!M45)</f>
        <v/>
      </c>
      <c r="N926" s="12">
        <f>IF(TOTALCO!N45="", "",TOTALCO!N45)</f>
        <v>0</v>
      </c>
      <c r="O926" s="12">
        <f>IF(TOTALCO!O45="", "",TOTALCO!O45)</f>
        <v>0</v>
      </c>
      <c r="P926" s="12">
        <f>IF(TOTALCO!P45="", "",TOTALCO!P45)</f>
        <v>0</v>
      </c>
      <c r="Q926" s="12"/>
      <c r="R926" s="13"/>
    </row>
    <row r="927" spans="1:18" ht="15" x14ac:dyDescent="0.2">
      <c r="A927" s="382">
        <f>IF(TOTALCO!A46="", "",TOTALCO!A46)</f>
        <v>16</v>
      </c>
      <c r="B927" s="4" t="str">
        <f>IF(TOTALCO!B46="", "",TOTALCO!B46)</f>
        <v>DIRECT ASSIGN 365 KY</v>
      </c>
      <c r="C927" s="4" t="str">
        <f>IF(TOTALCO!C46="", "",TOTALCO!C46)</f>
        <v>DEM365K</v>
      </c>
      <c r="D927" s="12">
        <f>IF(TOTALCO!D46="", "",TOTALCO!D46)</f>
        <v>263336953.54999995</v>
      </c>
      <c r="E927" s="12" t="str">
        <f>IF(TOTALCO!E46="", "",TOTALCO!E46)</f>
        <v/>
      </c>
      <c r="F927" s="12">
        <f>IF(TOTALCO!F46="", "",TOTALCO!F46)</f>
        <v>263336953.54999995</v>
      </c>
      <c r="G927" s="12" t="str">
        <f>IF(TOTALCO!G46="", "",TOTALCO!G46)</f>
        <v/>
      </c>
      <c r="H927" s="12">
        <f>IF(TOTALCO!H46="", "",TOTALCO!H46)</f>
        <v>0</v>
      </c>
      <c r="I927" s="12">
        <f>IF(TOTALCO!I46="", "",TOTALCO!I46)</f>
        <v>0</v>
      </c>
      <c r="J927" s="12" t="str">
        <f>IF(TOTALCO!J46="", "",TOTALCO!J46)</f>
        <v/>
      </c>
      <c r="K927" s="12" t="str">
        <f>IF(TOTALCO!K46="", "",TOTALCO!K46)</f>
        <v/>
      </c>
      <c r="L927" s="12">
        <f>IF(TOTALCO!L46="", "",TOTALCO!L46)</f>
        <v>0</v>
      </c>
      <c r="M927" s="12" t="str">
        <f>IF(TOTALCO!M46="", "",TOTALCO!M46)</f>
        <v/>
      </c>
      <c r="N927" s="12">
        <f>IF(TOTALCO!N46="", "",TOTALCO!N46)</f>
        <v>0</v>
      </c>
      <c r="O927" s="12">
        <f>IF(TOTALCO!O46="", "",TOTALCO!O46)</f>
        <v>0</v>
      </c>
      <c r="P927" s="12">
        <f>IF(TOTALCO!P46="", "",TOTALCO!P46)</f>
        <v>0</v>
      </c>
      <c r="Q927" s="12"/>
      <c r="R927" s="13"/>
    </row>
    <row r="928" spans="1:18" ht="15" x14ac:dyDescent="0.2">
      <c r="A928" s="382">
        <f>IF(TOTALCO!A47="", "",TOTALCO!A47)</f>
        <v>17</v>
      </c>
      <c r="B928" s="4" t="str">
        <f>IF(TOTALCO!B47="", "",TOTALCO!B47)</f>
        <v>DIRECT ASSIGN 366 KY</v>
      </c>
      <c r="C928" s="4" t="str">
        <f>IF(TOTALCO!C47="", "",TOTALCO!C47)</f>
        <v>DEM366K</v>
      </c>
      <c r="D928" s="12">
        <f>IF(TOTALCO!D47="", "",TOTALCO!D47)</f>
        <v>1831865.0699999998</v>
      </c>
      <c r="E928" s="12" t="str">
        <f>IF(TOTALCO!E47="", "",TOTALCO!E47)</f>
        <v/>
      </c>
      <c r="F928" s="12">
        <f>IF(TOTALCO!F47="", "",TOTALCO!F47)</f>
        <v>1831865.0699999998</v>
      </c>
      <c r="G928" s="12" t="str">
        <f>IF(TOTALCO!G47="", "",TOTALCO!G47)</f>
        <v/>
      </c>
      <c r="H928" s="12">
        <f>IF(TOTALCO!H47="", "",TOTALCO!H47)</f>
        <v>0</v>
      </c>
      <c r="I928" s="12">
        <f>IF(TOTALCO!I47="", "",TOTALCO!I47)</f>
        <v>0</v>
      </c>
      <c r="J928" s="12" t="str">
        <f>IF(TOTALCO!J47="", "",TOTALCO!J47)</f>
        <v/>
      </c>
      <c r="K928" s="12" t="str">
        <f>IF(TOTALCO!K47="", "",TOTALCO!K47)</f>
        <v/>
      </c>
      <c r="L928" s="12">
        <f>IF(TOTALCO!L47="", "",TOTALCO!L47)</f>
        <v>0</v>
      </c>
      <c r="M928" s="12" t="str">
        <f>IF(TOTALCO!M47="", "",TOTALCO!M47)</f>
        <v/>
      </c>
      <c r="N928" s="12">
        <f>IF(TOTALCO!N47="", "",TOTALCO!N47)</f>
        <v>0</v>
      </c>
      <c r="O928" s="12">
        <f>IF(TOTALCO!O47="", "",TOTALCO!O47)</f>
        <v>0</v>
      </c>
      <c r="P928" s="12">
        <f>IF(TOTALCO!P47="", "",TOTALCO!P47)</f>
        <v>0</v>
      </c>
      <c r="Q928" s="12"/>
      <c r="R928" s="13"/>
    </row>
    <row r="929" spans="1:18" ht="15" x14ac:dyDescent="0.2">
      <c r="A929" s="382">
        <f>IF(TOTALCO!A48="", "",TOTALCO!A48)</f>
        <v>18</v>
      </c>
      <c r="B929" s="4" t="str">
        <f>IF(TOTALCO!B48="", "",TOTALCO!B48)</f>
        <v>DIRECT ASSIGN 367 KY</v>
      </c>
      <c r="C929" s="4" t="str">
        <f>IF(TOTALCO!C48="", "",TOTALCO!C48)</f>
        <v>DEM367K</v>
      </c>
      <c r="D929" s="12">
        <f>IF(TOTALCO!D48="", "",TOTALCO!D48)</f>
        <v>139509219.16</v>
      </c>
      <c r="E929" s="12" t="str">
        <f>IF(TOTALCO!E48="", "",TOTALCO!E48)</f>
        <v/>
      </c>
      <c r="F929" s="12">
        <f>IF(TOTALCO!F48="", "",TOTALCO!F48)</f>
        <v>139509219.16</v>
      </c>
      <c r="G929" s="12" t="str">
        <f>IF(TOTALCO!G48="", "",TOTALCO!G48)</f>
        <v/>
      </c>
      <c r="H929" s="12">
        <f>IF(TOTALCO!H48="", "",TOTALCO!H48)</f>
        <v>0</v>
      </c>
      <c r="I929" s="12">
        <f>IF(TOTALCO!I48="", "",TOTALCO!I48)</f>
        <v>0</v>
      </c>
      <c r="J929" s="12" t="str">
        <f>IF(TOTALCO!J48="", "",TOTALCO!J48)</f>
        <v/>
      </c>
      <c r="K929" s="12" t="str">
        <f>IF(TOTALCO!K48="", "",TOTALCO!K48)</f>
        <v/>
      </c>
      <c r="L929" s="12">
        <f>IF(TOTALCO!L48="", "",TOTALCO!L48)</f>
        <v>0</v>
      </c>
      <c r="M929" s="12" t="str">
        <f>IF(TOTALCO!M48="", "",TOTALCO!M48)</f>
        <v/>
      </c>
      <c r="N929" s="12">
        <f>IF(TOTALCO!N48="", "",TOTALCO!N48)</f>
        <v>0</v>
      </c>
      <c r="O929" s="12">
        <f>IF(TOTALCO!O48="", "",TOTALCO!O48)</f>
        <v>0</v>
      </c>
      <c r="P929" s="12">
        <f>IF(TOTALCO!P48="", "",TOTALCO!P48)</f>
        <v>0</v>
      </c>
      <c r="Q929" s="12"/>
      <c r="R929" s="13"/>
    </row>
    <row r="930" spans="1:18" ht="15" x14ac:dyDescent="0.2">
      <c r="A930" s="382">
        <f>IF(TOTALCO!A49="", "",TOTALCO!A49)</f>
        <v>19</v>
      </c>
      <c r="B930" s="4" t="str">
        <f>IF(TOTALCO!B49="", "",TOTALCO!B49)</f>
        <v>DIRECT ASSIGN 368 KY</v>
      </c>
      <c r="C930" s="4" t="str">
        <f>IF(TOTALCO!C49="", "",TOTALCO!C49)</f>
        <v>DEM368K</v>
      </c>
      <c r="D930" s="12">
        <f>IF(TOTALCO!D49="", "",TOTALCO!D49)</f>
        <v>273917337.10000002</v>
      </c>
      <c r="E930" s="12" t="str">
        <f>IF(TOTALCO!E49="", "",TOTALCO!E49)</f>
        <v/>
      </c>
      <c r="F930" s="12">
        <f>IF(TOTALCO!F49="", "",TOTALCO!F49)</f>
        <v>273917337.10000002</v>
      </c>
      <c r="G930" s="12" t="str">
        <f>IF(TOTALCO!G49="", "",TOTALCO!G49)</f>
        <v/>
      </c>
      <c r="H930" s="12">
        <f>IF(TOTALCO!H49="", "",TOTALCO!H49)</f>
        <v>0</v>
      </c>
      <c r="I930" s="12">
        <f>IF(TOTALCO!I49="", "",TOTALCO!I49)</f>
        <v>0</v>
      </c>
      <c r="J930" s="12" t="str">
        <f>IF(TOTALCO!J49="", "",TOTALCO!J49)</f>
        <v/>
      </c>
      <c r="K930" s="12" t="str">
        <f>IF(TOTALCO!K49="", "",TOTALCO!K49)</f>
        <v/>
      </c>
      <c r="L930" s="12">
        <f>IF(TOTALCO!L49="", "",TOTALCO!L49)</f>
        <v>0</v>
      </c>
      <c r="M930" s="12" t="str">
        <f>IF(TOTALCO!M49="", "",TOTALCO!M49)</f>
        <v/>
      </c>
      <c r="N930" s="12">
        <f>IF(TOTALCO!N49="", "",TOTALCO!N49)</f>
        <v>0</v>
      </c>
      <c r="O930" s="12">
        <f>IF(TOTALCO!O49="", "",TOTALCO!O49)</f>
        <v>0</v>
      </c>
      <c r="P930" s="12">
        <f>IF(TOTALCO!P49="", "",TOTALCO!P49)</f>
        <v>0</v>
      </c>
      <c r="Q930" s="12"/>
      <c r="R930" s="13"/>
    </row>
    <row r="931" spans="1:18" ht="15" x14ac:dyDescent="0.2">
      <c r="A931" s="382">
        <f>IF(TOTALCO!A50="", "",TOTALCO!A50)</f>
        <v>20</v>
      </c>
      <c r="B931" s="4" t="str">
        <f>IF(TOTALCO!B50="", "",TOTALCO!B50)</f>
        <v>DIRECT ASSIGN 374 KY</v>
      </c>
      <c r="C931" s="4" t="str">
        <f>IF(TOTALCO!C50="", "",TOTALCO!C50)</f>
        <v>DEM374K</v>
      </c>
      <c r="D931" s="12">
        <f>IF(TOTALCO!D50="", "",TOTALCO!D50)</f>
        <v>287375.78999999998</v>
      </c>
      <c r="E931" s="12" t="str">
        <f>IF(TOTALCO!E50="", "",TOTALCO!E50)</f>
        <v/>
      </c>
      <c r="F931" s="12">
        <f>IF(TOTALCO!F50="", "",TOTALCO!F50)</f>
        <v>287375.78999999998</v>
      </c>
      <c r="G931" s="12" t="str">
        <f>IF(TOTALCO!G50="", "",TOTALCO!G50)</f>
        <v/>
      </c>
      <c r="H931" s="12">
        <f>IF(TOTALCO!H50="", "",TOTALCO!H50)</f>
        <v>0</v>
      </c>
      <c r="I931" s="12">
        <f>IF(TOTALCO!I50="", "",TOTALCO!I50)</f>
        <v>0</v>
      </c>
      <c r="J931" s="12" t="str">
        <f>IF(TOTALCO!J50="", "",TOTALCO!J50)</f>
        <v/>
      </c>
      <c r="K931" s="12" t="str">
        <f>IF(TOTALCO!K50="", "",TOTALCO!K50)</f>
        <v/>
      </c>
      <c r="L931" s="12">
        <f>IF(TOTALCO!L50="", "",TOTALCO!L50)</f>
        <v>0</v>
      </c>
      <c r="M931" s="12" t="str">
        <f>IF(TOTALCO!M50="", "",TOTALCO!M50)</f>
        <v/>
      </c>
      <c r="N931" s="12">
        <f>IF(TOTALCO!N50="", "",TOTALCO!N50)</f>
        <v>0</v>
      </c>
      <c r="O931" s="12">
        <f>IF(TOTALCO!O50="", "",TOTALCO!O50)</f>
        <v>0</v>
      </c>
      <c r="P931" s="12">
        <f>IF(TOTALCO!P50="", "",TOTALCO!P50)</f>
        <v>0</v>
      </c>
      <c r="Q931" s="12"/>
      <c r="R931" s="13"/>
    </row>
    <row r="932" spans="1:18" ht="15" x14ac:dyDescent="0.2">
      <c r="A932" s="382">
        <f>IF(TOTALCO!A51="", "",TOTALCO!A51)</f>
        <v>21</v>
      </c>
      <c r="B932" s="4" t="str">
        <f>IF(TOTALCO!B51="", "",TOTALCO!B51)</f>
        <v>DIRECT ASSIGN 360-VA</v>
      </c>
      <c r="C932" s="4" t="str">
        <f>IF(TOTALCO!C51="", "",TOTALCO!C51)</f>
        <v>DEM360V</v>
      </c>
      <c r="D932" s="12">
        <f>IF(TOTALCO!D51="", "",TOTALCO!D51)</f>
        <v>193250.44</v>
      </c>
      <c r="E932" s="12" t="str">
        <f>IF(TOTALCO!E51="", "",TOTALCO!E51)</f>
        <v/>
      </c>
      <c r="F932" s="12">
        <f>IF(TOTALCO!F51="", "",TOTALCO!F51)</f>
        <v>0</v>
      </c>
      <c r="G932" s="12" t="str">
        <f>IF(TOTALCO!G51="", "",TOTALCO!G51)</f>
        <v/>
      </c>
      <c r="H932" s="12">
        <f>IF(TOTALCO!H51="", "",TOTALCO!H51)</f>
        <v>193250.44</v>
      </c>
      <c r="I932" s="12">
        <f>IF(TOTALCO!I51="", "",TOTALCO!I51)</f>
        <v>0</v>
      </c>
      <c r="J932" s="12" t="str">
        <f>IF(TOTALCO!J51="", "",TOTALCO!J51)</f>
        <v/>
      </c>
      <c r="K932" s="12" t="str">
        <f>IF(TOTALCO!K51="", "",TOTALCO!K51)</f>
        <v/>
      </c>
      <c r="L932" s="12">
        <f>IF(TOTALCO!L51="", "",TOTALCO!L51)</f>
        <v>0</v>
      </c>
      <c r="M932" s="12" t="str">
        <f>IF(TOTALCO!M51="", "",TOTALCO!M51)</f>
        <v/>
      </c>
      <c r="N932" s="12">
        <f>IF(TOTALCO!N51="", "",TOTALCO!N51)</f>
        <v>0</v>
      </c>
      <c r="O932" s="12">
        <f>IF(TOTALCO!O51="", "",TOTALCO!O51)</f>
        <v>0</v>
      </c>
      <c r="P932" s="12">
        <f>IF(TOTALCO!P51="", "",TOTALCO!P51)</f>
        <v>0</v>
      </c>
      <c r="Q932" s="12"/>
      <c r="R932" s="13"/>
    </row>
    <row r="933" spans="1:18" ht="15" x14ac:dyDescent="0.2">
      <c r="A933" s="382">
        <f>IF(TOTALCO!A52="", "",TOTALCO!A52)</f>
        <v>22</v>
      </c>
      <c r="B933" s="4" t="str">
        <f>IF(TOTALCO!B52="", "",TOTALCO!B52)</f>
        <v>DIRECT ASSIGN 361-VA</v>
      </c>
      <c r="C933" s="4" t="str">
        <f>IF(TOTALCO!C52="", "",TOTALCO!C52)</f>
        <v>DEM361V</v>
      </c>
      <c r="D933" s="12">
        <f>IF(TOTALCO!D52="", "",TOTALCO!D52)</f>
        <v>448173.6</v>
      </c>
      <c r="E933" s="12" t="str">
        <f>IF(TOTALCO!E52="", "",TOTALCO!E52)</f>
        <v/>
      </c>
      <c r="F933" s="12">
        <f>IF(TOTALCO!F52="", "",TOTALCO!F52)</f>
        <v>0</v>
      </c>
      <c r="G933" s="12" t="str">
        <f>IF(TOTALCO!G52="", "",TOTALCO!G52)</f>
        <v/>
      </c>
      <c r="H933" s="12">
        <f>IF(TOTALCO!H52="", "",TOTALCO!H52)</f>
        <v>448173.6</v>
      </c>
      <c r="I933" s="12">
        <f>IF(TOTALCO!I52="", "",TOTALCO!I52)</f>
        <v>0</v>
      </c>
      <c r="J933" s="12" t="str">
        <f>IF(TOTALCO!J52="", "",TOTALCO!J52)</f>
        <v/>
      </c>
      <c r="K933" s="12" t="str">
        <f>IF(TOTALCO!K52="", "",TOTALCO!K52)</f>
        <v/>
      </c>
      <c r="L933" s="12">
        <f>IF(TOTALCO!L52="", "",TOTALCO!L52)</f>
        <v>0</v>
      </c>
      <c r="M933" s="12" t="str">
        <f>IF(TOTALCO!M52="", "",TOTALCO!M52)</f>
        <v/>
      </c>
      <c r="N933" s="12">
        <f>IF(TOTALCO!N52="", "",TOTALCO!N52)</f>
        <v>0</v>
      </c>
      <c r="O933" s="12">
        <f>IF(TOTALCO!O52="", "",TOTALCO!O52)</f>
        <v>0</v>
      </c>
      <c r="P933" s="12">
        <f>IF(TOTALCO!P52="", "",TOTALCO!P52)</f>
        <v>0</v>
      </c>
      <c r="Q933" s="12"/>
      <c r="R933" s="13"/>
    </row>
    <row r="934" spans="1:18" ht="15" x14ac:dyDescent="0.2">
      <c r="A934" s="382">
        <f>IF(TOTALCO!A53="", "",TOTALCO!A53)</f>
        <v>23</v>
      </c>
      <c r="B934" s="4" t="str">
        <f>IF(TOTALCO!B53="", "",TOTALCO!B53)</f>
        <v>DIRECT ASSIGN 362-VA</v>
      </c>
      <c r="C934" s="4" t="str">
        <f>IF(TOTALCO!C53="", "",TOTALCO!C53)</f>
        <v>DEM362V</v>
      </c>
      <c r="D934" s="12">
        <f>IF(TOTALCO!D53="", "",TOTALCO!D53)</f>
        <v>7696928.2699999996</v>
      </c>
      <c r="E934" s="12" t="str">
        <f>IF(TOTALCO!E53="", "",TOTALCO!E53)</f>
        <v/>
      </c>
      <c r="F934" s="12">
        <f>IF(TOTALCO!F53="", "",TOTALCO!F53)</f>
        <v>0</v>
      </c>
      <c r="G934" s="12" t="str">
        <f>IF(TOTALCO!G53="", "",TOTALCO!G53)</f>
        <v/>
      </c>
      <c r="H934" s="12">
        <f>IF(TOTALCO!H53="", "",TOTALCO!H53)</f>
        <v>7696928.2699999996</v>
      </c>
      <c r="I934" s="12">
        <f>IF(TOTALCO!I53="", "",TOTALCO!I53)</f>
        <v>0</v>
      </c>
      <c r="J934" s="12" t="str">
        <f>IF(TOTALCO!J53="", "",TOTALCO!J53)</f>
        <v/>
      </c>
      <c r="K934" s="12" t="str">
        <f>IF(TOTALCO!K53="", "",TOTALCO!K53)</f>
        <v/>
      </c>
      <c r="L934" s="12">
        <f>IF(TOTALCO!L53="", "",TOTALCO!L53)</f>
        <v>0</v>
      </c>
      <c r="M934" s="12" t="str">
        <f>IF(TOTALCO!M53="", "",TOTALCO!M53)</f>
        <v/>
      </c>
      <c r="N934" s="12">
        <f>IF(TOTALCO!N53="", "",TOTALCO!N53)</f>
        <v>0</v>
      </c>
      <c r="O934" s="12">
        <f>IF(TOTALCO!O53="", "",TOTALCO!O53)</f>
        <v>0</v>
      </c>
      <c r="P934" s="12">
        <f>IF(TOTALCO!P53="", "",TOTALCO!P53)</f>
        <v>0</v>
      </c>
      <c r="Q934" s="12"/>
      <c r="R934" s="13"/>
    </row>
    <row r="935" spans="1:18" ht="15" x14ac:dyDescent="0.2">
      <c r="A935" s="382">
        <f>IF(TOTALCO!A54="", "",TOTALCO!A54)</f>
        <v>24</v>
      </c>
      <c r="B935" s="4" t="str">
        <f>IF(TOTALCO!B54="", "",TOTALCO!B54)</f>
        <v>DIRECT ASSIGN 360-362-FERC VA</v>
      </c>
      <c r="C935" s="4" t="str">
        <f>IF(TOTALCO!C54="", "",TOTALCO!C54)</f>
        <v>DIR3602V</v>
      </c>
      <c r="D935" s="12">
        <f>IF(TOTALCO!D54="", "",TOTALCO!D54)</f>
        <v>0</v>
      </c>
      <c r="E935" s="12" t="str">
        <f>IF(TOTALCO!E54="", "",TOTALCO!E54)</f>
        <v/>
      </c>
      <c r="F935" s="12">
        <f>IF(TOTALCO!F54="", "",TOTALCO!F54)</f>
        <v>0</v>
      </c>
      <c r="G935" s="12" t="str">
        <f>IF(TOTALCO!G54="", "",TOTALCO!G54)</f>
        <v/>
      </c>
      <c r="H935" s="12">
        <f>IF(TOTALCO!H54="", "",TOTALCO!H54)</f>
        <v>0</v>
      </c>
      <c r="I935" s="12">
        <f>IF(TOTALCO!I54="", "",TOTALCO!I54)</f>
        <v>0</v>
      </c>
      <c r="J935" s="12" t="str">
        <f>IF(TOTALCO!J54="", "",TOTALCO!J54)</f>
        <v/>
      </c>
      <c r="K935" s="12" t="str">
        <f>IF(TOTALCO!K54="", "",TOTALCO!K54)</f>
        <v/>
      </c>
      <c r="L935" s="12">
        <f>IF(TOTALCO!L54="", "",TOTALCO!L54)</f>
        <v>0</v>
      </c>
      <c r="M935" s="12" t="str">
        <f>IF(TOTALCO!M54="", "",TOTALCO!M54)</f>
        <v/>
      </c>
      <c r="N935" s="12">
        <f>IF(TOTALCO!N54="", "",TOTALCO!N54)</f>
        <v>0</v>
      </c>
      <c r="O935" s="12">
        <f>IF(TOTALCO!O54="", "",TOTALCO!O54)</f>
        <v>0</v>
      </c>
      <c r="P935" s="12">
        <f>IF(TOTALCO!P54="", "",TOTALCO!P54)</f>
        <v>0</v>
      </c>
      <c r="Q935" s="12"/>
      <c r="R935" s="13"/>
    </row>
    <row r="936" spans="1:18" ht="15" x14ac:dyDescent="0.2">
      <c r="A936" s="382">
        <f>IF(TOTALCO!A55="", "",TOTALCO!A55)</f>
        <v>25</v>
      </c>
      <c r="B936" s="4" t="str">
        <f>IF(TOTALCO!B55="", "",TOTALCO!B55)</f>
        <v>DIRECT ASSIGN 364-VA</v>
      </c>
      <c r="C936" s="4" t="str">
        <f>IF(TOTALCO!C55="", "",TOTALCO!C55)</f>
        <v>DEM364V</v>
      </c>
      <c r="D936" s="12">
        <f>IF(TOTALCO!D55="", "",TOTALCO!D55)</f>
        <v>23371898.899999999</v>
      </c>
      <c r="E936" s="12" t="str">
        <f>IF(TOTALCO!E55="", "",TOTALCO!E55)</f>
        <v/>
      </c>
      <c r="F936" s="12">
        <f>IF(TOTALCO!F55="", "",TOTALCO!F55)</f>
        <v>0</v>
      </c>
      <c r="G936" s="12" t="str">
        <f>IF(TOTALCO!G55="", "",TOTALCO!G55)</f>
        <v/>
      </c>
      <c r="H936" s="12">
        <f>IF(TOTALCO!H55="", "",TOTALCO!H55)</f>
        <v>23371898.899999999</v>
      </c>
      <c r="I936" s="12">
        <f>IF(TOTALCO!I55="", "",TOTALCO!I55)</f>
        <v>0</v>
      </c>
      <c r="J936" s="12" t="str">
        <f>IF(TOTALCO!J55="", "",TOTALCO!J55)</f>
        <v/>
      </c>
      <c r="K936" s="12" t="str">
        <f>IF(TOTALCO!K55="", "",TOTALCO!K55)</f>
        <v/>
      </c>
      <c r="L936" s="12">
        <f>IF(TOTALCO!L55="", "",TOTALCO!L55)</f>
        <v>0</v>
      </c>
      <c r="M936" s="12" t="str">
        <f>IF(TOTALCO!M55="", "",TOTALCO!M55)</f>
        <v/>
      </c>
      <c r="N936" s="12">
        <f>IF(TOTALCO!N55="", "",TOTALCO!N55)</f>
        <v>0</v>
      </c>
      <c r="O936" s="12">
        <f>IF(TOTALCO!O55="", "",TOTALCO!O55)</f>
        <v>0</v>
      </c>
      <c r="P936" s="12">
        <f>IF(TOTALCO!P55="", "",TOTALCO!P55)</f>
        <v>0</v>
      </c>
      <c r="Q936" s="12"/>
      <c r="R936" s="13"/>
    </row>
    <row r="937" spans="1:18" ht="15" x14ac:dyDescent="0.2">
      <c r="A937" s="382">
        <f>IF(TOTALCO!A56="", "",TOTALCO!A56)</f>
        <v>26</v>
      </c>
      <c r="B937" s="4" t="str">
        <f>IF(TOTALCO!B56="", "",TOTALCO!B56)</f>
        <v>DIRECT ASSIGN 365-VA</v>
      </c>
      <c r="C937" s="4" t="str">
        <f>IF(TOTALCO!C56="", "",TOTALCO!C56)</f>
        <v>DEM365V</v>
      </c>
      <c r="D937" s="12">
        <f>IF(TOTALCO!D56="", "",TOTALCO!D56)</f>
        <v>20121982.84</v>
      </c>
      <c r="E937" s="12" t="str">
        <f>IF(TOTALCO!E56="", "",TOTALCO!E56)</f>
        <v/>
      </c>
      <c r="F937" s="12">
        <f>IF(TOTALCO!F56="", "",TOTALCO!F56)</f>
        <v>0</v>
      </c>
      <c r="G937" s="12" t="str">
        <f>IF(TOTALCO!G56="", "",TOTALCO!G56)</f>
        <v/>
      </c>
      <c r="H937" s="12">
        <f>IF(TOTALCO!H56="", "",TOTALCO!H56)</f>
        <v>20121982.84</v>
      </c>
      <c r="I937" s="12">
        <f>IF(TOTALCO!I56="", "",TOTALCO!I56)</f>
        <v>0</v>
      </c>
      <c r="J937" s="12" t="str">
        <f>IF(TOTALCO!J56="", "",TOTALCO!J56)</f>
        <v/>
      </c>
      <c r="K937" s="12" t="str">
        <f>IF(TOTALCO!K56="", "",TOTALCO!K56)</f>
        <v/>
      </c>
      <c r="L937" s="12">
        <f>IF(TOTALCO!L56="", "",TOTALCO!L56)</f>
        <v>0</v>
      </c>
      <c r="M937" s="12" t="str">
        <f>IF(TOTALCO!M56="", "",TOTALCO!M56)</f>
        <v/>
      </c>
      <c r="N937" s="12">
        <f>IF(TOTALCO!N56="", "",TOTALCO!N56)</f>
        <v>0</v>
      </c>
      <c r="O937" s="12">
        <f>IF(TOTALCO!O56="", "",TOTALCO!O56)</f>
        <v>0</v>
      </c>
      <c r="P937" s="12">
        <f>IF(TOTALCO!P56="", "",TOTALCO!P56)</f>
        <v>0</v>
      </c>
      <c r="Q937" s="12"/>
      <c r="R937" s="13"/>
    </row>
    <row r="938" spans="1:18" ht="15" x14ac:dyDescent="0.2">
      <c r="A938" s="382">
        <f>IF(TOTALCO!A57="", "",TOTALCO!A57)</f>
        <v>27</v>
      </c>
      <c r="B938" s="4" t="str">
        <f>IF(TOTALCO!B57="", "",TOTALCO!B57)</f>
        <v>DIRECT ASSIGN 367-VA</v>
      </c>
      <c r="C938" s="4" t="str">
        <f>IF(TOTALCO!C57="", "",TOTALCO!C57)</f>
        <v>DEM367V</v>
      </c>
      <c r="D938" s="12">
        <f>IF(TOTALCO!D57="", "",TOTALCO!D57)</f>
        <v>2763963.85</v>
      </c>
      <c r="E938" s="12" t="str">
        <f>IF(TOTALCO!E57="", "",TOTALCO!E57)</f>
        <v/>
      </c>
      <c r="F938" s="12">
        <f>IF(TOTALCO!F57="", "",TOTALCO!F57)</f>
        <v>0</v>
      </c>
      <c r="G938" s="12" t="str">
        <f>IF(TOTALCO!G57="", "",TOTALCO!G57)</f>
        <v/>
      </c>
      <c r="H938" s="12">
        <f>IF(TOTALCO!H57="", "",TOTALCO!H57)</f>
        <v>2763963.85</v>
      </c>
      <c r="I938" s="12">
        <f>IF(TOTALCO!I57="", "",TOTALCO!I57)</f>
        <v>0</v>
      </c>
      <c r="J938" s="12" t="str">
        <f>IF(TOTALCO!J57="", "",TOTALCO!J57)</f>
        <v/>
      </c>
      <c r="K938" s="12" t="str">
        <f>IF(TOTALCO!K57="", "",TOTALCO!K57)</f>
        <v/>
      </c>
      <c r="L938" s="12">
        <f>IF(TOTALCO!L57="", "",TOTALCO!L57)</f>
        <v>0</v>
      </c>
      <c r="M938" s="12" t="str">
        <f>IF(TOTALCO!M57="", "",TOTALCO!M57)</f>
        <v/>
      </c>
      <c r="N938" s="12">
        <f>IF(TOTALCO!N57="", "",TOTALCO!N57)</f>
        <v>0</v>
      </c>
      <c r="O938" s="12">
        <f>IF(TOTALCO!O57="", "",TOTALCO!O57)</f>
        <v>0</v>
      </c>
      <c r="P938" s="12">
        <f>IF(TOTALCO!P57="", "",TOTALCO!P57)</f>
        <v>0</v>
      </c>
      <c r="Q938" s="12"/>
      <c r="R938" s="13"/>
    </row>
    <row r="939" spans="1:18" ht="15" x14ac:dyDescent="0.2">
      <c r="A939" s="382">
        <f>IF(TOTALCO!A58="", "",TOTALCO!A58)</f>
        <v>28</v>
      </c>
      <c r="B939" s="4" t="str">
        <f>IF(TOTALCO!B58="", "",TOTALCO!B58)</f>
        <v>DIRECT ASSIGN 368-VA</v>
      </c>
      <c r="C939" s="4" t="str">
        <f>IF(TOTALCO!C58="", "",TOTALCO!C58)</f>
        <v>DEM368V</v>
      </c>
      <c r="D939" s="12">
        <f>IF(TOTALCO!D58="", "",TOTALCO!D58)</f>
        <v>14023456.059999999</v>
      </c>
      <c r="E939" s="12" t="str">
        <f>IF(TOTALCO!E58="", "",TOTALCO!E58)</f>
        <v/>
      </c>
      <c r="F939" s="12">
        <f>IF(TOTALCO!F58="", "",TOTALCO!F58)</f>
        <v>0</v>
      </c>
      <c r="G939" s="12" t="str">
        <f>IF(TOTALCO!G58="", "",TOTALCO!G58)</f>
        <v/>
      </c>
      <c r="H939" s="12">
        <f>IF(TOTALCO!H58="", "",TOTALCO!H58)</f>
        <v>14023456.059999999</v>
      </c>
      <c r="I939" s="12">
        <f>IF(TOTALCO!I58="", "",TOTALCO!I58)</f>
        <v>0</v>
      </c>
      <c r="J939" s="12" t="str">
        <f>IF(TOTALCO!J58="", "",TOTALCO!J58)</f>
        <v/>
      </c>
      <c r="K939" s="12" t="str">
        <f>IF(TOTALCO!K58="", "",TOTALCO!K58)</f>
        <v/>
      </c>
      <c r="L939" s="12">
        <f>IF(TOTALCO!L58="", "",TOTALCO!L58)</f>
        <v>0</v>
      </c>
      <c r="M939" s="12" t="str">
        <f>IF(TOTALCO!M58="", "",TOTALCO!M58)</f>
        <v/>
      </c>
      <c r="N939" s="12">
        <f>IF(TOTALCO!N58="", "",TOTALCO!N58)</f>
        <v>0</v>
      </c>
      <c r="O939" s="12">
        <f>IF(TOTALCO!O58="", "",TOTALCO!O58)</f>
        <v>0</v>
      </c>
      <c r="P939" s="12">
        <f>IF(TOTALCO!P58="", "",TOTALCO!P58)</f>
        <v>0</v>
      </c>
      <c r="Q939" s="12"/>
      <c r="R939" s="13"/>
    </row>
    <row r="940" spans="1:18" ht="15" x14ac:dyDescent="0.2">
      <c r="A940" s="382">
        <f>IF(TOTALCO!A59="", "",TOTALCO!A59)</f>
        <v>29</v>
      </c>
      <c r="B940" s="4" t="str">
        <f>IF(TOTALCO!B59="", "",TOTALCO!B59)</f>
        <v>DIRECT ASSIGN 360-TN</v>
      </c>
      <c r="C940" s="4" t="str">
        <f>IF(TOTALCO!C59="", "",TOTALCO!C59)</f>
        <v>DEM360T</v>
      </c>
      <c r="D940" s="12">
        <f>IF(TOTALCO!D59="", "",TOTALCO!D59)</f>
        <v>5040.2299999999996</v>
      </c>
      <c r="E940" s="12" t="str">
        <f>IF(TOTALCO!E59="", "",TOTALCO!E59)</f>
        <v/>
      </c>
      <c r="F940" s="12">
        <f>IF(TOTALCO!F59="", "",TOTALCO!F59)</f>
        <v>0</v>
      </c>
      <c r="G940" s="12" t="str">
        <f>IF(TOTALCO!G59="", "",TOTALCO!G59)</f>
        <v/>
      </c>
      <c r="H940" s="12">
        <f>IF(TOTALCO!H59="", "",TOTALCO!H59)</f>
        <v>0</v>
      </c>
      <c r="I940" s="12">
        <f>IF(TOTALCO!I59="", "",TOTALCO!I59)</f>
        <v>5040.2299999999996</v>
      </c>
      <c r="J940" s="12" t="str">
        <f>IF(TOTALCO!J59="", "",TOTALCO!J59)</f>
        <v/>
      </c>
      <c r="K940" s="12" t="str">
        <f>IF(TOTALCO!K59="", "",TOTALCO!K59)</f>
        <v/>
      </c>
      <c r="L940" s="12">
        <f>IF(TOTALCO!L59="", "",TOTALCO!L59)</f>
        <v>5040.2299999999996</v>
      </c>
      <c r="M940" s="12" t="str">
        <f>IF(TOTALCO!M59="", "",TOTALCO!M59)</f>
        <v/>
      </c>
      <c r="N940" s="12">
        <f>IF(TOTALCO!N59="", "",TOTALCO!N59)</f>
        <v>0</v>
      </c>
      <c r="O940" s="12">
        <f>IF(TOTALCO!O59="", "",TOTALCO!O59)</f>
        <v>0</v>
      </c>
      <c r="P940" s="12">
        <f>IF(TOTALCO!P59="", "",TOTALCO!P59)</f>
        <v>0</v>
      </c>
      <c r="Q940" s="12"/>
      <c r="R940" s="13"/>
    </row>
    <row r="941" spans="1:18" ht="15" x14ac:dyDescent="0.2">
      <c r="A941" s="382">
        <f>IF(TOTALCO!A60="", "",TOTALCO!A60)</f>
        <v>30</v>
      </c>
      <c r="B941" s="4" t="str">
        <f>IF(TOTALCO!B60="", "",TOTALCO!B60)</f>
        <v>DIRECT ASSIGN 361-TN</v>
      </c>
      <c r="C941" s="4" t="str">
        <f>IF(TOTALCO!C60="", "",TOTALCO!C60)</f>
        <v>DEM361T</v>
      </c>
      <c r="D941" s="12">
        <f>IF(TOTALCO!D60="", "",TOTALCO!D60)</f>
        <v>2621.29</v>
      </c>
      <c r="E941" s="12" t="str">
        <f>IF(TOTALCO!E60="", "",TOTALCO!E60)</f>
        <v/>
      </c>
      <c r="F941" s="12">
        <f>IF(TOTALCO!F60="", "",TOTALCO!F60)</f>
        <v>0</v>
      </c>
      <c r="G941" s="12" t="str">
        <f>IF(TOTALCO!G60="", "",TOTALCO!G60)</f>
        <v/>
      </c>
      <c r="H941" s="12">
        <f>IF(TOTALCO!H60="", "",TOTALCO!H60)</f>
        <v>0</v>
      </c>
      <c r="I941" s="12">
        <f>IF(TOTALCO!I60="", "",TOTALCO!I60)</f>
        <v>2621.29</v>
      </c>
      <c r="J941" s="12" t="str">
        <f>IF(TOTALCO!J60="", "",TOTALCO!J60)</f>
        <v/>
      </c>
      <c r="K941" s="12" t="str">
        <f>IF(TOTALCO!K60="", "",TOTALCO!K60)</f>
        <v/>
      </c>
      <c r="L941" s="12">
        <f>IF(TOTALCO!L60="", "",TOTALCO!L60)</f>
        <v>2621.29</v>
      </c>
      <c r="M941" s="12" t="str">
        <f>IF(TOTALCO!M60="", "",TOTALCO!M60)</f>
        <v/>
      </c>
      <c r="N941" s="12">
        <f>IF(TOTALCO!N60="", "",TOTALCO!N60)</f>
        <v>0</v>
      </c>
      <c r="O941" s="12">
        <f>IF(TOTALCO!O60="", "",TOTALCO!O60)</f>
        <v>0</v>
      </c>
      <c r="P941" s="12">
        <f>IF(TOTALCO!P60="", "",TOTALCO!P60)</f>
        <v>0</v>
      </c>
      <c r="Q941" s="12"/>
      <c r="R941" s="13"/>
    </row>
    <row r="942" spans="1:18" ht="15" x14ac:dyDescent="0.2">
      <c r="A942" s="382">
        <f>IF(TOTALCO!A61="", "",TOTALCO!A61)</f>
        <v>31</v>
      </c>
      <c r="B942" s="4" t="str">
        <f>IF(TOTALCO!B61="", "",TOTALCO!B61)</f>
        <v>DIRECT ASSIGN 362-TN</v>
      </c>
      <c r="C942" s="4" t="str">
        <f>IF(TOTALCO!C61="", "",TOTALCO!C61)</f>
        <v>DEM362T</v>
      </c>
      <c r="D942" s="12">
        <f>IF(TOTALCO!D61="", "",TOTALCO!D61)</f>
        <v>56019.76</v>
      </c>
      <c r="E942" s="12" t="str">
        <f>IF(TOTALCO!E61="", "",TOTALCO!E61)</f>
        <v/>
      </c>
      <c r="F942" s="12">
        <f>IF(TOTALCO!F61="", "",TOTALCO!F61)</f>
        <v>0</v>
      </c>
      <c r="G942" s="12" t="str">
        <f>IF(TOTALCO!G61="", "",TOTALCO!G61)</f>
        <v/>
      </c>
      <c r="H942" s="12">
        <f>IF(TOTALCO!H61="", "",TOTALCO!H61)</f>
        <v>0</v>
      </c>
      <c r="I942" s="12">
        <f>IF(TOTALCO!I61="", "",TOTALCO!I61)</f>
        <v>56019.76</v>
      </c>
      <c r="J942" s="12" t="str">
        <f>IF(TOTALCO!J61="", "",TOTALCO!J61)</f>
        <v/>
      </c>
      <c r="K942" s="12" t="str">
        <f>IF(TOTALCO!K61="", "",TOTALCO!K61)</f>
        <v/>
      </c>
      <c r="L942" s="12">
        <f>IF(TOTALCO!L61="", "",TOTALCO!L61)</f>
        <v>56019.76</v>
      </c>
      <c r="M942" s="12" t="str">
        <f>IF(TOTALCO!M61="", "",TOTALCO!M61)</f>
        <v/>
      </c>
      <c r="N942" s="12">
        <f>IF(TOTALCO!N61="", "",TOTALCO!N61)</f>
        <v>0</v>
      </c>
      <c r="O942" s="12">
        <f>IF(TOTALCO!O61="", "",TOTALCO!O61)</f>
        <v>0</v>
      </c>
      <c r="P942" s="12">
        <f>IF(TOTALCO!P61="", "",TOTALCO!P61)</f>
        <v>0</v>
      </c>
      <c r="Q942" s="12"/>
      <c r="R942" s="13"/>
    </row>
    <row r="943" spans="1:18" ht="15" x14ac:dyDescent="0.2">
      <c r="A943" s="382">
        <f>IF(TOTALCO!A62="", "",TOTALCO!A62)</f>
        <v>32</v>
      </c>
      <c r="B943" s="4" t="str">
        <f>IF(TOTALCO!B62="", "",TOTALCO!B62)</f>
        <v>DIRECT ASSIGN 364-TN</v>
      </c>
      <c r="C943" s="4" t="str">
        <f>IF(TOTALCO!C62="", "",TOTALCO!C62)</f>
        <v>DEM364T</v>
      </c>
      <c r="D943" s="12">
        <f>IF(TOTALCO!D62="", "",TOTALCO!D62)</f>
        <v>48114.2</v>
      </c>
      <c r="E943" s="12" t="str">
        <f>IF(TOTALCO!E62="", "",TOTALCO!E62)</f>
        <v/>
      </c>
      <c r="F943" s="12">
        <f>IF(TOTALCO!F62="", "",TOTALCO!F62)</f>
        <v>0</v>
      </c>
      <c r="G943" s="12" t="str">
        <f>IF(TOTALCO!G62="", "",TOTALCO!G62)</f>
        <v/>
      </c>
      <c r="H943" s="12">
        <f>IF(TOTALCO!H62="", "",TOTALCO!H62)</f>
        <v>0</v>
      </c>
      <c r="I943" s="12">
        <f>IF(TOTALCO!I62="", "",TOTALCO!I62)</f>
        <v>48114.2</v>
      </c>
      <c r="J943" s="12" t="str">
        <f>IF(TOTALCO!J62="", "",TOTALCO!J62)</f>
        <v/>
      </c>
      <c r="K943" s="12" t="str">
        <f>IF(TOTALCO!K62="", "",TOTALCO!K62)</f>
        <v/>
      </c>
      <c r="L943" s="12">
        <f>IF(TOTALCO!L62="", "",TOTALCO!L62)</f>
        <v>48114.2</v>
      </c>
      <c r="M943" s="12" t="str">
        <f>IF(TOTALCO!M62="", "",TOTALCO!M62)</f>
        <v/>
      </c>
      <c r="N943" s="12">
        <f>IF(TOTALCO!N62="", "",TOTALCO!N62)</f>
        <v>0</v>
      </c>
      <c r="O943" s="12">
        <f>IF(TOTALCO!O62="", "",TOTALCO!O62)</f>
        <v>0</v>
      </c>
      <c r="P943" s="12">
        <f>IF(TOTALCO!P62="", "",TOTALCO!P62)</f>
        <v>0</v>
      </c>
      <c r="Q943" s="12"/>
      <c r="R943" s="13"/>
    </row>
    <row r="944" spans="1:18" ht="15" x14ac:dyDescent="0.2">
      <c r="A944" s="382">
        <f>IF(TOTALCO!A63="", "",TOTALCO!A63)</f>
        <v>33</v>
      </c>
      <c r="B944" s="4" t="str">
        <f>IF(TOTALCO!B63="", "",TOTALCO!B63)</f>
        <v>DIRECT ASSIGN 365-TN</v>
      </c>
      <c r="C944" s="4" t="str">
        <f>IF(TOTALCO!C63="", "",TOTALCO!C63)</f>
        <v>DEM365T</v>
      </c>
      <c r="D944" s="12">
        <f>IF(TOTALCO!D63="", "",TOTALCO!D63)</f>
        <v>46763.22</v>
      </c>
      <c r="E944" s="12" t="str">
        <f>IF(TOTALCO!E63="", "",TOTALCO!E63)</f>
        <v/>
      </c>
      <c r="F944" s="12">
        <f>IF(TOTALCO!F63="", "",TOTALCO!F63)</f>
        <v>0</v>
      </c>
      <c r="G944" s="12" t="str">
        <f>IF(TOTALCO!G63="", "",TOTALCO!G63)</f>
        <v/>
      </c>
      <c r="H944" s="12">
        <f>IF(TOTALCO!H63="", "",TOTALCO!H63)</f>
        <v>0</v>
      </c>
      <c r="I944" s="12">
        <f>IF(TOTALCO!I63="", "",TOTALCO!I63)</f>
        <v>46763.22</v>
      </c>
      <c r="J944" s="12" t="str">
        <f>IF(TOTALCO!J63="", "",TOTALCO!J63)</f>
        <v/>
      </c>
      <c r="K944" s="12" t="str">
        <f>IF(TOTALCO!K63="", "",TOTALCO!K63)</f>
        <v/>
      </c>
      <c r="L944" s="12">
        <f>IF(TOTALCO!L63="", "",TOTALCO!L63)</f>
        <v>46763.22</v>
      </c>
      <c r="M944" s="12" t="str">
        <f>IF(TOTALCO!M63="", "",TOTALCO!M63)</f>
        <v/>
      </c>
      <c r="N944" s="12">
        <f>IF(TOTALCO!N63="", "",TOTALCO!N63)</f>
        <v>0</v>
      </c>
      <c r="O944" s="12">
        <f>IF(TOTALCO!O63="", "",TOTALCO!O63)</f>
        <v>0</v>
      </c>
      <c r="P944" s="12">
        <f>IF(TOTALCO!P63="", "",TOTALCO!P63)</f>
        <v>0</v>
      </c>
      <c r="Q944" s="12"/>
      <c r="R944" s="13"/>
    </row>
    <row r="945" spans="1:18" ht="15" x14ac:dyDescent="0.2">
      <c r="A945" s="382">
        <f>IF(TOTALCO!A64="", "",TOTALCO!A64)</f>
        <v>34</v>
      </c>
      <c r="B945" s="4" t="str">
        <f>IF(TOTALCO!B64="", "",TOTALCO!B64)</f>
        <v>DIRECT ASSIGN 368-TN</v>
      </c>
      <c r="C945" s="4" t="str">
        <f>IF(TOTALCO!C64="", "",TOTALCO!C64)</f>
        <v>DEM368T</v>
      </c>
      <c r="D945" s="12">
        <f>IF(TOTALCO!D64="", "",TOTALCO!D64)</f>
        <v>3118.28</v>
      </c>
      <c r="E945" s="12" t="str">
        <f>IF(TOTALCO!E64="", "",TOTALCO!E64)</f>
        <v/>
      </c>
      <c r="F945" s="12">
        <f>IF(TOTALCO!F64="", "",TOTALCO!F64)</f>
        <v>0</v>
      </c>
      <c r="G945" s="12" t="str">
        <f>IF(TOTALCO!G64="", "",TOTALCO!G64)</f>
        <v/>
      </c>
      <c r="H945" s="12">
        <f>IF(TOTALCO!H64="", "",TOTALCO!H64)</f>
        <v>0</v>
      </c>
      <c r="I945" s="12">
        <f>IF(TOTALCO!I64="", "",TOTALCO!I64)</f>
        <v>3118.28</v>
      </c>
      <c r="J945" s="12" t="str">
        <f>IF(TOTALCO!J64="", "",TOTALCO!J64)</f>
        <v/>
      </c>
      <c r="K945" s="12" t="str">
        <f>IF(TOTALCO!K64="", "",TOTALCO!K64)</f>
        <v/>
      </c>
      <c r="L945" s="12">
        <f>IF(TOTALCO!L64="", "",TOTALCO!L64)</f>
        <v>3118.28</v>
      </c>
      <c r="M945" s="12" t="str">
        <f>IF(TOTALCO!M64="", "",TOTALCO!M64)</f>
        <v/>
      </c>
      <c r="N945" s="12">
        <f>IF(TOTALCO!N64="", "",TOTALCO!N64)</f>
        <v>0</v>
      </c>
      <c r="O945" s="12">
        <f>IF(TOTALCO!O64="", "",TOTALCO!O64)</f>
        <v>0</v>
      </c>
      <c r="P945" s="12">
        <f>IF(TOTALCO!P64="", "",TOTALCO!P64)</f>
        <v>0</v>
      </c>
      <c r="Q945" s="12"/>
      <c r="R945" s="13"/>
    </row>
    <row r="946" spans="1:18" ht="15" x14ac:dyDescent="0.2">
      <c r="A946" s="382">
        <f>IF(TOTALCO!A65="", "",TOTALCO!A65)</f>
        <v>35</v>
      </c>
      <c r="B946" s="4" t="str">
        <f>IF(TOTALCO!B65="", "",TOTALCO!B65)</f>
        <v>DIRECT ASSIGN 369-TN</v>
      </c>
      <c r="C946" s="4" t="str">
        <f>IF(TOTALCO!C65="", "",TOTALCO!C65)</f>
        <v>CUST369T</v>
      </c>
      <c r="D946" s="12">
        <f>IF(TOTALCO!D65="", "",TOTALCO!D65)</f>
        <v>254.62</v>
      </c>
      <c r="E946" s="12" t="str">
        <f>IF(TOTALCO!E65="", "",TOTALCO!E65)</f>
        <v/>
      </c>
      <c r="F946" s="12">
        <f>IF(TOTALCO!F65="", "",TOTALCO!F65)</f>
        <v>0</v>
      </c>
      <c r="G946" s="12" t="str">
        <f>IF(TOTALCO!G65="", "",TOTALCO!G65)</f>
        <v/>
      </c>
      <c r="H946" s="12">
        <f>IF(TOTALCO!H65="", "",TOTALCO!H65)</f>
        <v>0</v>
      </c>
      <c r="I946" s="12">
        <f>IF(TOTALCO!I65="", "",TOTALCO!I65)</f>
        <v>254.62</v>
      </c>
      <c r="J946" s="12" t="str">
        <f>IF(TOTALCO!J65="", "",TOTALCO!J65)</f>
        <v/>
      </c>
      <c r="K946" s="12" t="str">
        <f>IF(TOTALCO!K65="", "",TOTALCO!K65)</f>
        <v/>
      </c>
      <c r="L946" s="12">
        <f>IF(TOTALCO!L65="", "",TOTALCO!L65)</f>
        <v>254.62</v>
      </c>
      <c r="M946" s="12" t="str">
        <f>IF(TOTALCO!M65="", "",TOTALCO!M65)</f>
        <v/>
      </c>
      <c r="N946" s="12">
        <f>IF(TOTALCO!N65="", "",TOTALCO!N65)</f>
        <v>0</v>
      </c>
      <c r="O946" s="12">
        <f>IF(TOTALCO!O65="", "",TOTALCO!O65)</f>
        <v>0</v>
      </c>
      <c r="P946" s="12">
        <f>IF(TOTALCO!P65="", "",TOTALCO!P65)</f>
        <v>0</v>
      </c>
      <c r="Q946" s="12"/>
      <c r="R946" s="13"/>
    </row>
    <row r="947" spans="1:18" ht="15" x14ac:dyDescent="0.2">
      <c r="A947" s="382">
        <f>IF(TOTALCO!A66="", "",TOTALCO!A66)</f>
        <v>36</v>
      </c>
      <c r="B947" s="4" t="str">
        <f>IF(TOTALCO!B66="", "",TOTALCO!B66)</f>
        <v>DIRECT ASSIGN 370-TN</v>
      </c>
      <c r="C947" s="4" t="str">
        <f>IF(TOTALCO!C66="", "",TOTALCO!C66)</f>
        <v>CUST370T</v>
      </c>
      <c r="D947" s="12">
        <f>IF(TOTALCO!D66="", "",TOTALCO!D66)</f>
        <v>111.07999999999993</v>
      </c>
      <c r="E947" s="12" t="str">
        <f>IF(TOTALCO!E66="", "",TOTALCO!E66)</f>
        <v/>
      </c>
      <c r="F947" s="12">
        <f>IF(TOTALCO!F66="", "",TOTALCO!F66)</f>
        <v>0</v>
      </c>
      <c r="G947" s="12" t="str">
        <f>IF(TOTALCO!G66="", "",TOTALCO!G66)</f>
        <v/>
      </c>
      <c r="H947" s="12">
        <f>IF(TOTALCO!H66="", "",TOTALCO!H66)</f>
        <v>0</v>
      </c>
      <c r="I947" s="12">
        <f>IF(TOTALCO!I66="", "",TOTALCO!I66)</f>
        <v>111.07999999999993</v>
      </c>
      <c r="J947" s="12" t="str">
        <f>IF(TOTALCO!J66="", "",TOTALCO!J66)</f>
        <v/>
      </c>
      <c r="K947" s="12" t="str">
        <f>IF(TOTALCO!K66="", "",TOTALCO!K66)</f>
        <v/>
      </c>
      <c r="L947" s="12">
        <f>IF(TOTALCO!L66="", "",TOTALCO!L66)</f>
        <v>111.07999999999993</v>
      </c>
      <c r="M947" s="12" t="str">
        <f>IF(TOTALCO!M66="", "",TOTALCO!M66)</f>
        <v/>
      </c>
      <c r="N947" s="12">
        <f>IF(TOTALCO!N66="", "",TOTALCO!N66)</f>
        <v>0</v>
      </c>
      <c r="O947" s="12">
        <f>IF(TOTALCO!O66="", "",TOTALCO!O66)</f>
        <v>0</v>
      </c>
      <c r="P947" s="12">
        <f>IF(TOTALCO!P66="", "",TOTALCO!P66)</f>
        <v>0</v>
      </c>
      <c r="Q947" s="12"/>
      <c r="R947" s="13"/>
    </row>
    <row r="948" spans="1:18" ht="15" x14ac:dyDescent="0.2">
      <c r="A948" s="382">
        <f>IF(TOTALCO!A67="", "",TOTALCO!A67)</f>
        <v>37</v>
      </c>
      <c r="B948" s="4" t="str">
        <f>IF(TOTALCO!B67="", "",TOTALCO!B67)</f>
        <v>DIRECT ASSIGN 371-TN</v>
      </c>
      <c r="C948" s="4" t="str">
        <f>IF(TOTALCO!C67="", "",TOTALCO!C67)</f>
        <v>CUST371T</v>
      </c>
      <c r="D948" s="12">
        <f>IF(TOTALCO!D67="", "",TOTALCO!D67)</f>
        <v>0</v>
      </c>
      <c r="E948" s="12" t="str">
        <f>IF(TOTALCO!E67="", "",TOTALCO!E67)</f>
        <v/>
      </c>
      <c r="F948" s="12">
        <f>IF(TOTALCO!F67="", "",TOTALCO!F67)</f>
        <v>0</v>
      </c>
      <c r="G948" s="12" t="str">
        <f>IF(TOTALCO!G67="", "",TOTALCO!G67)</f>
        <v/>
      </c>
      <c r="H948" s="12">
        <f>IF(TOTALCO!H67="", "",TOTALCO!H67)</f>
        <v>0</v>
      </c>
      <c r="I948" s="12">
        <f>IF(TOTALCO!I67="", "",TOTALCO!I67)</f>
        <v>0</v>
      </c>
      <c r="J948" s="12" t="str">
        <f>IF(TOTALCO!J67="", "",TOTALCO!J67)</f>
        <v/>
      </c>
      <c r="K948" s="12" t="str">
        <f>IF(TOTALCO!K67="", "",TOTALCO!K67)</f>
        <v/>
      </c>
      <c r="L948" s="12">
        <f>IF(TOTALCO!L67="", "",TOTALCO!L67)</f>
        <v>0</v>
      </c>
      <c r="M948" s="12" t="str">
        <f>IF(TOTALCO!M67="", "",TOTALCO!M67)</f>
        <v/>
      </c>
      <c r="N948" s="12">
        <f>IF(TOTALCO!N67="", "",TOTALCO!N67)</f>
        <v>0</v>
      </c>
      <c r="O948" s="12">
        <f>IF(TOTALCO!O67="", "",TOTALCO!O67)</f>
        <v>0</v>
      </c>
      <c r="P948" s="12">
        <f>IF(TOTALCO!P67="", "",TOTALCO!P67)</f>
        <v>0</v>
      </c>
      <c r="Q948" s="12"/>
      <c r="R948" s="13"/>
    </row>
    <row r="949" spans="1:18" ht="15" x14ac:dyDescent="0.2">
      <c r="A949" s="382">
        <f>IF(TOTALCO!A68="", "",TOTALCO!A68)</f>
        <v>38</v>
      </c>
      <c r="B949" s="4" t="str">
        <f>IF(TOTALCO!B68="", "",TOTALCO!B68)</f>
        <v xml:space="preserve">DIR ASSIGN ACC.DEPRC.DIST.VA&amp;TN </v>
      </c>
      <c r="C949" s="4" t="str">
        <f>IF(TOTALCO!C68="", "",TOTALCO!C68)</f>
        <v>DIRACDEP</v>
      </c>
      <c r="D949" s="12">
        <f>IF(TOTALCO!D68="", "",TOTALCO!D68)</f>
        <v>37401886.039999999</v>
      </c>
      <c r="E949" s="12" t="str">
        <f>IF(TOTALCO!E68="", "",TOTALCO!E68)</f>
        <v/>
      </c>
      <c r="F949" s="12">
        <f>IF(TOTALCO!F68="", "",TOTALCO!F68)</f>
        <v>0</v>
      </c>
      <c r="G949" s="12" t="str">
        <f>IF(TOTALCO!G68="", "",TOTALCO!G68)</f>
        <v/>
      </c>
      <c r="H949" s="12">
        <f>IF(TOTALCO!H68="", "",TOTALCO!H68)</f>
        <v>37260617.079999998</v>
      </c>
      <c r="I949" s="12">
        <f>IF(TOTALCO!I68="", "",TOTALCO!I68)</f>
        <v>141268.96</v>
      </c>
      <c r="J949" s="12" t="str">
        <f>IF(TOTALCO!J68="", "",TOTALCO!J68)</f>
        <v/>
      </c>
      <c r="K949" s="12" t="str">
        <f>IF(TOTALCO!K68="", "",TOTALCO!K68)</f>
        <v/>
      </c>
      <c r="L949" s="12">
        <f>IF(TOTALCO!L68="", "",TOTALCO!L68)</f>
        <v>141268.96</v>
      </c>
      <c r="M949" s="12" t="str">
        <f>IF(TOTALCO!M68="", "",TOTALCO!M68)</f>
        <v/>
      </c>
      <c r="N949" s="12">
        <f>IF(TOTALCO!N68="", "",TOTALCO!N68)</f>
        <v>0</v>
      </c>
      <c r="O949" s="12">
        <f>IF(TOTALCO!O68="", "",TOTALCO!O68)</f>
        <v>0</v>
      </c>
      <c r="P949" s="12">
        <f>IF(TOTALCO!P68="", "",TOTALCO!P68)</f>
        <v>0</v>
      </c>
      <c r="Q949" s="12"/>
    </row>
    <row r="950" spans="1:18" ht="15" x14ac:dyDescent="0.2">
      <c r="A950" s="382">
        <f>IF(TOTALCO!A69="", "",TOTALCO!A69)</f>
        <v>39</v>
      </c>
      <c r="B950" s="4" t="str">
        <f>IF(TOTALCO!B69="", "",TOTALCO!B69)</f>
        <v>DIR ASSIGN CWIP DIST VA &amp; TN</v>
      </c>
      <c r="C950" s="4" t="str">
        <f>IF(TOTALCO!C69="", "",TOTALCO!C69)</f>
        <v>DIRCWIP</v>
      </c>
      <c r="D950" s="12">
        <f>IF(TOTALCO!D69="", "",TOTALCO!D69)</f>
        <v>1166386.3899999994</v>
      </c>
      <c r="E950" s="12" t="str">
        <f>IF(TOTALCO!E69="", "",TOTALCO!E69)</f>
        <v/>
      </c>
      <c r="F950" s="12">
        <f>IF(TOTALCO!F69="", "",TOTALCO!F69)</f>
        <v>0</v>
      </c>
      <c r="G950" s="12" t="str">
        <f>IF(TOTALCO!G69="", "",TOTALCO!G69)</f>
        <v/>
      </c>
      <c r="H950" s="12">
        <f>IF(TOTALCO!H69="", "",TOTALCO!H69)</f>
        <v>1166386.3899999994</v>
      </c>
      <c r="I950" s="12">
        <f>IF(TOTALCO!I69="", "",TOTALCO!I69)</f>
        <v>0</v>
      </c>
      <c r="J950" s="12" t="str">
        <f>IF(TOTALCO!J69="", "",TOTALCO!J69)</f>
        <v/>
      </c>
      <c r="K950" s="12" t="str">
        <f>IF(TOTALCO!K69="", "",TOTALCO!K69)</f>
        <v/>
      </c>
      <c r="L950" s="12">
        <f>IF(TOTALCO!L69="", "",TOTALCO!L69)</f>
        <v>0</v>
      </c>
      <c r="M950" s="12" t="str">
        <f>IF(TOTALCO!M69="", "",TOTALCO!M69)</f>
        <v/>
      </c>
      <c r="N950" s="12">
        <f>IF(TOTALCO!N69="", "",TOTALCO!N69)</f>
        <v>0</v>
      </c>
      <c r="O950" s="12">
        <f>IF(TOTALCO!O69="", "",TOTALCO!O69)</f>
        <v>0</v>
      </c>
      <c r="P950" s="12">
        <f>IF(TOTALCO!P69="", "",TOTALCO!P69)</f>
        <v>0</v>
      </c>
      <c r="Q950" s="12"/>
    </row>
    <row r="951" spans="1:18" ht="15" x14ac:dyDescent="0.2">
      <c r="A951" s="382">
        <f>IF(TOTALCO!A70="", "",TOTALCO!A70)</f>
        <v>40</v>
      </c>
      <c r="B951" s="4" t="str">
        <f>IF(TOTALCO!B70="", "",TOTALCO!B70)</f>
        <v>DIR ASSIGN ACC.DFDTX.DIST.VA&amp;TN</v>
      </c>
      <c r="C951" s="4" t="str">
        <f>IF(TOTALCO!C70="", "",TOTALCO!C70)</f>
        <v>DIRACDFTX</v>
      </c>
      <c r="D951" s="12">
        <f>IF(TOTALCO!D70="", "",TOTALCO!D70)</f>
        <v>5364985</v>
      </c>
      <c r="E951" s="12" t="str">
        <f>IF(TOTALCO!E70="", "",TOTALCO!E70)</f>
        <v/>
      </c>
      <c r="F951" s="12">
        <f>IF(TOTALCO!F70="", "",TOTALCO!F70)</f>
        <v>0</v>
      </c>
      <c r="G951" s="12" t="str">
        <f>IF(TOTALCO!G70="", "",TOTALCO!G70)</f>
        <v/>
      </c>
      <c r="H951" s="12">
        <f>IF(TOTALCO!H70="", "",TOTALCO!H70)</f>
        <v>5364985</v>
      </c>
      <c r="I951" s="12">
        <f>IF(TOTALCO!I70="", "",TOTALCO!I70)</f>
        <v>0</v>
      </c>
      <c r="J951" s="12" t="str">
        <f>IF(TOTALCO!J70="", "",TOTALCO!J70)</f>
        <v/>
      </c>
      <c r="K951" s="12" t="str">
        <f>IF(TOTALCO!K70="", "",TOTALCO!K70)</f>
        <v/>
      </c>
      <c r="L951" s="12">
        <f>IF(TOTALCO!L70="", "",TOTALCO!L70)</f>
        <v>0</v>
      </c>
      <c r="M951" s="12" t="str">
        <f>IF(TOTALCO!M70="", "",TOTALCO!M70)</f>
        <v/>
      </c>
      <c r="N951" s="12">
        <f>IF(TOTALCO!N70="", "",TOTALCO!N70)</f>
        <v>0</v>
      </c>
      <c r="O951" s="12">
        <f>IF(TOTALCO!O70="", "",TOTALCO!O70)</f>
        <v>0</v>
      </c>
      <c r="P951" s="12">
        <f>IF(TOTALCO!P70="", "",TOTALCO!P70)</f>
        <v>0</v>
      </c>
      <c r="Q951" s="12"/>
    </row>
    <row r="952" spans="1:18" ht="15" x14ac:dyDescent="0.2">
      <c r="A952" s="382">
        <f>IF(TOTALCO!A71="", "",TOTALCO!A71)</f>
        <v>41</v>
      </c>
      <c r="B952" s="4" t="str">
        <f>IF(TOTALCO!B71="", "",TOTALCO!B71)</f>
        <v>DIR ASSIGN ACC.ITC.DIST.VA &amp; TN</v>
      </c>
      <c r="C952" s="4" t="str">
        <f>IF(TOTALCO!C71="", "",TOTALCO!C71)</f>
        <v>DIRACITC</v>
      </c>
      <c r="D952" s="12">
        <f>IF(TOTALCO!D71="", "",TOTALCO!D71)</f>
        <v>0</v>
      </c>
      <c r="E952" s="12" t="str">
        <f>IF(TOTALCO!E71="", "",TOTALCO!E71)</f>
        <v/>
      </c>
      <c r="F952" s="12">
        <f>IF(TOTALCO!F71="", "",TOTALCO!F71)</f>
        <v>0</v>
      </c>
      <c r="G952" s="12" t="str">
        <f>IF(TOTALCO!G71="", "",TOTALCO!G71)</f>
        <v/>
      </c>
      <c r="H952" s="12">
        <f>IF(TOTALCO!H71="", "",TOTALCO!H71)</f>
        <v>0</v>
      </c>
      <c r="I952" s="12">
        <f>IF(TOTALCO!I71="", "",TOTALCO!I71)</f>
        <v>0</v>
      </c>
      <c r="J952" s="12" t="str">
        <f>IF(TOTALCO!J71="", "",TOTALCO!J71)</f>
        <v/>
      </c>
      <c r="K952" s="12" t="str">
        <f>IF(TOTALCO!K71="", "",TOTALCO!K71)</f>
        <v/>
      </c>
      <c r="L952" s="12">
        <f>IF(TOTALCO!L71="", "",TOTALCO!L71)</f>
        <v>0</v>
      </c>
      <c r="M952" s="12" t="str">
        <f>IF(TOTALCO!M71="", "",TOTALCO!M71)</f>
        <v/>
      </c>
      <c r="N952" s="12">
        <f>IF(TOTALCO!N71="", "",TOTALCO!N71)</f>
        <v>0</v>
      </c>
      <c r="O952" s="12">
        <f>IF(TOTALCO!O71="", "",TOTALCO!O71)</f>
        <v>0</v>
      </c>
      <c r="P952" s="12">
        <f>IF(TOTALCO!P71="", "",TOTALCO!P71)</f>
        <v>0</v>
      </c>
      <c r="Q952" s="12"/>
    </row>
    <row r="953" spans="1:18" ht="15" x14ac:dyDescent="0.2">
      <c r="A953" s="382">
        <f>IF(TOTALCO!A72="", "",TOTALCO!A72)</f>
        <v>42</v>
      </c>
      <c r="B953" s="4" t="str">
        <f>IF(TOTALCO!B72="", "",TOTALCO!B72)</f>
        <v>DIR ASSIGN RENT REVENUE</v>
      </c>
      <c r="C953" s="4" t="str">
        <f>IF(TOTALCO!C72="", "",TOTALCO!C72)</f>
        <v>DIR454REV</v>
      </c>
      <c r="D953" s="12">
        <f>IF(TOTALCO!D72="", "",TOTALCO!D72)</f>
        <v>2338708.0299999998</v>
      </c>
      <c r="E953" s="12" t="str">
        <f>IF(TOTALCO!E72="", "",TOTALCO!E72)</f>
        <v/>
      </c>
      <c r="F953" s="12">
        <f>IF(TOTALCO!F72="", "",TOTALCO!F72)</f>
        <v>2153990.46</v>
      </c>
      <c r="G953" s="12" t="str">
        <f>IF(TOTALCO!G72="", "",TOTALCO!G72)</f>
        <v/>
      </c>
      <c r="H953" s="12">
        <f>IF(TOTALCO!H72="", "",TOTALCO!H72)</f>
        <v>184358.57</v>
      </c>
      <c r="I953" s="12">
        <f>IF(TOTALCO!I72="", "",TOTALCO!I72)</f>
        <v>359</v>
      </c>
      <c r="J953" s="12" t="str">
        <f>IF(TOTALCO!J72="", "",TOTALCO!J72)</f>
        <v/>
      </c>
      <c r="K953" s="12" t="str">
        <f>IF(TOTALCO!K72="", "",TOTALCO!K72)</f>
        <v/>
      </c>
      <c r="L953" s="12">
        <f>IF(TOTALCO!L72="", "",TOTALCO!L72)</f>
        <v>359</v>
      </c>
      <c r="M953" s="12" t="str">
        <f>IF(TOTALCO!M72="", "",TOTALCO!M72)</f>
        <v/>
      </c>
      <c r="N953" s="12">
        <f>IF(TOTALCO!N72="", "",TOTALCO!N72)</f>
        <v>0</v>
      </c>
      <c r="O953" s="12">
        <f>IF(TOTALCO!O72="", "",TOTALCO!O72)</f>
        <v>0</v>
      </c>
      <c r="P953" s="12">
        <f>IF(TOTALCO!P72="", "",TOTALCO!P72)</f>
        <v>0</v>
      </c>
      <c r="Q953" s="12"/>
    </row>
    <row r="954" spans="1:18" ht="15" x14ac:dyDescent="0.2">
      <c r="A954" s="382">
        <f>IF(TOTALCO!A73="", "",TOTALCO!A73)</f>
        <v>43</v>
      </c>
      <c r="B954" s="4" t="str">
        <f>IF(TOTALCO!B73="", "",TOTALCO!B73)</f>
        <v>DIR ASSIGN EXCESS FACILITIES REV.</v>
      </c>
      <c r="C954" s="4" t="str">
        <f>IF(TOTALCO!C73="", "",TOTALCO!C73)</f>
        <v>DIR456FAC</v>
      </c>
      <c r="D954" s="12">
        <f>IF(TOTALCO!D73="", "",TOTALCO!D73)</f>
        <v>15192.37</v>
      </c>
      <c r="E954" s="12" t="str">
        <f>IF(TOTALCO!E73="", "",TOTALCO!E73)</f>
        <v/>
      </c>
      <c r="F954" s="12">
        <f>IF(TOTALCO!F73="", "",TOTALCO!F73)</f>
        <v>14276.87</v>
      </c>
      <c r="G954" s="12" t="str">
        <f>IF(TOTALCO!G73="", "",TOTALCO!G73)</f>
        <v/>
      </c>
      <c r="H954" s="12">
        <f>IF(TOTALCO!H73="", "",TOTALCO!H73)</f>
        <v>915.5</v>
      </c>
      <c r="I954" s="12">
        <f>IF(TOTALCO!I73="", "",TOTALCO!I73)</f>
        <v>0</v>
      </c>
      <c r="J954" s="12" t="str">
        <f>IF(TOTALCO!J73="", "",TOTALCO!J73)</f>
        <v/>
      </c>
      <c r="K954" s="12" t="str">
        <f>IF(TOTALCO!K73="", "",TOTALCO!K73)</f>
        <v/>
      </c>
      <c r="L954" s="12">
        <f>IF(TOTALCO!L73="", "",TOTALCO!L73)</f>
        <v>0</v>
      </c>
      <c r="M954" s="12" t="str">
        <f>IF(TOTALCO!M73="", "",TOTALCO!M73)</f>
        <v/>
      </c>
      <c r="N954" s="12">
        <f>IF(TOTALCO!N73="", "",TOTALCO!N73)</f>
        <v>0</v>
      </c>
      <c r="O954" s="12">
        <f>IF(TOTALCO!O73="", "",TOTALCO!O73)</f>
        <v>0</v>
      </c>
      <c r="P954" s="12">
        <f>IF(TOTALCO!P73="", "",TOTALCO!P73)</f>
        <v>0</v>
      </c>
      <c r="Q954" s="12"/>
    </row>
    <row r="955" spans="1:18" ht="15" x14ac:dyDescent="0.2">
      <c r="A955" s="382">
        <f>IF(TOTALCO!A74="", "",TOTALCO!A74)</f>
        <v>44</v>
      </c>
      <c r="B955" s="4" t="str">
        <f>IF(TOTALCO!B74="", "",TOTALCO!B74)</f>
        <v>DIR ASSIGN OTHER MISC REV.</v>
      </c>
      <c r="C955" s="4" t="str">
        <f>IF(TOTALCO!C74="", "",TOTALCO!C74)</f>
        <v>DIR456OTH</v>
      </c>
      <c r="D955" s="12">
        <f>IF(TOTALCO!D74="", "",TOTALCO!D74)</f>
        <v>22525.48</v>
      </c>
      <c r="E955" s="12" t="str">
        <f>IF(TOTALCO!E74="", "",TOTALCO!E74)</f>
        <v/>
      </c>
      <c r="F955" s="12">
        <f>IF(TOTALCO!F74="", "",TOTALCO!F74)</f>
        <v>22525.48</v>
      </c>
      <c r="G955" s="12" t="str">
        <f>IF(TOTALCO!G74="", "",TOTALCO!G74)</f>
        <v/>
      </c>
      <c r="H955" s="12">
        <f>IF(TOTALCO!H74="", "",TOTALCO!H74)</f>
        <v>0</v>
      </c>
      <c r="I955" s="12">
        <f>IF(TOTALCO!I74="", "",TOTALCO!I74)</f>
        <v>0</v>
      </c>
      <c r="J955" s="12" t="str">
        <f>IF(TOTALCO!J74="", "",TOTALCO!J74)</f>
        <v/>
      </c>
      <c r="K955" s="12" t="str">
        <f>IF(TOTALCO!K74="", "",TOTALCO!K74)</f>
        <v/>
      </c>
      <c r="L955" s="12">
        <f>IF(TOTALCO!L74="", "",TOTALCO!L74)</f>
        <v>0</v>
      </c>
      <c r="M955" s="12" t="str">
        <f>IF(TOTALCO!M74="", "",TOTALCO!M74)</f>
        <v/>
      </c>
      <c r="N955" s="12">
        <f>IF(TOTALCO!N74="", "",TOTALCO!N74)</f>
        <v>0</v>
      </c>
      <c r="O955" s="12">
        <f>IF(TOTALCO!O74="", "",TOTALCO!O74)</f>
        <v>0</v>
      </c>
      <c r="P955" s="12">
        <f>IF(TOTALCO!P74="", "",TOTALCO!P74)</f>
        <v>0</v>
      </c>
      <c r="Q955" s="12"/>
    </row>
    <row r="956" spans="1:18" ht="15" x14ac:dyDescent="0.2">
      <c r="A956" s="382">
        <f>IF(TOTALCO!A75="", "",TOTALCO!A75)</f>
        <v>45</v>
      </c>
      <c r="B956" s="4" t="str">
        <f>IF(TOTALCO!B75="", "",TOTALCO!B75)</f>
        <v>DIR ASSIGN RECONNECT REV</v>
      </c>
      <c r="C956" s="4" t="str">
        <f>IF(TOTALCO!C75="", "",TOTALCO!C75)</f>
        <v>DIR451REC</v>
      </c>
      <c r="D956" s="12">
        <f>IF(TOTALCO!D75="", "",TOTALCO!D75)</f>
        <v>1791597.25</v>
      </c>
      <c r="E956" s="12" t="str">
        <f>IF(TOTALCO!E75="", "",TOTALCO!E75)</f>
        <v/>
      </c>
      <c r="F956" s="12">
        <f>IF(TOTALCO!F75="", "",TOTALCO!F75)</f>
        <v>1659612.5</v>
      </c>
      <c r="G956" s="12" t="str">
        <f>IF(TOTALCO!G75="", "",TOTALCO!G75)</f>
        <v/>
      </c>
      <c r="H956" s="12">
        <f>IF(TOTALCO!H75="", "",TOTALCO!H75)</f>
        <v>131984.75</v>
      </c>
      <c r="I956" s="12">
        <f>IF(TOTALCO!I75="", "",TOTALCO!I75)</f>
        <v>0</v>
      </c>
      <c r="J956" s="12" t="str">
        <f>IF(TOTALCO!J75="", "",TOTALCO!J75)</f>
        <v/>
      </c>
      <c r="K956" s="12" t="str">
        <f>IF(TOTALCO!K75="", "",TOTALCO!K75)</f>
        <v/>
      </c>
      <c r="L956" s="12">
        <f>IF(TOTALCO!L75="", "",TOTALCO!L75)</f>
        <v>0</v>
      </c>
      <c r="M956" s="12" t="str">
        <f>IF(TOTALCO!M75="", "",TOTALCO!M75)</f>
        <v/>
      </c>
      <c r="N956" s="12">
        <f>IF(TOTALCO!N75="", "",TOTALCO!N75)</f>
        <v>0</v>
      </c>
      <c r="O956" s="12">
        <f>IF(TOTALCO!O75="", "",TOTALCO!O75)</f>
        <v>0</v>
      </c>
      <c r="P956" s="12">
        <f>IF(TOTALCO!P75="", "",TOTALCO!P75)</f>
        <v>0</v>
      </c>
      <c r="Q956" s="12"/>
    </row>
    <row r="957" spans="1:18" ht="15" x14ac:dyDescent="0.2">
      <c r="A957" s="382">
        <f>IF(TOTALCO!A76="", "",TOTALCO!A76)</f>
        <v>46</v>
      </c>
      <c r="B957" s="4" t="str">
        <f>IF(TOTALCO!B76="", "",TOTALCO!B76)</f>
        <v>DIR ASSIGN OTHER SERVICE REV</v>
      </c>
      <c r="C957" s="4" t="str">
        <f>IF(TOTALCO!C76="", "",TOTALCO!C76)</f>
        <v>DIR451OTH</v>
      </c>
      <c r="D957" s="12">
        <f>IF(TOTALCO!D76="", "",TOTALCO!D76)</f>
        <v>559379.78999999992</v>
      </c>
      <c r="E957" s="12" t="str">
        <f>IF(TOTALCO!E76="", "",TOTALCO!E76)</f>
        <v/>
      </c>
      <c r="F957" s="12">
        <f>IF(TOTALCO!F76="", "",TOTALCO!F76)</f>
        <v>547024.47</v>
      </c>
      <c r="G957" s="12" t="str">
        <f>IF(TOTALCO!G76="", "",TOTALCO!G76)</f>
        <v/>
      </c>
      <c r="H957" s="12">
        <f>IF(TOTALCO!H76="", "",TOTALCO!H76)</f>
        <v>12355.32</v>
      </c>
      <c r="I957" s="12">
        <f>IF(TOTALCO!I76="", "",TOTALCO!I76)</f>
        <v>0</v>
      </c>
      <c r="J957" s="12" t="str">
        <f>IF(TOTALCO!J76="", "",TOTALCO!J76)</f>
        <v/>
      </c>
      <c r="K957" s="12" t="str">
        <f>IF(TOTALCO!K76="", "",TOTALCO!K76)</f>
        <v/>
      </c>
      <c r="L957" s="12">
        <f>IF(TOTALCO!L76="", "",TOTALCO!L76)</f>
        <v>0</v>
      </c>
      <c r="M957" s="12" t="str">
        <f>IF(TOTALCO!M76="", "",TOTALCO!M76)</f>
        <v/>
      </c>
      <c r="N957" s="12">
        <f>IF(TOTALCO!N76="", "",TOTALCO!N76)</f>
        <v>0</v>
      </c>
      <c r="O957" s="12">
        <f>IF(TOTALCO!O76="", "",TOTALCO!O76)</f>
        <v>0</v>
      </c>
      <c r="P957" s="12">
        <f>IF(TOTALCO!P76="", "",TOTALCO!P76)</f>
        <v>0</v>
      </c>
      <c r="Q957" s="12"/>
    </row>
    <row r="958" spans="1:18" ht="15" x14ac:dyDescent="0.2">
      <c r="A958" s="382">
        <f>IF(TOTALCO!A77="", "",TOTALCO!A77)</f>
        <v>47</v>
      </c>
      <c r="B958" s="4" t="str">
        <f>IF(TOTALCO!B77="", "",TOTALCO!B77)</f>
        <v>DIR ASSIGN RETURN CHECK REV</v>
      </c>
      <c r="C958" s="4" t="str">
        <f>IF(TOTALCO!C77="", "",TOTALCO!C77)</f>
        <v>DIR456CHK</v>
      </c>
      <c r="D958" s="12">
        <f>IF(TOTALCO!D77="", "",TOTALCO!D77)</f>
        <v>139731.85</v>
      </c>
      <c r="E958" s="12" t="str">
        <f>IF(TOTALCO!E77="", "",TOTALCO!E77)</f>
        <v/>
      </c>
      <c r="F958" s="12">
        <f>IF(TOTALCO!F77="", "",TOTALCO!F77)</f>
        <v>130861.85</v>
      </c>
      <c r="G958" s="12" t="str">
        <f>IF(TOTALCO!G77="", "",TOTALCO!G77)</f>
        <v/>
      </c>
      <c r="H958" s="12">
        <f>IF(TOTALCO!H77="", "",TOTALCO!H77)</f>
        <v>8870</v>
      </c>
      <c r="I958" s="12">
        <f>IF(TOTALCO!I77="", "",TOTALCO!I77)</f>
        <v>0</v>
      </c>
      <c r="J958" s="12" t="str">
        <f>IF(TOTALCO!J77="", "",TOTALCO!J77)</f>
        <v/>
      </c>
      <c r="K958" s="12" t="str">
        <f>IF(TOTALCO!K77="", "",TOTALCO!K77)</f>
        <v/>
      </c>
      <c r="L958" s="12">
        <f>IF(TOTALCO!L77="", "",TOTALCO!L77)</f>
        <v>0</v>
      </c>
      <c r="M958" s="12" t="str">
        <f>IF(TOTALCO!M77="", "",TOTALCO!M77)</f>
        <v/>
      </c>
      <c r="N958" s="12">
        <f>IF(TOTALCO!N77="", "",TOTALCO!N77)</f>
        <v>0</v>
      </c>
      <c r="O958" s="12">
        <f>IF(TOTALCO!O77="", "",TOTALCO!O77)</f>
        <v>0</v>
      </c>
      <c r="P958" s="12">
        <f>IF(TOTALCO!P77="", "",TOTALCO!P77)</f>
        <v>0</v>
      </c>
      <c r="Q958" s="12"/>
    </row>
    <row r="959" spans="1:18" ht="15" x14ac:dyDescent="0.2">
      <c r="A959" s="382">
        <f>IF(TOTALCO!A78="", "",TOTALCO!A78)</f>
        <v>48</v>
      </c>
      <c r="B959" s="4" t="str">
        <f>IF(TOTALCO!B78="", "",TOTALCO!B78)</f>
        <v>DIR ASSIGN 203(E) EXCESS</v>
      </c>
      <c r="C959" s="4" t="str">
        <f>IF(TOTALCO!C78="", "",TOTALCO!C78)</f>
        <v>DIR203E</v>
      </c>
      <c r="D959" s="12">
        <f>IF(TOTALCO!D78="", "",TOTALCO!D78)</f>
        <v>21847</v>
      </c>
      <c r="E959" s="12" t="str">
        <f>IF(TOTALCO!E78="", "",TOTALCO!E78)</f>
        <v/>
      </c>
      <c r="F959" s="12">
        <f>IF(TOTALCO!F78="", "",TOTALCO!F78)</f>
        <v>0</v>
      </c>
      <c r="G959" s="12" t="str">
        <f>IF(TOTALCO!G78="", "",TOTALCO!G78)</f>
        <v/>
      </c>
      <c r="H959" s="12">
        <f>IF(TOTALCO!H78="", "",TOTALCO!H78)</f>
        <v>21847</v>
      </c>
      <c r="I959" s="12">
        <f>IF(TOTALCO!I78="", "",TOTALCO!I78)</f>
        <v>0</v>
      </c>
      <c r="J959" s="12" t="str">
        <f>IF(TOTALCO!J78="", "",TOTALCO!J78)</f>
        <v/>
      </c>
      <c r="K959" s="12" t="str">
        <f>IF(TOTALCO!K78="", "",TOTALCO!K78)</f>
        <v/>
      </c>
      <c r="L959" s="12">
        <f>IF(TOTALCO!L78="", "",TOTALCO!L78)</f>
        <v>0</v>
      </c>
      <c r="M959" s="12" t="str">
        <f>IF(TOTALCO!M78="", "",TOTALCO!M78)</f>
        <v/>
      </c>
      <c r="N959" s="12">
        <f>IF(TOTALCO!N78="", "",TOTALCO!N78)</f>
        <v>0</v>
      </c>
      <c r="O959" s="12">
        <f>IF(TOTALCO!O78="", "",TOTALCO!O78)</f>
        <v>0</v>
      </c>
      <c r="P959" s="12">
        <f>IF(TOTALCO!P78="", "",TOTALCO!P78)</f>
        <v>0</v>
      </c>
      <c r="Q959" s="12"/>
    </row>
    <row r="960" spans="1:18" ht="15" x14ac:dyDescent="0.2">
      <c r="A960" s="382">
        <f>IF(TOTALCO!A79="", "",TOTALCO!A79)</f>
        <v>49</v>
      </c>
      <c r="B960" s="4" t="str">
        <f>IF(TOTALCO!B79="", "",TOTALCO!B79)</f>
        <v>DIR ASSIGN ITC ADJ</v>
      </c>
      <c r="C960" s="4" t="str">
        <f>IF(TOTALCO!C79="", "",TOTALCO!C79)</f>
        <v>DIRITCADJ</v>
      </c>
      <c r="D960" s="12">
        <f>IF(TOTALCO!D79="", "",TOTALCO!D79)</f>
        <v>0</v>
      </c>
      <c r="E960" s="12" t="str">
        <f>IF(TOTALCO!E79="", "",TOTALCO!E79)</f>
        <v/>
      </c>
      <c r="F960" s="12">
        <f>IF(TOTALCO!F79="", "",TOTALCO!F79)</f>
        <v>0</v>
      </c>
      <c r="G960" s="12" t="str">
        <f>IF(TOTALCO!G79="", "",TOTALCO!G79)</f>
        <v/>
      </c>
      <c r="H960" s="12">
        <f>IF(TOTALCO!H79="", "",TOTALCO!H79)</f>
        <v>0</v>
      </c>
      <c r="I960" s="12">
        <f>IF(TOTALCO!I79="", "",TOTALCO!I79)</f>
        <v>0</v>
      </c>
      <c r="J960" s="12" t="str">
        <f>IF(TOTALCO!J79="", "",TOTALCO!J79)</f>
        <v/>
      </c>
      <c r="K960" s="12" t="str">
        <f>IF(TOTALCO!K79="", "",TOTALCO!K79)</f>
        <v/>
      </c>
      <c r="L960" s="12">
        <f>IF(TOTALCO!L79="", "",TOTALCO!L79)</f>
        <v>0</v>
      </c>
      <c r="M960" s="12" t="str">
        <f>IF(TOTALCO!M79="", "",TOTALCO!M79)</f>
        <v/>
      </c>
      <c r="N960" s="12">
        <f>IF(TOTALCO!N79="", "",TOTALCO!N79)</f>
        <v>0</v>
      </c>
      <c r="O960" s="12">
        <f>IF(TOTALCO!O79="", "",TOTALCO!O79)</f>
        <v>0</v>
      </c>
      <c r="P960" s="12">
        <f>IF(TOTALCO!P79="", "",TOTALCO!P79)</f>
        <v>0</v>
      </c>
      <c r="Q960" s="12"/>
    </row>
    <row r="961" spans="1:17" ht="15" x14ac:dyDescent="0.2">
      <c r="A961" s="382">
        <f>IF(TOTALCO!A80="", "",TOTALCO!A80)</f>
        <v>50</v>
      </c>
      <c r="B961" s="4" t="str">
        <f>IF(TOTALCO!B80="", "",TOTALCO!B80)</f>
        <v>DIR ASSIGN DEFERRED FUEL-VIRGINIA</v>
      </c>
      <c r="C961" s="4" t="str">
        <f>IF(TOTALCO!C80="", "",TOTALCO!C80)</f>
        <v>DFUELVA</v>
      </c>
      <c r="D961" s="12">
        <f>IF(TOTALCO!D80="", "",TOTALCO!D80)</f>
        <v>-2824747</v>
      </c>
      <c r="E961" s="12" t="str">
        <f>IF(TOTALCO!E80="", "",TOTALCO!E80)</f>
        <v/>
      </c>
      <c r="F961" s="12">
        <f>IF(TOTALCO!F80="", "",TOTALCO!F80)</f>
        <v>0</v>
      </c>
      <c r="G961" s="12" t="str">
        <f>IF(TOTALCO!G80="", "",TOTALCO!G80)</f>
        <v/>
      </c>
      <c r="H961" s="12">
        <f>IF(TOTALCO!H80="", "",TOTALCO!H80)</f>
        <v>-2824747</v>
      </c>
      <c r="I961" s="12">
        <f>IF(TOTALCO!I80="", "",TOTALCO!I80)</f>
        <v>0</v>
      </c>
      <c r="J961" s="12" t="str">
        <f>IF(TOTALCO!J80="", "",TOTALCO!J80)</f>
        <v/>
      </c>
      <c r="K961" s="12" t="str">
        <f>IF(TOTALCO!K80="", "",TOTALCO!K80)</f>
        <v/>
      </c>
      <c r="L961" s="12">
        <f>IF(TOTALCO!L80="", "",TOTALCO!L80)</f>
        <v>0</v>
      </c>
      <c r="M961" s="12" t="str">
        <f>IF(TOTALCO!M80="", "",TOTALCO!M80)</f>
        <v/>
      </c>
      <c r="N961" s="12">
        <f>IF(TOTALCO!N80="", "",TOTALCO!N80)</f>
        <v>0</v>
      </c>
      <c r="O961" s="12">
        <f>IF(TOTALCO!O80="", "",TOTALCO!O80)</f>
        <v>0</v>
      </c>
      <c r="P961" s="12">
        <f>IF(TOTALCO!P80="", "",TOTALCO!P80)</f>
        <v>0</v>
      </c>
      <c r="Q961" s="12"/>
    </row>
    <row r="962" spans="1:17" ht="15" x14ac:dyDescent="0.2">
      <c r="A962" s="382" t="str">
        <f>IF(TOTALCO!A81="", "",TOTALCO!A81)</f>
        <v/>
      </c>
      <c r="B962" s="4" t="str">
        <f>IF(TOTALCO!B81="", "",TOTALCO!B81)</f>
        <v/>
      </c>
      <c r="C962" s="4" t="str">
        <f>IF(TOTALCO!C81="", "",TOTALCO!C81)</f>
        <v/>
      </c>
      <c r="D962" s="12" t="str">
        <f>IF(TOTALCO!D81="", "",TOTALCO!D81)</f>
        <v/>
      </c>
      <c r="E962" s="12" t="str">
        <f>IF(TOTALCO!E81="", "",TOTALCO!E81)</f>
        <v/>
      </c>
      <c r="F962" s="12" t="str">
        <f>IF(TOTALCO!F81="", "",TOTALCO!F81)</f>
        <v/>
      </c>
      <c r="G962" s="12" t="str">
        <f>IF(TOTALCO!G81="", "",TOTALCO!G81)</f>
        <v/>
      </c>
      <c r="H962" s="12" t="str">
        <f>IF(TOTALCO!H81="", "",TOTALCO!H81)</f>
        <v/>
      </c>
      <c r="I962" s="12" t="str">
        <f>IF(TOTALCO!I81="", "",TOTALCO!I81)</f>
        <v/>
      </c>
      <c r="J962" s="12" t="str">
        <f>IF(TOTALCO!J81="", "",TOTALCO!J81)</f>
        <v/>
      </c>
      <c r="K962" s="12" t="str">
        <f>IF(TOTALCO!K81="", "",TOTALCO!K81)</f>
        <v/>
      </c>
      <c r="L962" s="12" t="str">
        <f>IF(TOTALCO!L81="", "",TOTALCO!L81)</f>
        <v/>
      </c>
      <c r="M962" s="12" t="str">
        <f>IF(TOTALCO!M81="", "",TOTALCO!M81)</f>
        <v/>
      </c>
      <c r="N962" s="12" t="str">
        <f>IF(TOTALCO!N81="", "",TOTALCO!N81)</f>
        <v/>
      </c>
      <c r="O962" s="12" t="str">
        <f>IF(TOTALCO!O81="", "",TOTALCO!O81)</f>
        <v/>
      </c>
      <c r="P962" s="12" t="str">
        <f>IF(TOTALCO!P81="", "",TOTALCO!P81)</f>
        <v/>
      </c>
      <c r="Q962" s="12"/>
    </row>
    <row r="963" spans="1:17" ht="15" x14ac:dyDescent="0.2">
      <c r="A963" s="382" t="str">
        <f>IF(TOTALCO!A82="", "",TOTALCO!A82)</f>
        <v/>
      </c>
      <c r="B963" s="4" t="str">
        <f>IF(TOTALCO!B82="", "",TOTALCO!B82)</f>
        <v/>
      </c>
      <c r="C963" s="4" t="str">
        <f>IF(TOTALCO!C82="", "",TOTALCO!C82)</f>
        <v/>
      </c>
      <c r="D963" s="12" t="str">
        <f>IF(TOTALCO!D82="", "",TOTALCO!D82)</f>
        <v/>
      </c>
      <c r="E963" s="12" t="str">
        <f>IF(TOTALCO!E82="", "",TOTALCO!E82)</f>
        <v/>
      </c>
      <c r="F963" s="12" t="str">
        <f>IF(TOTALCO!F82="", "",TOTALCO!F82)</f>
        <v/>
      </c>
      <c r="G963" s="12" t="str">
        <f>IF(TOTALCO!G82="", "",TOTALCO!G82)</f>
        <v/>
      </c>
      <c r="H963" s="12" t="str">
        <f>IF(TOTALCO!H82="", "",TOTALCO!H82)</f>
        <v/>
      </c>
      <c r="I963" s="12" t="str">
        <f>IF(TOTALCO!I82="", "",TOTALCO!I82)</f>
        <v/>
      </c>
      <c r="J963" s="12" t="str">
        <f>IF(TOTALCO!J82="", "",TOTALCO!J82)</f>
        <v/>
      </c>
      <c r="K963" s="12" t="str">
        <f>IF(TOTALCO!K82="", "",TOTALCO!K82)</f>
        <v/>
      </c>
      <c r="L963" s="12" t="str">
        <f>IF(TOTALCO!L82="", "",TOTALCO!L82)</f>
        <v/>
      </c>
      <c r="M963" s="12" t="str">
        <f>IF(TOTALCO!M82="", "",TOTALCO!M82)</f>
        <v/>
      </c>
      <c r="N963" s="12" t="str">
        <f>IF(TOTALCO!N82="", "",TOTALCO!N82)</f>
        <v/>
      </c>
      <c r="O963" s="12" t="str">
        <f>IF(TOTALCO!O82="", "",TOTALCO!O82)</f>
        <v/>
      </c>
      <c r="P963" s="12" t="str">
        <f>IF(TOTALCO!P82="", "",TOTALCO!P82)</f>
        <v/>
      </c>
      <c r="Q963" s="12"/>
    </row>
    <row r="964" spans="1:17" ht="15" x14ac:dyDescent="0.2">
      <c r="A964" s="382" t="str">
        <f>IF(TOTALCO!A83="", "",TOTALCO!A83)</f>
        <v/>
      </c>
      <c r="B964" s="4" t="str">
        <f>IF(TOTALCO!B83="", "",TOTALCO!B83)</f>
        <v>ENERGY</v>
      </c>
      <c r="C964" s="4" t="str">
        <f>IF(TOTALCO!C83="", "",TOTALCO!C83)</f>
        <v/>
      </c>
      <c r="D964" s="12" t="str">
        <f>IF(TOTALCO!D83="", "",TOTALCO!D83)</f>
        <v/>
      </c>
      <c r="E964" s="12" t="str">
        <f>IF(TOTALCO!E83="", "",TOTALCO!E83)</f>
        <v/>
      </c>
      <c r="F964" s="12" t="str">
        <f>IF(TOTALCO!F83="", "",TOTALCO!F83)</f>
        <v/>
      </c>
      <c r="G964" s="12" t="str">
        <f>IF(TOTALCO!G83="", "",TOTALCO!G83)</f>
        <v/>
      </c>
      <c r="H964" s="12" t="str">
        <f>IF(TOTALCO!H83="", "",TOTALCO!H83)</f>
        <v/>
      </c>
      <c r="I964" s="12" t="str">
        <f>IF(TOTALCO!I83="", "",TOTALCO!I83)</f>
        <v/>
      </c>
      <c r="J964" s="12" t="str">
        <f>IF(TOTALCO!J83="", "",TOTALCO!J83)</f>
        <v/>
      </c>
      <c r="K964" s="12" t="str">
        <f>IF(TOTALCO!K83="", "",TOTALCO!K83)</f>
        <v/>
      </c>
      <c r="L964" s="12" t="str">
        <f>IF(TOTALCO!L83="", "",TOTALCO!L83)</f>
        <v/>
      </c>
      <c r="M964" s="12" t="str">
        <f>IF(TOTALCO!M83="", "",TOTALCO!M83)</f>
        <v/>
      </c>
      <c r="N964" s="12" t="str">
        <f>IF(TOTALCO!N83="", "",TOTALCO!N83)</f>
        <v/>
      </c>
      <c r="O964" s="12" t="str">
        <f>IF(TOTALCO!O83="", "",TOTALCO!O83)</f>
        <v/>
      </c>
      <c r="P964" s="12" t="str">
        <f>IF(TOTALCO!P83="", "",TOTALCO!P83)</f>
        <v/>
      </c>
      <c r="Q964" s="12"/>
    </row>
    <row r="965" spans="1:17" ht="15" x14ac:dyDescent="0.2">
      <c r="A965" s="382" t="str">
        <f>IF(TOTALCO!A84="", "",TOTALCO!A84)</f>
        <v/>
      </c>
      <c r="B965" s="4" t="str">
        <f>IF(TOTALCO!B84="", "",TOTALCO!B84)</f>
        <v>-</v>
      </c>
      <c r="C965" s="4" t="str">
        <f>IF(TOTALCO!C84="", "",TOTALCO!C84)</f>
        <v/>
      </c>
      <c r="D965" s="12" t="str">
        <f>IF(TOTALCO!D84="", "",TOTALCO!D84)</f>
        <v/>
      </c>
      <c r="E965" s="12" t="str">
        <f>IF(TOTALCO!E84="", "",TOTALCO!E84)</f>
        <v/>
      </c>
      <c r="F965" s="12" t="str">
        <f>IF(TOTALCO!F84="", "",TOTALCO!F84)</f>
        <v/>
      </c>
      <c r="G965" s="12" t="str">
        <f>IF(TOTALCO!G84="", "",TOTALCO!G84)</f>
        <v/>
      </c>
      <c r="H965" s="12" t="str">
        <f>IF(TOTALCO!H84="", "",TOTALCO!H84)</f>
        <v/>
      </c>
      <c r="I965" s="12" t="str">
        <f>IF(TOTALCO!I84="", "",TOTALCO!I84)</f>
        <v/>
      </c>
      <c r="J965" s="12" t="str">
        <f>IF(TOTALCO!J84="", "",TOTALCO!J84)</f>
        <v/>
      </c>
      <c r="K965" s="12" t="str">
        <f>IF(TOTALCO!K84="", "",TOTALCO!K84)</f>
        <v/>
      </c>
      <c r="L965" s="12" t="str">
        <f>IF(TOTALCO!L84="", "",TOTALCO!L84)</f>
        <v/>
      </c>
      <c r="M965" s="12" t="str">
        <f>IF(TOTALCO!M84="", "",TOTALCO!M84)</f>
        <v/>
      </c>
      <c r="N965" s="12" t="str">
        <f>IF(TOTALCO!N84="", "",TOTALCO!N84)</f>
        <v/>
      </c>
      <c r="O965" s="12" t="str">
        <f>IF(TOTALCO!O84="", "",TOTALCO!O84)</f>
        <v/>
      </c>
      <c r="P965" s="12" t="str">
        <f>IF(TOTALCO!P84="", "",TOTALCO!P84)</f>
        <v/>
      </c>
      <c r="Q965" s="12"/>
    </row>
    <row r="966" spans="1:17" ht="15" x14ac:dyDescent="0.2">
      <c r="A966" s="382">
        <f>IF(TOTALCO!A85="", "",TOTALCO!A85)</f>
        <v>1</v>
      </c>
      <c r="B966" s="4" t="str">
        <f>IF(TOTALCO!B85="", "",TOTALCO!B85)</f>
        <v>ENERGY (MWH AT GEN LEVEL)</v>
      </c>
      <c r="C966" s="4" t="str">
        <f>IF(TOTALCO!C85="", "",TOTALCO!C85)</f>
        <v>ENERGY</v>
      </c>
      <c r="D966" s="12">
        <f>IF(TOTALCO!D85="", "",TOTALCO!D85)</f>
        <v>21597286</v>
      </c>
      <c r="E966" s="12" t="str">
        <f>IF(TOTALCO!E85="", "",TOTALCO!E85)</f>
        <v/>
      </c>
      <c r="F966" s="12">
        <f>IF(TOTALCO!F85="", "",TOTALCO!F85)</f>
        <v>18737090</v>
      </c>
      <c r="G966" s="12" t="str">
        <f>IF(TOTALCO!G85="", "",TOTALCO!G85)</f>
        <v/>
      </c>
      <c r="H966" s="12">
        <f>IF(TOTALCO!H85="", "",TOTALCO!H85)</f>
        <v>990712</v>
      </c>
      <c r="I966" s="12">
        <f>IF(TOTALCO!I85="", "",TOTALCO!I85)</f>
        <v>1869484</v>
      </c>
      <c r="J966" s="12" t="str">
        <f>IF(TOTALCO!J85="", "",TOTALCO!J85)</f>
        <v/>
      </c>
      <c r="K966" s="12" t="str">
        <f>IF(TOTALCO!K85="", "",TOTALCO!K85)</f>
        <v/>
      </c>
      <c r="L966" s="12">
        <f>IF(TOTALCO!L85="", "",TOTALCO!L85)</f>
        <v>103</v>
      </c>
      <c r="M966" s="12" t="str">
        <f>IF(TOTALCO!M85="", "",TOTALCO!M85)</f>
        <v/>
      </c>
      <c r="N966" s="12">
        <f>IF(TOTALCO!N85="", "",TOTALCO!N85)</f>
        <v>1869381</v>
      </c>
      <c r="O966" s="12">
        <f>IF(TOTALCO!O85="", "",TOTALCO!O85)</f>
        <v>610253</v>
      </c>
      <c r="P966" s="12">
        <f>IF(TOTALCO!P85="", "",TOTALCO!P85)</f>
        <v>1259128</v>
      </c>
      <c r="Q966" s="12"/>
    </row>
    <row r="967" spans="1:17" ht="15" x14ac:dyDescent="0.2">
      <c r="A967" s="382">
        <f>IF(TOTALCO!A86="", "",TOTALCO!A86)</f>
        <v>2</v>
      </c>
      <c r="B967" s="4" t="str">
        <f>IF(TOTALCO!B86="", "",TOTALCO!B86)</f>
        <v>ENERGY (MWH RETAIL @ GEN LEVEL)</v>
      </c>
      <c r="C967" s="4" t="str">
        <f>IF(TOTALCO!C86="", "",TOTALCO!C86)</f>
        <v>ENERGY1</v>
      </c>
      <c r="D967" s="12">
        <f>IF(TOTALCO!D86="", "",TOTALCO!D86)</f>
        <v>19727905</v>
      </c>
      <c r="E967" s="12" t="str">
        <f>IF(TOTALCO!E86="", "",TOTALCO!E86)</f>
        <v/>
      </c>
      <c r="F967" s="12">
        <f>IF(TOTALCO!F86="", "",TOTALCO!F86)</f>
        <v>18737090</v>
      </c>
      <c r="G967" s="12" t="str">
        <f>IF(TOTALCO!G86="", "",TOTALCO!G86)</f>
        <v/>
      </c>
      <c r="H967" s="12">
        <f>IF(TOTALCO!H86="", "",TOTALCO!H86)</f>
        <v>990712</v>
      </c>
      <c r="I967" s="12">
        <f>IF(TOTALCO!I86="", "",TOTALCO!I86)</f>
        <v>103</v>
      </c>
      <c r="J967" s="12" t="str">
        <f>IF(TOTALCO!J86="", "",TOTALCO!J86)</f>
        <v/>
      </c>
      <c r="K967" s="12" t="str">
        <f>IF(TOTALCO!K86="", "",TOTALCO!K86)</f>
        <v/>
      </c>
      <c r="L967" s="12">
        <f>IF(TOTALCO!L86="", "",TOTALCO!L86)</f>
        <v>103</v>
      </c>
      <c r="M967" s="12" t="str">
        <f>IF(TOTALCO!M86="", "",TOTALCO!M86)</f>
        <v/>
      </c>
      <c r="N967" s="12">
        <f>IF(TOTALCO!N86="", "",TOTALCO!N86)</f>
        <v>0</v>
      </c>
      <c r="O967" s="12">
        <f>IF(TOTALCO!O86="", "",TOTALCO!O86)</f>
        <v>0</v>
      </c>
      <c r="P967" s="12">
        <f>IF(TOTALCO!P86="", "",TOTALCO!P86)</f>
        <v>0</v>
      </c>
      <c r="Q967" s="12"/>
    </row>
    <row r="968" spans="1:17" ht="15" x14ac:dyDescent="0.2">
      <c r="A968" s="382">
        <f>IF(TOTALCO!A87="", "",TOTALCO!A87)</f>
        <v>3</v>
      </c>
      <c r="B968" s="4" t="str">
        <f>IF(TOTALCO!B87="", "",TOTALCO!B87)</f>
        <v/>
      </c>
      <c r="C968" s="4" t="str">
        <f>IF(TOTALCO!C87="", "",TOTALCO!C87)</f>
        <v/>
      </c>
      <c r="D968" s="12" t="str">
        <f>IF(TOTALCO!D87="", "",TOTALCO!D87)</f>
        <v/>
      </c>
      <c r="E968" s="12" t="str">
        <f>IF(TOTALCO!E87="", "",TOTALCO!E87)</f>
        <v/>
      </c>
      <c r="F968" s="12" t="str">
        <f>IF(TOTALCO!F87="", "",TOTALCO!F87)</f>
        <v/>
      </c>
      <c r="G968" s="12" t="str">
        <f>IF(TOTALCO!G87="", "",TOTALCO!G87)</f>
        <v/>
      </c>
      <c r="H968" s="12" t="str">
        <f>IF(TOTALCO!H87="", "",TOTALCO!H87)</f>
        <v/>
      </c>
      <c r="I968" s="12" t="str">
        <f>IF(TOTALCO!I87="", "",TOTALCO!I87)</f>
        <v/>
      </c>
      <c r="J968" s="12" t="str">
        <f>IF(TOTALCO!J87="", "",TOTALCO!J87)</f>
        <v/>
      </c>
      <c r="K968" s="12" t="str">
        <f>IF(TOTALCO!K87="", "",TOTALCO!K87)</f>
        <v/>
      </c>
      <c r="L968" s="12" t="str">
        <f>IF(TOTALCO!L87="", "",TOTALCO!L87)</f>
        <v/>
      </c>
      <c r="M968" s="12" t="str">
        <f>IF(TOTALCO!M87="", "",TOTALCO!M87)</f>
        <v/>
      </c>
      <c r="N968" s="12" t="str">
        <f>IF(TOTALCO!N87="", "",TOTALCO!N87)</f>
        <v/>
      </c>
      <c r="O968" s="12" t="str">
        <f>IF(TOTALCO!O87="", "",TOTALCO!O87)</f>
        <v/>
      </c>
      <c r="P968" s="12" t="str">
        <f>IF(TOTALCO!P87="", "",TOTALCO!P87)</f>
        <v/>
      </c>
      <c r="Q968" s="12"/>
    </row>
    <row r="969" spans="1:17" ht="15" x14ac:dyDescent="0.2">
      <c r="A969" s="382">
        <f>IF(TOTALCO!A88="", "",TOTALCO!A88)</f>
        <v>4</v>
      </c>
      <c r="B969" s="4" t="str">
        <f>IF(TOTALCO!B88="", "",TOTALCO!B88)</f>
        <v/>
      </c>
      <c r="C969" s="4" t="str">
        <f>IF(TOTALCO!C88="", "",TOTALCO!C88)</f>
        <v/>
      </c>
      <c r="D969" s="12" t="str">
        <f>IF(TOTALCO!D88="", "",TOTALCO!D88)</f>
        <v/>
      </c>
      <c r="E969" s="12" t="str">
        <f>IF(TOTALCO!E88="", "",TOTALCO!E88)</f>
        <v/>
      </c>
      <c r="F969" s="12" t="str">
        <f>IF(TOTALCO!F88="", "",TOTALCO!F88)</f>
        <v/>
      </c>
      <c r="G969" s="12" t="str">
        <f>IF(TOTALCO!G88="", "",TOTALCO!G88)</f>
        <v/>
      </c>
      <c r="H969" s="12" t="str">
        <f>IF(TOTALCO!H88="", "",TOTALCO!H88)</f>
        <v/>
      </c>
      <c r="I969" s="12" t="str">
        <f>IF(TOTALCO!I88="", "",TOTALCO!I88)</f>
        <v/>
      </c>
      <c r="J969" s="12" t="str">
        <f>IF(TOTALCO!J88="", "",TOTALCO!J88)</f>
        <v/>
      </c>
      <c r="K969" s="12" t="str">
        <f>IF(TOTALCO!K88="", "",TOTALCO!K88)</f>
        <v/>
      </c>
      <c r="L969" s="12" t="str">
        <f>IF(TOTALCO!L88="", "",TOTALCO!L88)</f>
        <v/>
      </c>
      <c r="M969" s="12" t="str">
        <f>IF(TOTALCO!M88="", "",TOTALCO!M88)</f>
        <v/>
      </c>
      <c r="N969" s="12" t="str">
        <f>IF(TOTALCO!N88="", "",TOTALCO!N88)</f>
        <v/>
      </c>
      <c r="O969" s="12" t="str">
        <f>IF(TOTALCO!O88="", "",TOTALCO!O88)</f>
        <v/>
      </c>
      <c r="P969" s="12" t="str">
        <f>IF(TOTALCO!P88="", "",TOTALCO!P88)</f>
        <v/>
      </c>
      <c r="Q969" s="12"/>
    </row>
    <row r="970" spans="1:17" ht="15" x14ac:dyDescent="0.2">
      <c r="A970" s="382" t="str">
        <f>IF(TOTALCO!A89="", "",TOTALCO!A89)</f>
        <v/>
      </c>
      <c r="B970" s="4" t="str">
        <f>IF(TOTALCO!B89="", "",TOTALCO!B89)</f>
        <v/>
      </c>
      <c r="C970" s="4" t="str">
        <f>IF(TOTALCO!C89="", "",TOTALCO!C89)</f>
        <v/>
      </c>
      <c r="D970" s="12" t="str">
        <f>IF(TOTALCO!D89="", "",TOTALCO!D89)</f>
        <v/>
      </c>
      <c r="E970" s="12" t="str">
        <f>IF(TOTALCO!E89="", "",TOTALCO!E89)</f>
        <v/>
      </c>
      <c r="F970" s="12" t="str">
        <f>IF(TOTALCO!F89="", "",TOTALCO!F89)</f>
        <v/>
      </c>
      <c r="G970" s="12" t="str">
        <f>IF(TOTALCO!G89="", "",TOTALCO!G89)</f>
        <v/>
      </c>
      <c r="H970" s="12" t="str">
        <f>IF(TOTALCO!H89="", "",TOTALCO!H89)</f>
        <v/>
      </c>
      <c r="I970" s="12" t="str">
        <f>IF(TOTALCO!I89="", "",TOTALCO!I89)</f>
        <v/>
      </c>
      <c r="J970" s="12" t="str">
        <f>IF(TOTALCO!J89="", "",TOTALCO!J89)</f>
        <v/>
      </c>
      <c r="K970" s="12" t="str">
        <f>IF(TOTALCO!K89="", "",TOTALCO!K89)</f>
        <v/>
      </c>
      <c r="L970" s="12" t="str">
        <f>IF(TOTALCO!L89="", "",TOTALCO!L89)</f>
        <v/>
      </c>
      <c r="M970" s="12" t="str">
        <f>IF(TOTALCO!M89="", "",TOTALCO!M89)</f>
        <v/>
      </c>
      <c r="N970" s="12" t="str">
        <f>IF(TOTALCO!N89="", "",TOTALCO!N89)</f>
        <v/>
      </c>
      <c r="O970" s="12" t="str">
        <f>IF(TOTALCO!O89="", "",TOTALCO!O89)</f>
        <v/>
      </c>
      <c r="P970" s="12" t="str">
        <f>IF(TOTALCO!P89="", "",TOTALCO!P89)</f>
        <v/>
      </c>
      <c r="Q970" s="12"/>
    </row>
    <row r="971" spans="1:17" ht="15" x14ac:dyDescent="0.2">
      <c r="A971" s="382" t="str">
        <f>IF(TOTALCO!A90="", "",TOTALCO!A90)</f>
        <v/>
      </c>
      <c r="B971" s="4" t="str">
        <f>IF(TOTALCO!B90="", "",TOTALCO!B90)</f>
        <v>CUSTOMER</v>
      </c>
      <c r="C971" s="4" t="str">
        <f>IF(TOTALCO!C90="", "",TOTALCO!C90)</f>
        <v/>
      </c>
      <c r="D971" s="12" t="str">
        <f>IF(TOTALCO!D90="", "",TOTALCO!D90)</f>
        <v/>
      </c>
      <c r="E971" s="12" t="str">
        <f>IF(TOTALCO!E90="", "",TOTALCO!E90)</f>
        <v/>
      </c>
      <c r="F971" s="12" t="str">
        <f>IF(TOTALCO!F90="", "",TOTALCO!F90)</f>
        <v/>
      </c>
      <c r="G971" s="12" t="str">
        <f>IF(TOTALCO!G90="", "",TOTALCO!G90)</f>
        <v/>
      </c>
      <c r="H971" s="12" t="str">
        <f>IF(TOTALCO!H90="", "",TOTALCO!H90)</f>
        <v/>
      </c>
      <c r="I971" s="12" t="str">
        <f>IF(TOTALCO!I90="", "",TOTALCO!I90)</f>
        <v/>
      </c>
      <c r="J971" s="12" t="str">
        <f>IF(TOTALCO!J90="", "",TOTALCO!J90)</f>
        <v/>
      </c>
      <c r="K971" s="12" t="str">
        <f>IF(TOTALCO!K90="", "",TOTALCO!K90)</f>
        <v/>
      </c>
      <c r="L971" s="12" t="str">
        <f>IF(TOTALCO!L90="", "",TOTALCO!L90)</f>
        <v/>
      </c>
      <c r="M971" s="12" t="str">
        <f>IF(TOTALCO!M90="", "",TOTALCO!M90)</f>
        <v/>
      </c>
      <c r="N971" s="12" t="str">
        <f>IF(TOTALCO!N90="", "",TOTALCO!N90)</f>
        <v/>
      </c>
      <c r="O971" s="12" t="str">
        <f>IF(TOTALCO!O90="", "",TOTALCO!O90)</f>
        <v/>
      </c>
      <c r="P971" s="12" t="str">
        <f>IF(TOTALCO!P90="", "",TOTALCO!P90)</f>
        <v/>
      </c>
      <c r="Q971" s="12"/>
    </row>
    <row r="972" spans="1:17" ht="15" x14ac:dyDescent="0.2">
      <c r="A972" s="382" t="str">
        <f>IF(TOTALCO!A91="", "",TOTALCO!A91)</f>
        <v/>
      </c>
      <c r="B972" s="4" t="str">
        <f>IF(TOTALCO!B91="", "",TOTALCO!B91)</f>
        <v>-</v>
      </c>
      <c r="C972" s="4" t="str">
        <f>IF(TOTALCO!C91="", "",TOTALCO!C91)</f>
        <v/>
      </c>
      <c r="D972" s="12" t="str">
        <f>IF(TOTALCO!D91="", "",TOTALCO!D91)</f>
        <v/>
      </c>
      <c r="E972" s="12" t="str">
        <f>IF(TOTALCO!E91="", "",TOTALCO!E91)</f>
        <v/>
      </c>
      <c r="F972" s="12" t="str">
        <f>IF(TOTALCO!F91="", "",TOTALCO!F91)</f>
        <v/>
      </c>
      <c r="G972" s="12" t="str">
        <f>IF(TOTALCO!G91="", "",TOTALCO!G91)</f>
        <v/>
      </c>
      <c r="H972" s="12" t="str">
        <f>IF(TOTALCO!H91="", "",TOTALCO!H91)</f>
        <v/>
      </c>
      <c r="I972" s="12" t="str">
        <f>IF(TOTALCO!I91="", "",TOTALCO!I91)</f>
        <v/>
      </c>
      <c r="J972" s="12" t="str">
        <f>IF(TOTALCO!J91="", "",TOTALCO!J91)</f>
        <v/>
      </c>
      <c r="K972" s="12" t="str">
        <f>IF(TOTALCO!K91="", "",TOTALCO!K91)</f>
        <v/>
      </c>
      <c r="L972" s="12" t="str">
        <f>IF(TOTALCO!L91="", "",TOTALCO!L91)</f>
        <v/>
      </c>
      <c r="M972" s="12" t="str">
        <f>IF(TOTALCO!M91="", "",TOTALCO!M91)</f>
        <v/>
      </c>
      <c r="N972" s="12" t="str">
        <f>IF(TOTALCO!N91="", "",TOTALCO!N91)</f>
        <v/>
      </c>
      <c r="O972" s="12" t="str">
        <f>IF(TOTALCO!O91="", "",TOTALCO!O91)</f>
        <v/>
      </c>
      <c r="P972" s="12" t="str">
        <f>IF(TOTALCO!P91="", "",TOTALCO!P91)</f>
        <v/>
      </c>
      <c r="Q972" s="12"/>
    </row>
    <row r="973" spans="1:17" ht="15" x14ac:dyDescent="0.2">
      <c r="A973" s="382">
        <f>IF(TOTALCO!A92="", "",TOTALCO!A92)</f>
        <v>1</v>
      </c>
      <c r="B973" s="4" t="str">
        <f>IF(TOTALCO!B92="", "",TOTALCO!B92)</f>
        <v>DIRECT ASSIGN 369-SERV KY</v>
      </c>
      <c r="C973" s="4" t="str">
        <f>IF(TOTALCO!C92="", "",TOTALCO!C92)</f>
        <v>CUST369K</v>
      </c>
      <c r="D973" s="12">
        <f>IF(TOTALCO!D92="", "",TOTALCO!D92)</f>
        <v>84507617.649999991</v>
      </c>
      <c r="E973" s="12" t="str">
        <f>IF(TOTALCO!E92="", "",TOTALCO!E92)</f>
        <v/>
      </c>
      <c r="F973" s="12">
        <f>IF(TOTALCO!F92="", "",TOTALCO!F92)</f>
        <v>84507617.649999991</v>
      </c>
      <c r="G973" s="12" t="str">
        <f>IF(TOTALCO!G92="", "",TOTALCO!G92)</f>
        <v/>
      </c>
      <c r="H973" s="12">
        <f>IF(TOTALCO!H92="", "",TOTALCO!H92)</f>
        <v>0</v>
      </c>
      <c r="I973" s="12">
        <f>IF(TOTALCO!I92="", "",TOTALCO!I92)</f>
        <v>0</v>
      </c>
      <c r="J973" s="12" t="str">
        <f>IF(TOTALCO!J92="", "",TOTALCO!J92)</f>
        <v/>
      </c>
      <c r="K973" s="12" t="str">
        <f>IF(TOTALCO!K92="", "",TOTALCO!K92)</f>
        <v/>
      </c>
      <c r="L973" s="12">
        <f>IF(TOTALCO!L92="", "",TOTALCO!L92)</f>
        <v>0</v>
      </c>
      <c r="M973" s="12" t="str">
        <f>IF(TOTALCO!M92="", "",TOTALCO!M92)</f>
        <v/>
      </c>
      <c r="N973" s="12">
        <f>IF(TOTALCO!N92="", "",TOTALCO!N92)</f>
        <v>0</v>
      </c>
      <c r="O973" s="12">
        <f>IF(TOTALCO!O92="", "",TOTALCO!O92)</f>
        <v>0</v>
      </c>
      <c r="P973" s="12">
        <f>IF(TOTALCO!P92="", "",TOTALCO!P92)</f>
        <v>0</v>
      </c>
      <c r="Q973" s="12"/>
    </row>
    <row r="974" spans="1:17" ht="15" x14ac:dyDescent="0.2">
      <c r="A974" s="382">
        <f>IF(TOTALCO!A93="", "",TOTALCO!A93)</f>
        <v>2</v>
      </c>
      <c r="B974" s="4" t="str">
        <f>IF(TOTALCO!B93="", "",TOTALCO!B93)</f>
        <v>DIRECT ASSIGN 370 METERS KY</v>
      </c>
      <c r="C974" s="4" t="str">
        <f>IF(TOTALCO!C93="", "",TOTALCO!C93)</f>
        <v>CUST370K</v>
      </c>
      <c r="D974" s="12">
        <f>IF(TOTALCO!D93="", "",TOTALCO!D93)</f>
        <v>67284794.690000013</v>
      </c>
      <c r="E974" s="12" t="str">
        <f>IF(TOTALCO!E93="", "",TOTALCO!E93)</f>
        <v/>
      </c>
      <c r="F974" s="12">
        <f>IF(TOTALCO!F93="", "",TOTALCO!F93)</f>
        <v>66969752.690000013</v>
      </c>
      <c r="G974" s="12" t="str">
        <f>IF(TOTALCO!G93="", "",TOTALCO!G93)</f>
        <v/>
      </c>
      <c r="H974" s="12">
        <f>IF(TOTALCO!H93="", "",TOTALCO!H93)</f>
        <v>0</v>
      </c>
      <c r="I974" s="12">
        <f>IF(TOTALCO!I93="", "",TOTALCO!I93)</f>
        <v>315042</v>
      </c>
      <c r="J974" s="12" t="str">
        <f>IF(TOTALCO!J93="", "",TOTALCO!J93)</f>
        <v/>
      </c>
      <c r="K974" s="12" t="str">
        <f>IF(TOTALCO!K93="", "",TOTALCO!K93)</f>
        <v/>
      </c>
      <c r="L974" s="12">
        <f>IF(TOTALCO!L93="", "",TOTALCO!L93)</f>
        <v>0</v>
      </c>
      <c r="M974" s="12" t="str">
        <f>IF(TOTALCO!M93="", "",TOTALCO!M93)</f>
        <v/>
      </c>
      <c r="N974" s="12">
        <f>IF(TOTALCO!N93="", "",TOTALCO!N93)</f>
        <v>315042</v>
      </c>
      <c r="O974" s="12">
        <f>IF(TOTALCO!O93="", "",TOTALCO!O93)</f>
        <v>66911</v>
      </c>
      <c r="P974" s="12">
        <f>IF(TOTALCO!P93="", "",TOTALCO!P93)</f>
        <v>248131</v>
      </c>
      <c r="Q974" s="12"/>
    </row>
    <row r="975" spans="1:17" ht="15" x14ac:dyDescent="0.2">
      <c r="A975" s="382">
        <f>IF(TOTALCO!A94="", "",TOTALCO!A94)</f>
        <v>3</v>
      </c>
      <c r="B975" s="4" t="str">
        <f>IF(TOTALCO!B94="", "",TOTALCO!B94)</f>
        <v>DIRECT ASSIGN 371 CUST INST KY</v>
      </c>
      <c r="C975" s="4" t="str">
        <f>IF(TOTALCO!C94="", "",TOTALCO!C94)</f>
        <v>CUST371K</v>
      </c>
      <c r="D975" s="12">
        <f>IF(TOTALCO!D94="", "",TOTALCO!D94)</f>
        <v>17384575.219999999</v>
      </c>
      <c r="E975" s="12" t="str">
        <f>IF(TOTALCO!E94="", "",TOTALCO!E94)</f>
        <v/>
      </c>
      <c r="F975" s="12">
        <f>IF(TOTALCO!F94="", "",TOTALCO!F94)</f>
        <v>17384575.219999999</v>
      </c>
      <c r="G975" s="12" t="str">
        <f>IF(TOTALCO!G94="", "",TOTALCO!G94)</f>
        <v/>
      </c>
      <c r="H975" s="12">
        <f>IF(TOTALCO!H94="", "",TOTALCO!H94)</f>
        <v>0</v>
      </c>
      <c r="I975" s="12">
        <f>IF(TOTALCO!I94="", "",TOTALCO!I94)</f>
        <v>0</v>
      </c>
      <c r="J975" s="12" t="str">
        <f>IF(TOTALCO!J94="", "",TOTALCO!J94)</f>
        <v/>
      </c>
      <c r="K975" s="12" t="str">
        <f>IF(TOTALCO!K94="", "",TOTALCO!K94)</f>
        <v/>
      </c>
      <c r="L975" s="12">
        <f>IF(TOTALCO!L94="", "",TOTALCO!L94)</f>
        <v>0</v>
      </c>
      <c r="M975" s="12" t="str">
        <f>IF(TOTALCO!M94="", "",TOTALCO!M94)</f>
        <v/>
      </c>
      <c r="N975" s="12">
        <f>IF(TOTALCO!N94="", "",TOTALCO!N94)</f>
        <v>0</v>
      </c>
      <c r="O975" s="12">
        <f>IF(TOTALCO!O94="", "",TOTALCO!O94)</f>
        <v>0</v>
      </c>
      <c r="P975" s="12">
        <f>IF(TOTALCO!P94="", "",TOTALCO!P94)</f>
        <v>0</v>
      </c>
      <c r="Q975" s="12"/>
    </row>
    <row r="976" spans="1:17" ht="15" x14ac:dyDescent="0.2">
      <c r="A976" s="382">
        <f>IF(TOTALCO!A95="", "",TOTALCO!A95)</f>
        <v>4</v>
      </c>
      <c r="B976" s="4" t="str">
        <f>IF(TOTALCO!B95="", "",TOTALCO!B95)</f>
        <v>DIRECT ASSIGN 373 ST LIGHT KY</v>
      </c>
      <c r="C976" s="4" t="str">
        <f>IF(TOTALCO!C95="", "",TOTALCO!C95)</f>
        <v>CUST373K</v>
      </c>
      <c r="D976" s="12">
        <f>IF(TOTALCO!D95="", "",TOTALCO!D95)</f>
        <v>80975589.62000002</v>
      </c>
      <c r="E976" s="12" t="str">
        <f>IF(TOTALCO!E95="", "",TOTALCO!E95)</f>
        <v/>
      </c>
      <c r="F976" s="12">
        <f>IF(TOTALCO!F95="", "",TOTALCO!F95)</f>
        <v>80975589.62000002</v>
      </c>
      <c r="G976" s="12" t="str">
        <f>IF(TOTALCO!G95="", "",TOTALCO!G95)</f>
        <v/>
      </c>
      <c r="H976" s="12">
        <f>IF(TOTALCO!H95="", "",TOTALCO!H95)</f>
        <v>0</v>
      </c>
      <c r="I976" s="12">
        <f>IF(TOTALCO!I95="", "",TOTALCO!I95)</f>
        <v>0</v>
      </c>
      <c r="J976" s="12" t="str">
        <f>IF(TOTALCO!J95="", "",TOTALCO!J95)</f>
        <v/>
      </c>
      <c r="K976" s="12" t="str">
        <f>IF(TOTALCO!K95="", "",TOTALCO!K95)</f>
        <v/>
      </c>
      <c r="L976" s="12">
        <f>IF(TOTALCO!L95="", "",TOTALCO!L95)</f>
        <v>0</v>
      </c>
      <c r="M976" s="12" t="str">
        <f>IF(TOTALCO!M95="", "",TOTALCO!M95)</f>
        <v/>
      </c>
      <c r="N976" s="12">
        <f>IF(TOTALCO!N95="", "",TOTALCO!N95)</f>
        <v>0</v>
      </c>
      <c r="O976" s="12">
        <f>IF(TOTALCO!O95="", "",TOTALCO!O95)</f>
        <v>0</v>
      </c>
      <c r="P976" s="12">
        <f>IF(TOTALCO!P95="", "",TOTALCO!P95)</f>
        <v>0</v>
      </c>
      <c r="Q976" s="12"/>
    </row>
    <row r="977" spans="1:17" ht="15" x14ac:dyDescent="0.2">
      <c r="A977" s="382">
        <f>IF(TOTALCO!A96="", "",TOTALCO!A96)</f>
        <v>5</v>
      </c>
      <c r="B977" s="4" t="str">
        <f>IF(TOTALCO!B96="", "",TOTALCO!B96)</f>
        <v>CUSTOMER ADVANCES</v>
      </c>
      <c r="C977" s="4" t="str">
        <f>IF(TOTALCO!C96="", "",TOTALCO!C96)</f>
        <v>CUSTADV</v>
      </c>
      <c r="D977" s="12">
        <f>IF(TOTALCO!D96="", "",TOTALCO!D96)</f>
        <v>3147887.17</v>
      </c>
      <c r="E977" s="12" t="str">
        <f>IF(TOTALCO!E96="", "",TOTALCO!E96)</f>
        <v/>
      </c>
      <c r="F977" s="12">
        <f>IF(TOTALCO!F96="", "",TOTALCO!F96)</f>
        <v>2936188.79</v>
      </c>
      <c r="G977" s="12" t="str">
        <f>IF(TOTALCO!G96="", "",TOTALCO!G96)</f>
        <v/>
      </c>
      <c r="H977" s="12">
        <f>IF(TOTALCO!H96="", "",TOTALCO!H96)</f>
        <v>211698.37999999989</v>
      </c>
      <c r="I977" s="12">
        <f>IF(TOTALCO!I96="", "",TOTALCO!I96)</f>
        <v>0</v>
      </c>
      <c r="J977" s="12" t="str">
        <f>IF(TOTALCO!J96="", "",TOTALCO!J96)</f>
        <v/>
      </c>
      <c r="K977" s="12" t="str">
        <f>IF(TOTALCO!K96="", "",TOTALCO!K96)</f>
        <v/>
      </c>
      <c r="L977" s="12">
        <f>IF(TOTALCO!L96="", "",TOTALCO!L96)</f>
        <v>0</v>
      </c>
      <c r="M977" s="12" t="str">
        <f>IF(TOTALCO!M96="", "",TOTALCO!M96)</f>
        <v/>
      </c>
      <c r="N977" s="12">
        <f>IF(TOTALCO!N96="", "",TOTALCO!N96)</f>
        <v>0</v>
      </c>
      <c r="O977" s="12">
        <f>IF(TOTALCO!O96="", "",TOTALCO!O96)</f>
        <v>0</v>
      </c>
      <c r="P977" s="12">
        <f>IF(TOTALCO!P96="", "",TOTALCO!P96)</f>
        <v>0</v>
      </c>
      <c r="Q977" s="12"/>
    </row>
    <row r="978" spans="1:17" ht="15" x14ac:dyDescent="0.2">
      <c r="A978" s="382">
        <f>IF(TOTALCO!A97="", "",TOTALCO!A97)</f>
        <v>6</v>
      </c>
      <c r="B978" s="4" t="str">
        <f>IF(TOTALCO!B97="", "",TOTALCO!B97)</f>
        <v>CUSTOMER DEPOSITS</v>
      </c>
      <c r="C978" s="4" t="str">
        <f>IF(TOTALCO!C97="", "",TOTALCO!C97)</f>
        <v>CUSTDEP</v>
      </c>
      <c r="D978" s="12">
        <f>IF(TOTALCO!D97="", "",TOTALCO!D97)</f>
        <v>23057677.960000001</v>
      </c>
      <c r="E978" s="12" t="str">
        <f>IF(TOTALCO!E97="", "",TOTALCO!E97)</f>
        <v/>
      </c>
      <c r="F978" s="12">
        <f>IF(TOTALCO!F97="", "",TOTALCO!F97)</f>
        <v>22532316.690000001</v>
      </c>
      <c r="G978" s="12" t="str">
        <f>IF(TOTALCO!G97="", "",TOTALCO!G97)</f>
        <v/>
      </c>
      <c r="H978" s="12">
        <f>IF(TOTALCO!H97="", "",TOTALCO!H97)</f>
        <v>525361.27</v>
      </c>
      <c r="I978" s="12">
        <f>IF(TOTALCO!I97="", "",TOTALCO!I97)</f>
        <v>0</v>
      </c>
      <c r="J978" s="12" t="str">
        <f>IF(TOTALCO!J97="", "",TOTALCO!J97)</f>
        <v/>
      </c>
      <c r="K978" s="12" t="str">
        <f>IF(TOTALCO!K97="", "",TOTALCO!K97)</f>
        <v/>
      </c>
      <c r="L978" s="12">
        <f>IF(TOTALCO!L97="", "",TOTALCO!L97)</f>
        <v>0</v>
      </c>
      <c r="M978" s="12" t="str">
        <f>IF(TOTALCO!M97="", "",TOTALCO!M97)</f>
        <v/>
      </c>
      <c r="N978" s="12">
        <f>IF(TOTALCO!N97="", "",TOTALCO!N97)</f>
        <v>0</v>
      </c>
      <c r="O978" s="12">
        <f>IF(TOTALCO!O97="", "",TOTALCO!O97)</f>
        <v>0</v>
      </c>
      <c r="P978" s="12">
        <f>IF(TOTALCO!P97="", "",TOTALCO!P97)</f>
        <v>0</v>
      </c>
      <c r="Q978" s="12"/>
    </row>
    <row r="979" spans="1:17" ht="15" x14ac:dyDescent="0.2">
      <c r="A979" s="382">
        <f>IF(TOTALCO!A98="", "",TOTALCO!A98)</f>
        <v>7</v>
      </c>
      <c r="B979" s="4" t="str">
        <f>IF(TOTALCO!B98="", "",TOTALCO!B98)</f>
        <v>DIR ASSIGN 902-METER READING</v>
      </c>
      <c r="C979" s="4" t="str">
        <f>IF(TOTALCO!C98="", "",TOTALCO!C98)</f>
        <v>CUST902</v>
      </c>
      <c r="D979" s="12">
        <f>IF(TOTALCO!D98="", "",TOTALCO!D98)</f>
        <v>747403</v>
      </c>
      <c r="E979" s="12" t="str">
        <f>IF(TOTALCO!E98="", "",TOTALCO!E98)</f>
        <v/>
      </c>
      <c r="F979" s="12">
        <f>IF(TOTALCO!F98="", "",TOTALCO!F98)</f>
        <v>707124</v>
      </c>
      <c r="G979" s="12" t="str">
        <f>IF(TOTALCO!G98="", "",TOTALCO!G98)</f>
        <v/>
      </c>
      <c r="H979" s="12">
        <f>IF(TOTALCO!H98="", "",TOTALCO!H98)</f>
        <v>39349</v>
      </c>
      <c r="I979" s="12">
        <f>IF(TOTALCO!I98="", "",TOTALCO!I98)</f>
        <v>930</v>
      </c>
      <c r="J979" s="12" t="str">
        <f>IF(TOTALCO!J98="", "",TOTALCO!J98)</f>
        <v/>
      </c>
      <c r="K979" s="12" t="str">
        <f>IF(TOTALCO!K98="", "",TOTALCO!K98)</f>
        <v/>
      </c>
      <c r="L979" s="12">
        <f>IF(TOTALCO!L98="", "",TOTALCO!L98)</f>
        <v>7</v>
      </c>
      <c r="M979" s="12" t="str">
        <f>IF(TOTALCO!M98="", "",TOTALCO!M98)</f>
        <v/>
      </c>
      <c r="N979" s="12">
        <f>IF(TOTALCO!N98="", "",TOTALCO!N98)</f>
        <v>923</v>
      </c>
      <c r="O979" s="12">
        <f>IF(TOTALCO!O98="", "",TOTALCO!O98)</f>
        <v>494</v>
      </c>
      <c r="P979" s="12">
        <f>IF(TOTALCO!P98="", "",TOTALCO!P98)</f>
        <v>429</v>
      </c>
      <c r="Q979" s="12"/>
    </row>
    <row r="980" spans="1:17" ht="15" x14ac:dyDescent="0.2">
      <c r="A980" s="382">
        <f>IF(TOTALCO!A99="", "",TOTALCO!A99)</f>
        <v>8</v>
      </c>
      <c r="B980" s="4" t="str">
        <f>IF(TOTALCO!B99="", "",TOTALCO!B99)</f>
        <v>DIR ASSIGN 903-CUSTOMER REC</v>
      </c>
      <c r="C980" s="4" t="str">
        <f>IF(TOTALCO!C99="", "",TOTALCO!C99)</f>
        <v>CUST903</v>
      </c>
      <c r="D980" s="12">
        <f>IF(TOTALCO!D99="", "",TOTALCO!D99)</f>
        <v>747403</v>
      </c>
      <c r="E980" s="12" t="str">
        <f>IF(TOTALCO!E99="", "",TOTALCO!E99)</f>
        <v/>
      </c>
      <c r="F980" s="12">
        <f>IF(TOTALCO!F99="", "",TOTALCO!F99)</f>
        <v>707124</v>
      </c>
      <c r="G980" s="12" t="str">
        <f>IF(TOTALCO!G99="", "",TOTALCO!G99)</f>
        <v/>
      </c>
      <c r="H980" s="12">
        <f>IF(TOTALCO!H99="", "",TOTALCO!H99)</f>
        <v>39349</v>
      </c>
      <c r="I980" s="12">
        <f>IF(TOTALCO!I99="", "",TOTALCO!I99)</f>
        <v>930</v>
      </c>
      <c r="J980" s="12" t="str">
        <f>IF(TOTALCO!J99="", "",TOTALCO!J99)</f>
        <v/>
      </c>
      <c r="K980" s="12" t="str">
        <f>IF(TOTALCO!K99="", "",TOTALCO!K99)</f>
        <v/>
      </c>
      <c r="L980" s="12">
        <f>IF(TOTALCO!L99="", "",TOTALCO!L99)</f>
        <v>7</v>
      </c>
      <c r="M980" s="12" t="str">
        <f>IF(TOTALCO!M99="", "",TOTALCO!M99)</f>
        <v/>
      </c>
      <c r="N980" s="12">
        <f>IF(TOTALCO!N99="", "",TOTALCO!N99)</f>
        <v>923</v>
      </c>
      <c r="O980" s="12">
        <f>IF(TOTALCO!O99="", "",TOTALCO!O99)</f>
        <v>494</v>
      </c>
      <c r="P980" s="12">
        <f>IF(TOTALCO!P99="", "",TOTALCO!P99)</f>
        <v>429</v>
      </c>
      <c r="Q980" s="12"/>
    </row>
    <row r="981" spans="1:17" ht="15" x14ac:dyDescent="0.2">
      <c r="A981" s="382">
        <f>IF(TOTALCO!A100="", "",TOTALCO!A100)</f>
        <v>9</v>
      </c>
      <c r="B981" s="4" t="str">
        <f>IF(TOTALCO!B100="", "",TOTALCO!B100)</f>
        <v>DIR ASSIGN 904-UNCOLL ACCTS</v>
      </c>
      <c r="C981" s="4" t="str">
        <f>IF(TOTALCO!C100="", "",TOTALCO!C100)</f>
        <v>CUST904</v>
      </c>
      <c r="D981" s="12">
        <f>IF(TOTALCO!D100="", "",TOTALCO!D100)</f>
        <v>747403</v>
      </c>
      <c r="E981" s="12" t="str">
        <f>IF(TOTALCO!E100="", "",TOTALCO!E100)</f>
        <v/>
      </c>
      <c r="F981" s="12">
        <f>IF(TOTALCO!F100="", "",TOTALCO!F100)</f>
        <v>707124</v>
      </c>
      <c r="G981" s="12" t="str">
        <f>IF(TOTALCO!G100="", "",TOTALCO!G100)</f>
        <v/>
      </c>
      <c r="H981" s="12">
        <f>IF(TOTALCO!H100="", "",TOTALCO!H100)</f>
        <v>39349</v>
      </c>
      <c r="I981" s="12">
        <f>IF(TOTALCO!I100="", "",TOTALCO!I100)</f>
        <v>930</v>
      </c>
      <c r="J981" s="12" t="str">
        <f>IF(TOTALCO!J100="", "",TOTALCO!J100)</f>
        <v/>
      </c>
      <c r="K981" s="12" t="str">
        <f>IF(TOTALCO!K100="", "",TOTALCO!K100)</f>
        <v/>
      </c>
      <c r="L981" s="12">
        <f>IF(TOTALCO!L100="", "",TOTALCO!L100)</f>
        <v>7</v>
      </c>
      <c r="M981" s="12" t="str">
        <f>IF(TOTALCO!M100="", "",TOTALCO!M100)</f>
        <v/>
      </c>
      <c r="N981" s="12">
        <f>IF(TOTALCO!N100="", "",TOTALCO!N100)</f>
        <v>923</v>
      </c>
      <c r="O981" s="12">
        <f>IF(TOTALCO!O100="", "",TOTALCO!O100)</f>
        <v>494</v>
      </c>
      <c r="P981" s="12">
        <f>IF(TOTALCO!P100="", "",TOTALCO!P100)</f>
        <v>429</v>
      </c>
      <c r="Q981" s="12"/>
    </row>
    <row r="982" spans="1:17" ht="15" x14ac:dyDescent="0.2">
      <c r="A982" s="382">
        <f>IF(TOTALCO!A101="", "",TOTALCO!A101)</f>
        <v>10</v>
      </c>
      <c r="B982" s="4" t="str">
        <f>IF(TOTALCO!B101="", "",TOTALCO!B101)</f>
        <v>DIR ASSIGN ACCT 369-SERV VA</v>
      </c>
      <c r="C982" s="4" t="str">
        <f>IF(TOTALCO!C101="", "",TOTALCO!C101)</f>
        <v>CUST369V</v>
      </c>
      <c r="D982" s="12">
        <f>IF(TOTALCO!D101="", "",TOTALCO!D101)</f>
        <v>5175445.7300000004</v>
      </c>
      <c r="E982" s="12" t="str">
        <f>IF(TOTALCO!E101="", "",TOTALCO!E101)</f>
        <v/>
      </c>
      <c r="F982" s="12">
        <f>IF(TOTALCO!F101="", "",TOTALCO!F101)</f>
        <v>0</v>
      </c>
      <c r="G982" s="12" t="str">
        <f>IF(TOTALCO!G101="", "",TOTALCO!G101)</f>
        <v/>
      </c>
      <c r="H982" s="12">
        <f>IF(TOTALCO!H101="", "",TOTALCO!H101)</f>
        <v>5175445.7300000004</v>
      </c>
      <c r="I982" s="12">
        <f>IF(TOTALCO!I101="", "",TOTALCO!I101)</f>
        <v>0</v>
      </c>
      <c r="J982" s="12" t="str">
        <f>IF(TOTALCO!J101="", "",TOTALCO!J101)</f>
        <v/>
      </c>
      <c r="K982" s="12" t="str">
        <f>IF(TOTALCO!K101="", "",TOTALCO!K101)</f>
        <v/>
      </c>
      <c r="L982" s="12">
        <f>IF(TOTALCO!L101="", "",TOTALCO!L101)</f>
        <v>0</v>
      </c>
      <c r="M982" s="12" t="str">
        <f>IF(TOTALCO!M101="", "",TOTALCO!M101)</f>
        <v/>
      </c>
      <c r="N982" s="12">
        <f>IF(TOTALCO!N101="", "",TOTALCO!N101)</f>
        <v>0</v>
      </c>
      <c r="O982" s="12">
        <f>IF(TOTALCO!O101="", "",TOTALCO!O101)</f>
        <v>0</v>
      </c>
      <c r="P982" s="12">
        <f>IF(TOTALCO!P101="", "",TOTALCO!P101)</f>
        <v>0</v>
      </c>
      <c r="Q982" s="12"/>
    </row>
    <row r="983" spans="1:17" ht="15" x14ac:dyDescent="0.2">
      <c r="A983" s="382">
        <f>IF(TOTALCO!A102="", "",TOTALCO!A102)</f>
        <v>11</v>
      </c>
      <c r="B983" s="4" t="str">
        <f>IF(TOTALCO!B102="", "",TOTALCO!B102)</f>
        <v>DIR ASSIGN ACCT 370 METERS VA</v>
      </c>
      <c r="C983" s="4" t="str">
        <f>IF(TOTALCO!C102="", "",TOTALCO!C102)</f>
        <v>CUST370V</v>
      </c>
      <c r="D983" s="12">
        <f>IF(TOTALCO!D102="", "",TOTALCO!D102)</f>
        <v>3637511.5</v>
      </c>
      <c r="E983" s="12" t="str">
        <f>IF(TOTALCO!E102="", "",TOTALCO!E102)</f>
        <v/>
      </c>
      <c r="F983" s="12">
        <f>IF(TOTALCO!F102="", "",TOTALCO!F102)</f>
        <v>0</v>
      </c>
      <c r="G983" s="12" t="str">
        <f>IF(TOTALCO!G102="", "",TOTALCO!G102)</f>
        <v/>
      </c>
      <c r="H983" s="12">
        <f>IF(TOTALCO!H102="", "",TOTALCO!H102)</f>
        <v>3637511.5</v>
      </c>
      <c r="I983" s="12">
        <f>IF(TOTALCO!I102="", "",TOTALCO!I102)</f>
        <v>0</v>
      </c>
      <c r="J983" s="12" t="str">
        <f>IF(TOTALCO!J102="", "",TOTALCO!J102)</f>
        <v/>
      </c>
      <c r="K983" s="12" t="str">
        <f>IF(TOTALCO!K102="", "",TOTALCO!K102)</f>
        <v/>
      </c>
      <c r="L983" s="12">
        <f>IF(TOTALCO!L102="", "",TOTALCO!L102)</f>
        <v>0</v>
      </c>
      <c r="M983" s="12" t="str">
        <f>IF(TOTALCO!M102="", "",TOTALCO!M102)</f>
        <v/>
      </c>
      <c r="N983" s="12">
        <f>IF(TOTALCO!N102="", "",TOTALCO!N102)</f>
        <v>0</v>
      </c>
      <c r="O983" s="12">
        <f>IF(TOTALCO!O102="", "",TOTALCO!O102)</f>
        <v>0</v>
      </c>
      <c r="P983" s="12">
        <f>IF(TOTALCO!P102="", "",TOTALCO!P102)</f>
        <v>0</v>
      </c>
      <c r="Q983" s="12"/>
    </row>
    <row r="984" spans="1:17" ht="15" x14ac:dyDescent="0.2">
      <c r="A984" s="382">
        <f>IF(TOTALCO!A103="", "",TOTALCO!A103)</f>
        <v>12</v>
      </c>
      <c r="B984" s="4" t="str">
        <f>IF(TOTALCO!B103="", "",TOTALCO!B103)</f>
        <v>DIR ASSIGN ACCT 371 CUST INST VA</v>
      </c>
      <c r="C984" s="4" t="str">
        <f>IF(TOTALCO!C103="", "",TOTALCO!C103)</f>
        <v>CUST371V</v>
      </c>
      <c r="D984" s="12">
        <f>IF(TOTALCO!D103="", "",TOTALCO!D103)</f>
        <v>856340.66</v>
      </c>
      <c r="E984" s="12" t="str">
        <f>IF(TOTALCO!E103="", "",TOTALCO!E103)</f>
        <v/>
      </c>
      <c r="F984" s="12">
        <f>IF(TOTALCO!F103="", "",TOTALCO!F103)</f>
        <v>0</v>
      </c>
      <c r="G984" s="12" t="str">
        <f>IF(TOTALCO!G103="", "",TOTALCO!G103)</f>
        <v/>
      </c>
      <c r="H984" s="12">
        <f>IF(TOTALCO!H103="", "",TOTALCO!H103)</f>
        <v>856340.66</v>
      </c>
      <c r="I984" s="12">
        <f>IF(TOTALCO!I103="", "",TOTALCO!I103)</f>
        <v>0</v>
      </c>
      <c r="J984" s="12" t="str">
        <f>IF(TOTALCO!J103="", "",TOTALCO!J103)</f>
        <v/>
      </c>
      <c r="K984" s="12" t="str">
        <f>IF(TOTALCO!K103="", "",TOTALCO!K103)</f>
        <v/>
      </c>
      <c r="L984" s="12">
        <f>IF(TOTALCO!L103="", "",TOTALCO!L103)</f>
        <v>0</v>
      </c>
      <c r="M984" s="12" t="str">
        <f>IF(TOTALCO!M103="", "",TOTALCO!M103)</f>
        <v/>
      </c>
      <c r="N984" s="12">
        <f>IF(TOTALCO!N103="", "",TOTALCO!N103)</f>
        <v>0</v>
      </c>
      <c r="O984" s="12">
        <f>IF(TOTALCO!O103="", "",TOTALCO!O103)</f>
        <v>0</v>
      </c>
      <c r="P984" s="12">
        <f>IF(TOTALCO!P103="", "",TOTALCO!P103)</f>
        <v>0</v>
      </c>
      <c r="Q984" s="12"/>
    </row>
    <row r="985" spans="1:17" ht="15" x14ac:dyDescent="0.2">
      <c r="A985" s="382">
        <f>IF(TOTALCO!A104="", "",TOTALCO!A104)</f>
        <v>13</v>
      </c>
      <c r="B985" s="4" t="str">
        <f>IF(TOTALCO!B104="", "",TOTALCO!B104)</f>
        <v>DIR ASGN ACCT 373 ST LIGHT VA</v>
      </c>
      <c r="C985" s="4" t="str">
        <f>IF(TOTALCO!C104="", "",TOTALCO!C104)</f>
        <v>CUST373V</v>
      </c>
      <c r="D985" s="12">
        <f>IF(TOTALCO!D104="", "",TOTALCO!D104)</f>
        <v>2038653.7300000002</v>
      </c>
      <c r="E985" s="12" t="str">
        <f>IF(TOTALCO!E104="", "",TOTALCO!E104)</f>
        <v/>
      </c>
      <c r="F985" s="12">
        <f>IF(TOTALCO!F104="", "",TOTALCO!F104)</f>
        <v>0</v>
      </c>
      <c r="G985" s="12" t="str">
        <f>IF(TOTALCO!G104="", "",TOTALCO!G104)</f>
        <v/>
      </c>
      <c r="H985" s="12">
        <f>IF(TOTALCO!H104="", "",TOTALCO!H104)</f>
        <v>2038653.7300000002</v>
      </c>
      <c r="I985" s="12">
        <f>IF(TOTALCO!I104="", "",TOTALCO!I104)</f>
        <v>0</v>
      </c>
      <c r="J985" s="12" t="str">
        <f>IF(TOTALCO!J104="", "",TOTALCO!J104)</f>
        <v/>
      </c>
      <c r="K985" s="12" t="str">
        <f>IF(TOTALCO!K104="", "",TOTALCO!K104)</f>
        <v/>
      </c>
      <c r="L985" s="12">
        <f>IF(TOTALCO!L104="", "",TOTALCO!L104)</f>
        <v>0</v>
      </c>
      <c r="M985" s="12" t="str">
        <f>IF(TOTALCO!M104="", "",TOTALCO!M104)</f>
        <v/>
      </c>
      <c r="N985" s="12">
        <f>IF(TOTALCO!N104="", "",TOTALCO!N104)</f>
        <v>0</v>
      </c>
      <c r="O985" s="12">
        <f>IF(TOTALCO!O104="", "",TOTALCO!O104)</f>
        <v>0</v>
      </c>
      <c r="P985" s="12">
        <f>IF(TOTALCO!P104="", "",TOTALCO!P104)</f>
        <v>0</v>
      </c>
      <c r="Q985" s="12"/>
    </row>
    <row r="986" spans="1:17" ht="15" x14ac:dyDescent="0.2">
      <c r="A986" s="382">
        <f>IF(TOTALCO!A105="", "",TOTALCO!A105)</f>
        <v>14</v>
      </c>
      <c r="B986" s="4" t="str">
        <f>IF(TOTALCO!B105="", "",TOTALCO!B105)</f>
        <v>DIR ASSIGN 908-CUST ASSIST</v>
      </c>
      <c r="C986" s="4" t="str">
        <f>IF(TOTALCO!C105="", "",TOTALCO!C105)</f>
        <v>CUST908</v>
      </c>
      <c r="D986" s="12">
        <f>IF(TOTALCO!D105="", "",TOTALCO!D105)</f>
        <v>510585</v>
      </c>
      <c r="E986" s="12" t="str">
        <f>IF(TOTALCO!E105="", "",TOTALCO!E105)</f>
        <v/>
      </c>
      <c r="F986" s="12">
        <f>IF(TOTALCO!F105="", "",TOTALCO!F105)</f>
        <v>510585</v>
      </c>
      <c r="G986" s="12" t="str">
        <f>IF(TOTALCO!G105="", "",TOTALCO!G105)</f>
        <v/>
      </c>
      <c r="H986" s="12">
        <f>IF(TOTALCO!H105="", "",TOTALCO!H105)</f>
        <v>0</v>
      </c>
      <c r="I986" s="12">
        <f>IF(TOTALCO!I105="", "",TOTALCO!I105)</f>
        <v>0</v>
      </c>
      <c r="J986" s="12" t="str">
        <f>IF(TOTALCO!J105="", "",TOTALCO!J105)</f>
        <v/>
      </c>
      <c r="K986" s="12" t="str">
        <f>IF(TOTALCO!K105="", "",TOTALCO!K105)</f>
        <v/>
      </c>
      <c r="L986" s="12">
        <f>IF(TOTALCO!L105="", "",TOTALCO!L105)</f>
        <v>0</v>
      </c>
      <c r="M986" s="12" t="str">
        <f>IF(TOTALCO!M105="", "",TOTALCO!M105)</f>
        <v/>
      </c>
      <c r="N986" s="12">
        <f>IF(TOTALCO!N105="", "",TOTALCO!N105)</f>
        <v>0</v>
      </c>
      <c r="O986" s="12">
        <f>IF(TOTALCO!O105="", "",TOTALCO!O105)</f>
        <v>0</v>
      </c>
      <c r="P986" s="12">
        <f>IF(TOTALCO!P105="", "",TOTALCO!P105)</f>
        <v>0</v>
      </c>
      <c r="Q986" s="12"/>
    </row>
    <row r="987" spans="1:17" ht="15" x14ac:dyDescent="0.2">
      <c r="A987" s="382">
        <f>IF(TOTALCO!A106="", "",TOTALCO!A106)</f>
        <v>15</v>
      </c>
      <c r="B987" s="4" t="str">
        <f>IF(TOTALCO!B106="", "",TOTALCO!B106)</f>
        <v>DIR ASSIGN 909-INFO &amp; INSTRCT</v>
      </c>
      <c r="C987" s="4" t="str">
        <f>IF(TOTALCO!C106="", "",TOTALCO!C106)</f>
        <v>CUST909</v>
      </c>
      <c r="D987" s="12">
        <f>IF(TOTALCO!D106="", "",TOTALCO!D106)</f>
        <v>539748</v>
      </c>
      <c r="E987" s="12" t="str">
        <f>IF(TOTALCO!E106="", "",TOTALCO!E106)</f>
        <v/>
      </c>
      <c r="F987" s="12">
        <f>IF(TOTALCO!F106="", "",TOTALCO!F106)</f>
        <v>510585</v>
      </c>
      <c r="G987" s="12" t="str">
        <f>IF(TOTALCO!G106="", "",TOTALCO!G106)</f>
        <v/>
      </c>
      <c r="H987" s="12">
        <f>IF(TOTALCO!H106="", "",TOTALCO!H106)</f>
        <v>29159</v>
      </c>
      <c r="I987" s="12">
        <f>IF(TOTALCO!I106="", "",TOTALCO!I106)</f>
        <v>4</v>
      </c>
      <c r="J987" s="12" t="str">
        <f>IF(TOTALCO!J106="", "",TOTALCO!J106)</f>
        <v/>
      </c>
      <c r="K987" s="12" t="str">
        <f>IF(TOTALCO!K106="", "",TOTALCO!K106)</f>
        <v/>
      </c>
      <c r="L987" s="12">
        <f>IF(TOTALCO!L106="", "",TOTALCO!L106)</f>
        <v>4</v>
      </c>
      <c r="M987" s="12" t="str">
        <f>IF(TOTALCO!M106="", "",TOTALCO!M106)</f>
        <v/>
      </c>
      <c r="N987" s="12">
        <f>IF(TOTALCO!N106="", "",TOTALCO!N106)</f>
        <v>0</v>
      </c>
      <c r="O987" s="12">
        <f>IF(TOTALCO!O106="", "",TOTALCO!O106)</f>
        <v>0</v>
      </c>
      <c r="P987" s="12">
        <f>IF(TOTALCO!P106="", "",TOTALCO!P106)</f>
        <v>0</v>
      </c>
      <c r="Q987" s="12"/>
    </row>
    <row r="988" spans="1:17" ht="15" x14ac:dyDescent="0.2">
      <c r="A988" s="382">
        <f>IF(TOTALCO!A107="", "",TOTALCO!A107)</f>
        <v>16</v>
      </c>
      <c r="B988" s="4" t="str">
        <f>IF(TOTALCO!B107="", "",TOTALCO!B107)</f>
        <v>DIR ASSIGN 912-DEM &amp; SELLING</v>
      </c>
      <c r="C988" s="4" t="str">
        <f>IF(TOTALCO!C107="", "",TOTALCO!C107)</f>
        <v>CUST912</v>
      </c>
      <c r="D988" s="12">
        <f>IF(TOTALCO!D107="", "",TOTALCO!D107)</f>
        <v>539748</v>
      </c>
      <c r="E988" s="12" t="str">
        <f>IF(TOTALCO!E107="", "",TOTALCO!E107)</f>
        <v/>
      </c>
      <c r="F988" s="12">
        <f>IF(TOTALCO!F107="", "",TOTALCO!F107)</f>
        <v>510585</v>
      </c>
      <c r="G988" s="12" t="str">
        <f>IF(TOTALCO!G107="", "",TOTALCO!G107)</f>
        <v/>
      </c>
      <c r="H988" s="12">
        <f>IF(TOTALCO!H107="", "",TOTALCO!H107)</f>
        <v>29159</v>
      </c>
      <c r="I988" s="12">
        <f>IF(TOTALCO!I107="", "",TOTALCO!I107)</f>
        <v>4</v>
      </c>
      <c r="J988" s="12" t="str">
        <f>IF(TOTALCO!J107="", "",TOTALCO!J107)</f>
        <v/>
      </c>
      <c r="K988" s="12" t="str">
        <f>IF(TOTALCO!K107="", "",TOTALCO!K107)</f>
        <v/>
      </c>
      <c r="L988" s="12">
        <f>IF(TOTALCO!L107="", "",TOTALCO!L107)</f>
        <v>4</v>
      </c>
      <c r="M988" s="12" t="str">
        <f>IF(TOTALCO!M107="", "",TOTALCO!M107)</f>
        <v/>
      </c>
      <c r="N988" s="12">
        <f>IF(TOTALCO!N107="", "",TOTALCO!N107)</f>
        <v>0</v>
      </c>
      <c r="O988" s="12">
        <f>IF(TOTALCO!O107="", "",TOTALCO!O107)</f>
        <v>0</v>
      </c>
      <c r="P988" s="12">
        <f>IF(TOTALCO!P107="", "",TOTALCO!P107)</f>
        <v>0</v>
      </c>
      <c r="Q988" s="12"/>
    </row>
    <row r="989" spans="1:17" ht="15" x14ac:dyDescent="0.2">
      <c r="A989" s="382">
        <f>IF(TOTALCO!A108="", "",TOTALCO!A108)</f>
        <v>17</v>
      </c>
      <c r="B989" s="4" t="str">
        <f>IF(TOTALCO!B108="", "",TOTALCO!B108)</f>
        <v>DIR ASSIGN 913-ADVERTISING</v>
      </c>
      <c r="C989" s="4" t="str">
        <f>IF(TOTALCO!C108="", "",TOTALCO!C108)</f>
        <v>CUST913</v>
      </c>
      <c r="D989" s="12">
        <f>IF(TOTALCO!D108="", "",TOTALCO!D108)</f>
        <v>539748</v>
      </c>
      <c r="E989" s="12" t="str">
        <f>IF(TOTALCO!E108="", "",TOTALCO!E108)</f>
        <v/>
      </c>
      <c r="F989" s="12">
        <f>IF(TOTALCO!F108="", "",TOTALCO!F108)</f>
        <v>510585</v>
      </c>
      <c r="G989" s="12" t="str">
        <f>IF(TOTALCO!G108="", "",TOTALCO!G108)</f>
        <v/>
      </c>
      <c r="H989" s="12">
        <f>IF(TOTALCO!H108="", "",TOTALCO!H108)</f>
        <v>29159</v>
      </c>
      <c r="I989" s="12">
        <f>IF(TOTALCO!I108="", "",TOTALCO!I108)</f>
        <v>4</v>
      </c>
      <c r="J989" s="12" t="str">
        <f>IF(TOTALCO!J108="", "",TOTALCO!J108)</f>
        <v/>
      </c>
      <c r="K989" s="12" t="str">
        <f>IF(TOTALCO!K108="", "",TOTALCO!K108)</f>
        <v/>
      </c>
      <c r="L989" s="12">
        <f>IF(TOTALCO!L108="", "",TOTALCO!L108)</f>
        <v>4</v>
      </c>
      <c r="M989" s="12" t="str">
        <f>IF(TOTALCO!M108="", "",TOTALCO!M108)</f>
        <v/>
      </c>
      <c r="N989" s="12">
        <f>IF(TOTALCO!N108="", "",TOTALCO!N108)</f>
        <v>0</v>
      </c>
      <c r="O989" s="12">
        <f>IF(TOTALCO!O108="", "",TOTALCO!O108)</f>
        <v>0</v>
      </c>
      <c r="P989" s="12">
        <f>IF(TOTALCO!P108="", "",TOTALCO!P108)</f>
        <v>0</v>
      </c>
      <c r="Q989" s="12"/>
    </row>
    <row r="990" spans="1:17" ht="15" x14ac:dyDescent="0.2">
      <c r="A990" s="382">
        <f>IF(TOTALCO!A109="", "",TOTALCO!A109)</f>
        <v>18</v>
      </c>
      <c r="B990" s="4" t="str">
        <f>IF(TOTALCO!B109="", "",TOTALCO!B109)</f>
        <v>CUSTOMER ANNUALIZATION</v>
      </c>
      <c r="C990" s="4" t="str">
        <f>IF(TOTALCO!C109="", "",TOTALCO!C109)</f>
        <v>CUSTANN</v>
      </c>
      <c r="D990" s="12">
        <f>IF(TOTALCO!D109="", "",TOTALCO!D109)</f>
        <v>0</v>
      </c>
      <c r="E990" s="12" t="str">
        <f>IF(TOTALCO!E109="", "",TOTALCO!E109)</f>
        <v/>
      </c>
      <c r="F990" s="12">
        <f>IF(TOTALCO!F109="", "",TOTALCO!F109)</f>
        <v>0</v>
      </c>
      <c r="G990" s="12" t="str">
        <f>IF(TOTALCO!G109="", "",TOTALCO!G109)</f>
        <v/>
      </c>
      <c r="H990" s="12">
        <f>IF(TOTALCO!H109="", "",TOTALCO!H109)</f>
        <v>0</v>
      </c>
      <c r="I990" s="12">
        <f>IF(TOTALCO!I109="", "",TOTALCO!I109)</f>
        <v>0</v>
      </c>
      <c r="J990" s="12" t="str">
        <f>IF(TOTALCO!J109="", "",TOTALCO!J109)</f>
        <v/>
      </c>
      <c r="K990" s="12" t="str">
        <f>IF(TOTALCO!K109="", "",TOTALCO!K109)</f>
        <v/>
      </c>
      <c r="L990" s="12">
        <f>IF(TOTALCO!L109="", "",TOTALCO!L109)</f>
        <v>0</v>
      </c>
      <c r="M990" s="12" t="str">
        <f>IF(TOTALCO!M109="", "",TOTALCO!M109)</f>
        <v/>
      </c>
      <c r="N990" s="12">
        <f>IF(TOTALCO!N109="", "",TOTALCO!N109)</f>
        <v>0</v>
      </c>
      <c r="O990" s="12">
        <f>IF(TOTALCO!O109="", "",TOTALCO!O109)</f>
        <v>0</v>
      </c>
      <c r="P990" s="12">
        <f>IF(TOTALCO!P109="", "",TOTALCO!P109)</f>
        <v>0</v>
      </c>
      <c r="Q990" s="12"/>
    </row>
    <row r="991" spans="1:17" ht="15" x14ac:dyDescent="0.2">
      <c r="A991" s="382">
        <f>IF(TOTALCO!A110="", "",TOTALCO!A110)</f>
        <v>19</v>
      </c>
      <c r="B991" s="4" t="str">
        <f>IF(TOTALCO!B110="", "",TOTALCO!B110)</f>
        <v>CUSTOMER DEPOSITS INTEREST</v>
      </c>
      <c r="C991" s="4" t="str">
        <f>IF(TOTALCO!C110="", "",TOTALCO!C110)</f>
        <v>CUSTDEPI</v>
      </c>
      <c r="D991" s="12">
        <f>IF(TOTALCO!D110="", "",TOTALCO!D110)</f>
        <v>1373105.57</v>
      </c>
      <c r="E991" s="12" t="str">
        <f>IF(TOTALCO!E110="", "",TOTALCO!E110)</f>
        <v/>
      </c>
      <c r="F991" s="12">
        <f>IF(TOTALCO!F110="", "",TOTALCO!F110)</f>
        <v>1371386.12</v>
      </c>
      <c r="G991" s="12" t="str">
        <f>IF(TOTALCO!G110="", "",TOTALCO!G110)</f>
        <v/>
      </c>
      <c r="H991" s="12">
        <f>IF(TOTALCO!H110="", "",TOTALCO!H110)</f>
        <v>1719.45</v>
      </c>
      <c r="I991" s="12">
        <f>IF(TOTALCO!I110="", "",TOTALCO!I110)</f>
        <v>0</v>
      </c>
      <c r="J991" s="12" t="str">
        <f>IF(TOTALCO!J110="", "",TOTALCO!J110)</f>
        <v/>
      </c>
      <c r="K991" s="12" t="str">
        <f>IF(TOTALCO!K110="", "",TOTALCO!K110)</f>
        <v/>
      </c>
      <c r="L991" s="12">
        <f>IF(TOTALCO!L110="", "",TOTALCO!L110)</f>
        <v>0</v>
      </c>
      <c r="M991" s="12" t="str">
        <f>IF(TOTALCO!M110="", "",TOTALCO!M110)</f>
        <v/>
      </c>
      <c r="N991" s="12">
        <f>IF(TOTALCO!N110="", "",TOTALCO!N110)</f>
        <v>0</v>
      </c>
      <c r="O991" s="12">
        <f>IF(TOTALCO!O110="", "",TOTALCO!O110)</f>
        <v>0</v>
      </c>
      <c r="P991" s="12">
        <f>IF(TOTALCO!P110="", "",TOTALCO!P110)</f>
        <v>0</v>
      </c>
      <c r="Q991" s="12"/>
    </row>
    <row r="992" spans="1:17" ht="15" x14ac:dyDescent="0.2">
      <c r="A992" s="382">
        <f>IF(TOTALCO!A111="", "",TOTALCO!A111)</f>
        <v>20</v>
      </c>
      <c r="B992" s="4" t="str">
        <f>IF(TOTALCO!B111="", "",TOTALCO!B111)</f>
        <v>DIR ASSIGN LATE PAYMENT REVENUE</v>
      </c>
      <c r="C992" s="4" t="str">
        <f>IF(TOTALCO!C111="", "",TOTALCO!C111)</f>
        <v>DIR450REV</v>
      </c>
      <c r="D992" s="12">
        <f>IF(TOTALCO!D111="", "",TOTALCO!D111)</f>
        <v>7125785.6200000001</v>
      </c>
      <c r="E992" s="12" t="str">
        <f>IF(TOTALCO!E111="", "",TOTALCO!E111)</f>
        <v/>
      </c>
      <c r="F992" s="12">
        <f>IF(TOTALCO!F111="", "",TOTALCO!F111)</f>
        <v>6910623.6100000003</v>
      </c>
      <c r="G992" s="12" t="str">
        <f>IF(TOTALCO!G111="", "",TOTALCO!G111)</f>
        <v/>
      </c>
      <c r="H992" s="12">
        <f>IF(TOTALCO!H111="", "",TOTALCO!H111)</f>
        <v>213936.54</v>
      </c>
      <c r="I992" s="12">
        <f>IF(TOTALCO!I111="", "",TOTALCO!I111)</f>
        <v>1225.47</v>
      </c>
      <c r="J992" s="12" t="str">
        <f>IF(TOTALCO!J111="", "",TOTALCO!J111)</f>
        <v/>
      </c>
      <c r="K992" s="12" t="str">
        <f>IF(TOTALCO!K111="", "",TOTALCO!K111)</f>
        <v/>
      </c>
      <c r="L992" s="12">
        <f>IF(TOTALCO!L111="", "",TOTALCO!L111)</f>
        <v>0</v>
      </c>
      <c r="M992" s="12" t="str">
        <f>IF(TOTALCO!M111="", "",TOTALCO!M111)</f>
        <v/>
      </c>
      <c r="N992" s="12">
        <f>IF(TOTALCO!N111="", "",TOTALCO!N111)</f>
        <v>1225.47</v>
      </c>
      <c r="O992" s="12">
        <f>IF(TOTALCO!O111="", "",TOTALCO!O111)</f>
        <v>1198.6500000000001</v>
      </c>
      <c r="P992" s="12">
        <f>IF(TOTALCO!P111="", "",TOTALCO!P111)</f>
        <v>26.82</v>
      </c>
      <c r="Q992" s="12"/>
    </row>
    <row r="993" spans="1:17" ht="15" x14ac:dyDescent="0.2">
      <c r="A993" s="382">
        <f>IF(TOTALCO!A112="", "",TOTALCO!A112)</f>
        <v>21</v>
      </c>
      <c r="B993" s="4" t="str">
        <f>IF(TOTALCO!B112="", "",TOTALCO!B112)</f>
        <v/>
      </c>
      <c r="C993" s="4" t="str">
        <f>IF(TOTALCO!C112="", "",TOTALCO!C112)</f>
        <v/>
      </c>
      <c r="D993" s="12" t="str">
        <f>IF(TOTALCO!D112="", "",TOTALCO!D112)</f>
        <v/>
      </c>
      <c r="E993" s="12" t="str">
        <f>IF(TOTALCO!E112="", "",TOTALCO!E112)</f>
        <v/>
      </c>
      <c r="F993" s="12" t="str">
        <f>IF(TOTALCO!F112="", "",TOTALCO!F112)</f>
        <v/>
      </c>
      <c r="G993" s="12" t="str">
        <f>IF(TOTALCO!G112="", "",TOTALCO!G112)</f>
        <v/>
      </c>
      <c r="H993" s="12" t="str">
        <f>IF(TOTALCO!H112="", "",TOTALCO!H112)</f>
        <v/>
      </c>
      <c r="I993" s="12" t="str">
        <f>IF(TOTALCO!I112="", "",TOTALCO!I112)</f>
        <v/>
      </c>
      <c r="J993" s="12" t="str">
        <f>IF(TOTALCO!J112="", "",TOTALCO!J112)</f>
        <v/>
      </c>
      <c r="K993" s="12" t="str">
        <f>IF(TOTALCO!K112="", "",TOTALCO!K112)</f>
        <v/>
      </c>
      <c r="L993" s="12" t="str">
        <f>IF(TOTALCO!L112="", "",TOTALCO!L112)</f>
        <v/>
      </c>
      <c r="M993" s="12" t="str">
        <f>IF(TOTALCO!M112="", "",TOTALCO!M112)</f>
        <v/>
      </c>
      <c r="N993" s="12" t="str">
        <f>IF(TOTALCO!N112="", "",TOTALCO!N112)</f>
        <v/>
      </c>
      <c r="O993" s="12" t="str">
        <f>IF(TOTALCO!O112="", "",TOTALCO!O112)</f>
        <v/>
      </c>
      <c r="P993" s="12" t="str">
        <f>IF(TOTALCO!P112="", "",TOTALCO!P112)</f>
        <v/>
      </c>
      <c r="Q993" s="12"/>
    </row>
    <row r="994" spans="1:17" ht="15" x14ac:dyDescent="0.2">
      <c r="A994" s="382">
        <f>IF(TOTALCO!A113="", "",TOTALCO!A113)</f>
        <v>22</v>
      </c>
      <c r="B994" s="4" t="str">
        <f>IF(TOTALCO!B113="", "",TOTALCO!B113)</f>
        <v/>
      </c>
      <c r="C994" s="4" t="str">
        <f>IF(TOTALCO!C113="", "",TOTALCO!C113)</f>
        <v/>
      </c>
      <c r="D994" s="12" t="str">
        <f>IF(TOTALCO!D113="", "",TOTALCO!D113)</f>
        <v/>
      </c>
      <c r="E994" s="12" t="str">
        <f>IF(TOTALCO!E113="", "",TOTALCO!E113)</f>
        <v/>
      </c>
      <c r="F994" s="12" t="str">
        <f>IF(TOTALCO!F113="", "",TOTALCO!F113)</f>
        <v/>
      </c>
      <c r="G994" s="12" t="str">
        <f>IF(TOTALCO!G113="", "",TOTALCO!G113)</f>
        <v/>
      </c>
      <c r="H994" s="12" t="str">
        <f>IF(TOTALCO!H113="", "",TOTALCO!H113)</f>
        <v/>
      </c>
      <c r="I994" s="12" t="str">
        <f>IF(TOTALCO!I113="", "",TOTALCO!I113)</f>
        <v/>
      </c>
      <c r="J994" s="12" t="str">
        <f>IF(TOTALCO!J113="", "",TOTALCO!J113)</f>
        <v/>
      </c>
      <c r="K994" s="12" t="str">
        <f>IF(TOTALCO!K113="", "",TOTALCO!K113)</f>
        <v/>
      </c>
      <c r="L994" s="12" t="str">
        <f>IF(TOTALCO!L113="", "",TOTALCO!L113)</f>
        <v/>
      </c>
      <c r="M994" s="12" t="str">
        <f>IF(TOTALCO!M113="", "",TOTALCO!M113)</f>
        <v/>
      </c>
      <c r="N994" s="12" t="str">
        <f>IF(TOTALCO!N113="", "",TOTALCO!N113)</f>
        <v/>
      </c>
      <c r="O994" s="12" t="str">
        <f>IF(TOTALCO!O113="", "",TOTALCO!O113)</f>
        <v/>
      </c>
      <c r="P994" s="12" t="str">
        <f>IF(TOTALCO!P113="", "",TOTALCO!P113)</f>
        <v/>
      </c>
      <c r="Q994" s="12"/>
    </row>
    <row r="995" spans="1:17" ht="15" x14ac:dyDescent="0.2">
      <c r="A995" s="382">
        <f>IF(TOTALCO!A114="", "",TOTALCO!A114)</f>
        <v>23</v>
      </c>
      <c r="B995" s="4" t="str">
        <f>IF(TOTALCO!B114="", "",TOTALCO!B114)</f>
        <v/>
      </c>
      <c r="C995" s="4" t="str">
        <f>IF(TOTALCO!C114="", "",TOTALCO!C114)</f>
        <v/>
      </c>
      <c r="D995" s="12" t="str">
        <f>IF(TOTALCO!D114="", "",TOTALCO!D114)</f>
        <v/>
      </c>
      <c r="E995" s="12" t="str">
        <f>IF(TOTALCO!E114="", "",TOTALCO!E114)</f>
        <v/>
      </c>
      <c r="F995" s="12" t="str">
        <f>IF(TOTALCO!F114="", "",TOTALCO!F114)</f>
        <v/>
      </c>
      <c r="G995" s="12" t="str">
        <f>IF(TOTALCO!G114="", "",TOTALCO!G114)</f>
        <v/>
      </c>
      <c r="H995" s="12" t="str">
        <f>IF(TOTALCO!H114="", "",TOTALCO!H114)</f>
        <v/>
      </c>
      <c r="I995" s="12" t="str">
        <f>IF(TOTALCO!I114="", "",TOTALCO!I114)</f>
        <v/>
      </c>
      <c r="J995" s="12" t="str">
        <f>IF(TOTALCO!J114="", "",TOTALCO!J114)</f>
        <v/>
      </c>
      <c r="K995" s="12" t="str">
        <f>IF(TOTALCO!K114="", "",TOTALCO!K114)</f>
        <v/>
      </c>
      <c r="L995" s="12" t="str">
        <f>IF(TOTALCO!L114="", "",TOTALCO!L114)</f>
        <v/>
      </c>
      <c r="M995" s="12" t="str">
        <f>IF(TOTALCO!M114="", "",TOTALCO!M114)</f>
        <v/>
      </c>
      <c r="N995" s="12" t="str">
        <f>IF(TOTALCO!N114="", "",TOTALCO!N114)</f>
        <v/>
      </c>
      <c r="O995" s="12" t="str">
        <f>IF(TOTALCO!O114="", "",TOTALCO!O114)</f>
        <v/>
      </c>
      <c r="P995" s="12" t="str">
        <f>IF(TOTALCO!P114="", "",TOTALCO!P114)</f>
        <v/>
      </c>
      <c r="Q995" s="12"/>
    </row>
    <row r="996" spans="1:17" ht="15" x14ac:dyDescent="0.2">
      <c r="A996" s="382">
        <f>IF(TOTALCO!A115="", "",TOTALCO!A115)</f>
        <v>24</v>
      </c>
      <c r="B996" s="4" t="str">
        <f>IF(TOTALCO!B115="", "",TOTALCO!B115)</f>
        <v/>
      </c>
      <c r="C996" s="4" t="str">
        <f>IF(TOTALCO!C115="", "",TOTALCO!C115)</f>
        <v/>
      </c>
      <c r="D996" s="12" t="str">
        <f>IF(TOTALCO!D115="", "",TOTALCO!D115)</f>
        <v/>
      </c>
      <c r="E996" s="12" t="str">
        <f>IF(TOTALCO!E115="", "",TOTALCO!E115)</f>
        <v/>
      </c>
      <c r="F996" s="12" t="str">
        <f>IF(TOTALCO!F115="", "",TOTALCO!F115)</f>
        <v/>
      </c>
      <c r="G996" s="12" t="str">
        <f>IF(TOTALCO!G115="", "",TOTALCO!G115)</f>
        <v/>
      </c>
      <c r="H996" s="12" t="str">
        <f>IF(TOTALCO!H115="", "",TOTALCO!H115)</f>
        <v/>
      </c>
      <c r="I996" s="12" t="str">
        <f>IF(TOTALCO!I115="", "",TOTALCO!I115)</f>
        <v/>
      </c>
      <c r="J996" s="12" t="str">
        <f>IF(TOTALCO!J115="", "",TOTALCO!J115)</f>
        <v/>
      </c>
      <c r="K996" s="12" t="str">
        <f>IF(TOTALCO!K115="", "",TOTALCO!K115)</f>
        <v/>
      </c>
      <c r="L996" s="12" t="str">
        <f>IF(TOTALCO!L115="", "",TOTALCO!L115)</f>
        <v/>
      </c>
      <c r="M996" s="12" t="str">
        <f>IF(TOTALCO!M115="", "",TOTALCO!M115)</f>
        <v/>
      </c>
      <c r="N996" s="12" t="str">
        <f>IF(TOTALCO!N115="", "",TOTALCO!N115)</f>
        <v/>
      </c>
      <c r="O996" s="12" t="str">
        <f>IF(TOTALCO!O115="", "",TOTALCO!O115)</f>
        <v/>
      </c>
      <c r="P996" s="12" t="str">
        <f>IF(TOTALCO!P115="", "",TOTALCO!P115)</f>
        <v/>
      </c>
      <c r="Q996" s="12"/>
    </row>
    <row r="997" spans="1:17" ht="15" x14ac:dyDescent="0.2">
      <c r="A997" s="382">
        <f>IF(TOTALCO!A116="", "",TOTALCO!A116)</f>
        <v>25</v>
      </c>
      <c r="B997" s="4" t="str">
        <f>IF(TOTALCO!B116="", "",TOTALCO!B116)</f>
        <v/>
      </c>
      <c r="C997" s="4" t="str">
        <f>IF(TOTALCO!C116="", "",TOTALCO!C116)</f>
        <v/>
      </c>
      <c r="D997" s="12" t="str">
        <f>IF(TOTALCO!D116="", "",TOTALCO!D116)</f>
        <v/>
      </c>
      <c r="E997" s="12" t="str">
        <f>IF(TOTALCO!E116="", "",TOTALCO!E116)</f>
        <v/>
      </c>
      <c r="F997" s="12" t="str">
        <f>IF(TOTALCO!F116="", "",TOTALCO!F116)</f>
        <v/>
      </c>
      <c r="G997" s="12" t="str">
        <f>IF(TOTALCO!G116="", "",TOTALCO!G116)</f>
        <v/>
      </c>
      <c r="H997" s="12" t="str">
        <f>IF(TOTALCO!H116="", "",TOTALCO!H116)</f>
        <v/>
      </c>
      <c r="I997" s="12" t="str">
        <f>IF(TOTALCO!I116="", "",TOTALCO!I116)</f>
        <v/>
      </c>
      <c r="J997" s="12" t="str">
        <f>IF(TOTALCO!J116="", "",TOTALCO!J116)</f>
        <v/>
      </c>
      <c r="K997" s="12" t="str">
        <f>IF(TOTALCO!K116="", "",TOTALCO!K116)</f>
        <v/>
      </c>
      <c r="L997" s="12" t="str">
        <f>IF(TOTALCO!L116="", "",TOTALCO!L116)</f>
        <v/>
      </c>
      <c r="M997" s="12" t="str">
        <f>IF(TOTALCO!M116="", "",TOTALCO!M116)</f>
        <v/>
      </c>
      <c r="N997" s="12" t="str">
        <f>IF(TOTALCO!N116="", "",TOTALCO!N116)</f>
        <v/>
      </c>
      <c r="O997" s="12" t="str">
        <f>IF(TOTALCO!O116="", "",TOTALCO!O116)</f>
        <v/>
      </c>
      <c r="P997" s="12" t="str">
        <f>IF(TOTALCO!P116="", "",TOTALCO!P116)</f>
        <v/>
      </c>
      <c r="Q997" s="12"/>
    </row>
    <row r="998" spans="1:17" ht="15" x14ac:dyDescent="0.2">
      <c r="A998" s="382" t="str">
        <f>IF(TOTALCO!A117="", "",TOTALCO!A117)</f>
        <v/>
      </c>
      <c r="B998" s="4" t="str">
        <f>IF(TOTALCO!B117="", "",TOTALCO!B117)</f>
        <v/>
      </c>
      <c r="C998" s="4" t="str">
        <f>IF(TOTALCO!C117="", "",TOTALCO!C117)</f>
        <v/>
      </c>
      <c r="D998" s="12" t="str">
        <f>IF(TOTALCO!D117="", "",TOTALCO!D117)</f>
        <v/>
      </c>
      <c r="E998" s="12" t="str">
        <f>IF(TOTALCO!E117="", "",TOTALCO!E117)</f>
        <v/>
      </c>
      <c r="F998" s="12" t="str">
        <f>IF(TOTALCO!F117="", "",TOTALCO!F117)</f>
        <v/>
      </c>
      <c r="G998" s="12" t="str">
        <f>IF(TOTALCO!G117="", "",TOTALCO!G117)</f>
        <v/>
      </c>
      <c r="H998" s="12" t="str">
        <f>IF(TOTALCO!H117="", "",TOTALCO!H117)</f>
        <v/>
      </c>
      <c r="I998" s="12" t="str">
        <f>IF(TOTALCO!I117="", "",TOTALCO!I117)</f>
        <v/>
      </c>
      <c r="J998" s="12" t="str">
        <f>IF(TOTALCO!J117="", "",TOTALCO!J117)</f>
        <v/>
      </c>
      <c r="K998" s="12" t="str">
        <f>IF(TOTALCO!K117="", "",TOTALCO!K117)</f>
        <v/>
      </c>
      <c r="L998" s="12" t="str">
        <f>IF(TOTALCO!L117="", "",TOTALCO!L117)</f>
        <v/>
      </c>
      <c r="M998" s="12" t="str">
        <f>IF(TOTALCO!M117="", "",TOTALCO!M117)</f>
        <v/>
      </c>
      <c r="N998" s="12" t="str">
        <f>IF(TOTALCO!N117="", "",TOTALCO!N117)</f>
        <v/>
      </c>
      <c r="O998" s="12" t="str">
        <f>IF(TOTALCO!O117="", "",TOTALCO!O117)</f>
        <v/>
      </c>
      <c r="P998" s="12" t="str">
        <f>IF(TOTALCO!P117="", "",TOTALCO!P117)</f>
        <v/>
      </c>
      <c r="Q998" s="12"/>
    </row>
    <row r="999" spans="1:17" ht="15" x14ac:dyDescent="0.2">
      <c r="A999" s="382" t="str">
        <f>IF(TOTALCO!A118="", "",TOTALCO!A118)</f>
        <v/>
      </c>
      <c r="B999" s="4" t="str">
        <f>IF(TOTALCO!B118="", "",TOTALCO!B118)</f>
        <v>INTERNALLY DEVELOPED</v>
      </c>
      <c r="C999" s="4" t="str">
        <f>IF(TOTALCO!C118="", "",TOTALCO!C118)</f>
        <v/>
      </c>
      <c r="D999" s="12" t="str">
        <f>IF(TOTALCO!D118="", "",TOTALCO!D118)</f>
        <v/>
      </c>
      <c r="E999" s="12" t="str">
        <f>IF(TOTALCO!E118="", "",TOTALCO!E118)</f>
        <v/>
      </c>
      <c r="F999" s="12" t="str">
        <f>IF(TOTALCO!F118="", "",TOTALCO!F118)</f>
        <v/>
      </c>
      <c r="G999" s="12" t="str">
        <f>IF(TOTALCO!G118="", "",TOTALCO!G118)</f>
        <v/>
      </c>
      <c r="H999" s="12" t="str">
        <f>IF(TOTALCO!H118="", "",TOTALCO!H118)</f>
        <v/>
      </c>
      <c r="I999" s="12" t="str">
        <f>IF(TOTALCO!I118="", "",TOTALCO!I118)</f>
        <v/>
      </c>
      <c r="J999" s="12" t="str">
        <f>IF(TOTALCO!J118="", "",TOTALCO!J118)</f>
        <v/>
      </c>
      <c r="K999" s="12" t="str">
        <f>IF(TOTALCO!K118="", "",TOTALCO!K118)</f>
        <v/>
      </c>
      <c r="L999" s="12" t="str">
        <f>IF(TOTALCO!L118="", "",TOTALCO!L118)</f>
        <v/>
      </c>
      <c r="M999" s="12" t="str">
        <f>IF(TOTALCO!M118="", "",TOTALCO!M118)</f>
        <v/>
      </c>
      <c r="N999" s="12" t="str">
        <f>IF(TOTALCO!N118="", "",TOTALCO!N118)</f>
        <v/>
      </c>
      <c r="O999" s="12" t="str">
        <f>IF(TOTALCO!O118="", "",TOTALCO!O118)</f>
        <v/>
      </c>
      <c r="P999" s="12" t="str">
        <f>IF(TOTALCO!P118="", "",TOTALCO!P118)</f>
        <v/>
      </c>
      <c r="Q999" s="12"/>
    </row>
    <row r="1000" spans="1:17" ht="15" x14ac:dyDescent="0.2">
      <c r="A1000" s="382" t="str">
        <f>IF(TOTALCO!A119="", "",TOTALCO!A119)</f>
        <v/>
      </c>
      <c r="B1000" s="4" t="str">
        <f>IF(TOTALCO!B119="", "",TOTALCO!B119)</f>
        <v>-</v>
      </c>
      <c r="C1000" s="4" t="str">
        <f>IF(TOTALCO!C119="", "",TOTALCO!C119)</f>
        <v/>
      </c>
      <c r="D1000" s="12" t="str">
        <f>IF(TOTALCO!D119="", "",TOTALCO!D119)</f>
        <v/>
      </c>
      <c r="E1000" s="12" t="str">
        <f>IF(TOTALCO!E119="", "",TOTALCO!E119)</f>
        <v/>
      </c>
      <c r="F1000" s="12" t="str">
        <f>IF(TOTALCO!F119="", "",TOTALCO!F119)</f>
        <v/>
      </c>
      <c r="G1000" s="12" t="str">
        <f>IF(TOTALCO!G119="", "",TOTALCO!G119)</f>
        <v/>
      </c>
      <c r="H1000" s="12" t="str">
        <f>IF(TOTALCO!H119="", "",TOTALCO!H119)</f>
        <v/>
      </c>
      <c r="I1000" s="12" t="str">
        <f>IF(TOTALCO!I119="", "",TOTALCO!I119)</f>
        <v/>
      </c>
      <c r="J1000" s="12" t="str">
        <f>IF(TOTALCO!J119="", "",TOTALCO!J119)</f>
        <v/>
      </c>
      <c r="K1000" s="12" t="str">
        <f>IF(TOTALCO!K119="", "",TOTALCO!K119)</f>
        <v/>
      </c>
      <c r="L1000" s="12" t="str">
        <f>IF(TOTALCO!L119="", "",TOTALCO!L119)</f>
        <v/>
      </c>
      <c r="M1000" s="12" t="str">
        <f>IF(TOTALCO!M119="", "",TOTALCO!M119)</f>
        <v/>
      </c>
      <c r="N1000" s="12" t="str">
        <f>IF(TOTALCO!N119="", "",TOTALCO!N119)</f>
        <v/>
      </c>
      <c r="O1000" s="12" t="str">
        <f>IF(TOTALCO!O119="", "",TOTALCO!O119)</f>
        <v/>
      </c>
      <c r="P1000" s="12" t="str">
        <f>IF(TOTALCO!P119="", "",TOTALCO!P119)</f>
        <v/>
      </c>
      <c r="Q1000" s="12"/>
    </row>
    <row r="1001" spans="1:17" ht="15" x14ac:dyDescent="0.2">
      <c r="A1001" s="382">
        <f>IF(TOTALCO!A120="", "",TOTALCO!A120)</f>
        <v>1</v>
      </c>
      <c r="B1001" s="4" t="str">
        <f>IF(TOTALCO!B120="", "",TOTALCO!B120)</f>
        <v>PROD-TRANSM-DISTR-GENL PLT</v>
      </c>
      <c r="C1001" s="4" t="str">
        <f>IF(TOTALCO!C120="", "",TOTALCO!C120)</f>
        <v>PTDGPLT</v>
      </c>
      <c r="D1001" s="12">
        <f ca="1">IF(TOTALCO!D120="", "",TOTALCO!D120)</f>
        <v>6432365889.4400005</v>
      </c>
      <c r="E1001" s="12" t="str">
        <f>IF(TOTALCO!E120="", "",TOTALCO!E120)</f>
        <v/>
      </c>
      <c r="F1001" s="12">
        <f ca="1">IF(TOTALCO!F120="", "",TOTALCO!F120)</f>
        <v>5600621961.9331312</v>
      </c>
      <c r="G1001" s="12" t="str">
        <f>IF(TOTALCO!G120="", "",TOTALCO!G120)</f>
        <v/>
      </c>
      <c r="H1001" s="12">
        <f ca="1">IF(TOTALCO!H120="", "",TOTALCO!H120)</f>
        <v>382047373.28013313</v>
      </c>
      <c r="I1001" s="12">
        <f ca="1">IF(TOTALCO!I120="", "",TOTALCO!I120)</f>
        <v>449696554.22673637</v>
      </c>
      <c r="J1001" s="12" t="str">
        <f>IF(TOTALCO!J120="", "",TOTALCO!J120)</f>
        <v/>
      </c>
      <c r="K1001" s="12" t="str">
        <f>IF(TOTALCO!K120="", "",TOTALCO!K120)</f>
        <v/>
      </c>
      <c r="L1001" s="12">
        <f ca="1">IF(TOTALCO!L120="", "",TOTALCO!L120)</f>
        <v>202827.6617100786</v>
      </c>
      <c r="M1001" s="12" t="str">
        <f>IF(TOTALCO!M120="", "",TOTALCO!M120)</f>
        <v/>
      </c>
      <c r="N1001" s="12">
        <f ca="1">IF(TOTALCO!N120="", "",TOTALCO!N120)</f>
        <v>449493726.56502628</v>
      </c>
      <c r="O1001" s="12">
        <f ca="1">IF(TOTALCO!O120="", "",TOTALCO!O120)</f>
        <v>142719287.58349487</v>
      </c>
      <c r="P1001" s="12">
        <f ca="1">IF(TOTALCO!P120="", "",TOTALCO!P120)</f>
        <v>306774438.98153138</v>
      </c>
      <c r="Q1001" s="12"/>
    </row>
    <row r="1002" spans="1:17" ht="15" x14ac:dyDescent="0.2">
      <c r="A1002" s="382">
        <f>IF(TOTALCO!A121="", "",TOTALCO!A121)</f>
        <v>2</v>
      </c>
      <c r="B1002" s="4" t="str">
        <f>IF(TOTALCO!B121="", "",TOTALCO!B121)</f>
        <v>PROD-TRANSM-DISTR-GENL PLT KY</v>
      </c>
      <c r="C1002" s="4" t="str">
        <f>IF(TOTALCO!C121="", "",TOTALCO!C121)</f>
        <v>KURETPLT</v>
      </c>
      <c r="D1002" s="12">
        <f ca="1">IF(TOTALCO!D121="", "",TOTALCO!D121)</f>
        <v>5600621961.9331312</v>
      </c>
      <c r="E1002" s="12" t="str">
        <f>IF(TOTALCO!E121="", "",TOTALCO!E121)</f>
        <v/>
      </c>
      <c r="F1002" s="12">
        <f ca="1">IF(TOTALCO!F121="", "",TOTALCO!F121)</f>
        <v>5600621961.9331312</v>
      </c>
      <c r="G1002" s="12" t="str">
        <f>IF(TOTALCO!G121="", "",TOTALCO!G121)</f>
        <v/>
      </c>
      <c r="H1002" s="12">
        <f>IF(TOTALCO!H121="", "",TOTALCO!H121)</f>
        <v>0</v>
      </c>
      <c r="I1002" s="12">
        <f>IF(TOTALCO!I121="", "",TOTALCO!I121)</f>
        <v>0</v>
      </c>
      <c r="J1002" s="12" t="str">
        <f>IF(TOTALCO!J121="", "",TOTALCO!J121)</f>
        <v/>
      </c>
      <c r="K1002" s="12" t="str">
        <f>IF(TOTALCO!K121="", "",TOTALCO!K121)</f>
        <v/>
      </c>
      <c r="L1002" s="12">
        <f>IF(TOTALCO!L121="", "",TOTALCO!L121)</f>
        <v>0</v>
      </c>
      <c r="M1002" s="12" t="str">
        <f>IF(TOTALCO!M121="", "",TOTALCO!M121)</f>
        <v/>
      </c>
      <c r="N1002" s="12">
        <f>IF(TOTALCO!N121="", "",TOTALCO!N121)</f>
        <v>0</v>
      </c>
      <c r="O1002" s="12">
        <f>IF(TOTALCO!O121="", "",TOTALCO!O121)</f>
        <v>0</v>
      </c>
      <c r="P1002" s="12">
        <f>IF(TOTALCO!P121="", "",TOTALCO!P121)</f>
        <v>0</v>
      </c>
      <c r="Q1002" s="12"/>
    </row>
    <row r="1003" spans="1:17" ht="15" x14ac:dyDescent="0.2">
      <c r="A1003" s="382">
        <f>IF(TOTALCO!A122="", "",TOTALCO!A122)</f>
        <v>3</v>
      </c>
      <c r="B1003" s="4" t="str">
        <f>IF(TOTALCO!B122="", "",TOTALCO!B122)</f>
        <v>ALLOCATED O&amp;M LABOR EXPENSE</v>
      </c>
      <c r="C1003" s="4" t="str">
        <f>IF(TOTALCO!C122="", "",TOTALCO!C122)</f>
        <v>LABOR</v>
      </c>
      <c r="D1003" s="12">
        <f ca="1">IF(TOTALCO!D122="", "",TOTALCO!D122)</f>
        <v>152351955.20000002</v>
      </c>
      <c r="E1003" s="12" t="str">
        <f>IF(TOTALCO!E122="", "",TOTALCO!E122)</f>
        <v/>
      </c>
      <c r="F1003" s="12">
        <f ca="1">IF(TOTALCO!F122="", "",TOTALCO!F122)</f>
        <v>135498603.05840206</v>
      </c>
      <c r="G1003" s="12" t="str">
        <f>IF(TOTALCO!G122="", "",TOTALCO!G122)</f>
        <v/>
      </c>
      <c r="H1003" s="12">
        <f ca="1">IF(TOTALCO!H122="", "",TOTALCO!H122)</f>
        <v>8347818.5386006702</v>
      </c>
      <c r="I1003" s="12">
        <f ca="1">IF(TOTALCO!I122="", "",TOTALCO!I122)</f>
        <v>8505533.6029972769</v>
      </c>
      <c r="J1003" s="12" t="str">
        <f>IF(TOTALCO!J122="", "",TOTALCO!J122)</f>
        <v/>
      </c>
      <c r="K1003" s="12" t="str">
        <f>IF(TOTALCO!K122="", "",TOTALCO!K122)</f>
        <v/>
      </c>
      <c r="L1003" s="12">
        <f ca="1">IF(TOTALCO!L122="", "",TOTALCO!L122)</f>
        <v>4676.9964247401913</v>
      </c>
      <c r="M1003" s="12" t="str">
        <f>IF(TOTALCO!M122="", "",TOTALCO!M122)</f>
        <v/>
      </c>
      <c r="N1003" s="12">
        <f ca="1">IF(TOTALCO!N122="", "",TOTALCO!N122)</f>
        <v>8500856.6065725368</v>
      </c>
      <c r="O1003" s="12">
        <f ca="1">IF(TOTALCO!O122="", "",TOTALCO!O122)</f>
        <v>2761610.0696142744</v>
      </c>
      <c r="P1003" s="12">
        <f ca="1">IF(TOTALCO!P122="", "",TOTALCO!P122)</f>
        <v>5739246.5369582623</v>
      </c>
      <c r="Q1003" s="12"/>
    </row>
    <row r="1004" spans="1:17" ht="15" x14ac:dyDescent="0.2">
      <c r="A1004" s="382">
        <f>IF(TOTALCO!A123="", "",TOTALCO!A123)</f>
        <v>4</v>
      </c>
      <c r="B1004" s="4" t="str">
        <f>IF(TOTALCO!B123="", "",TOTALCO!B123)</f>
        <v>TOTAL STEAM PROD PLANT-SYSTEM</v>
      </c>
      <c r="C1004" s="4" t="str">
        <f>IF(TOTALCO!C123="", "",TOTALCO!C123)</f>
        <v>STMSYS</v>
      </c>
      <c r="D1004" s="12">
        <f ca="1">IF(TOTALCO!D123="", "",TOTALCO!D123)</f>
        <v>3588357601.6400008</v>
      </c>
      <c r="E1004" s="12" t="str">
        <f>IF(TOTALCO!E123="", "",TOTALCO!E123)</f>
        <v/>
      </c>
      <c r="F1004" s="12">
        <f ca="1">IF(TOTALCO!F123="", "",TOTALCO!F123)</f>
        <v>3105688241.9405155</v>
      </c>
      <c r="G1004" s="12" t="str">
        <f>IF(TOTALCO!G123="", "",TOTALCO!G123)</f>
        <v/>
      </c>
      <c r="H1004" s="12">
        <f ca="1">IF(TOTALCO!H123="", "",TOTALCO!H123)</f>
        <v>182387851.30895427</v>
      </c>
      <c r="I1004" s="12">
        <f ca="1">IF(TOTALCO!I123="", "",TOTALCO!I123)</f>
        <v>300281508.390531</v>
      </c>
      <c r="J1004" s="12" t="str">
        <f>IF(TOTALCO!J123="", "",TOTALCO!J123)</f>
        <v/>
      </c>
      <c r="K1004" s="12" t="str">
        <f>IF(TOTALCO!K123="", "",TOTALCO!K123)</f>
        <v/>
      </c>
      <c r="L1004" s="12">
        <f ca="1">IF(TOTALCO!L123="", "",TOTALCO!L123)</f>
        <v>27459.77887819245</v>
      </c>
      <c r="M1004" s="12" t="str">
        <f>IF(TOTALCO!M123="", "",TOTALCO!M123)</f>
        <v/>
      </c>
      <c r="N1004" s="12">
        <f ca="1">IF(TOTALCO!N123="", "",TOTALCO!N123)</f>
        <v>300254048.61165279</v>
      </c>
      <c r="O1004" s="12">
        <f ca="1">IF(TOTALCO!O123="", "",TOTALCO!O123)</f>
        <v>93686881.294061586</v>
      </c>
      <c r="P1004" s="12">
        <f ca="1">IF(TOTALCO!P123="", "",TOTALCO!P123)</f>
        <v>206567167.31759122</v>
      </c>
      <c r="Q1004" s="12"/>
    </row>
    <row r="1005" spans="1:17" ht="15" x14ac:dyDescent="0.2">
      <c r="A1005" s="382">
        <f>IF(TOTALCO!A124="", "",TOTALCO!A124)</f>
        <v>5</v>
      </c>
      <c r="B1005" s="4" t="str">
        <f>IF(TOTALCO!B124="", "",TOTALCO!B124)</f>
        <v>ALLOCATED NON A&amp;G LABOR EXPENSE</v>
      </c>
      <c r="C1005" s="4" t="str">
        <f>IF(TOTALCO!C124="", "",TOTALCO!C124)</f>
        <v>PTDCUSTLABOR</v>
      </c>
      <c r="D1005" s="12">
        <f ca="1">IF(TOTALCO!D124="", "",TOTALCO!D124)</f>
        <v>86705625.650000006</v>
      </c>
      <c r="E1005" s="12" t="str">
        <f>IF(TOTALCO!E124="", "",TOTALCO!E124)</f>
        <v/>
      </c>
      <c r="F1005" s="12">
        <f ca="1">IF(TOTALCO!F124="", "",TOTALCO!F124)</f>
        <v>77114147.550367326</v>
      </c>
      <c r="G1005" s="12" t="str">
        <f>IF(TOTALCO!G124="", "",TOTALCO!G124)</f>
        <v/>
      </c>
      <c r="H1005" s="12">
        <f ca="1">IF(TOTALCO!H124="", "",TOTALCO!H124)</f>
        <v>4750860.1268153582</v>
      </c>
      <c r="I1005" s="12">
        <f ca="1">IF(TOTALCO!I124="", "",TOTALCO!I124)</f>
        <v>4840617.9728173101</v>
      </c>
      <c r="J1005" s="12" t="str">
        <f>IF(TOTALCO!J124="", "",TOTALCO!J124)</f>
        <v/>
      </c>
      <c r="K1005" s="12" t="str">
        <f>IF(TOTALCO!K124="", "",TOTALCO!K124)</f>
        <v/>
      </c>
      <c r="L1005" s="12">
        <f ca="1">IF(TOTALCO!L124="", "",TOTALCO!L124)</f>
        <v>2661.7439903384416</v>
      </c>
      <c r="M1005" s="12" t="str">
        <f>IF(TOTALCO!M124="", "",TOTALCO!M124)</f>
        <v/>
      </c>
      <c r="N1005" s="12">
        <f ca="1">IF(TOTALCO!N124="", "",TOTALCO!N124)</f>
        <v>4837956.2288269717</v>
      </c>
      <c r="O1005" s="12">
        <f ca="1">IF(TOTALCO!O124="", "",TOTALCO!O124)</f>
        <v>1571670.8628577269</v>
      </c>
      <c r="P1005" s="12">
        <f ca="1">IF(TOTALCO!P124="", "",TOTALCO!P124)</f>
        <v>3266285.3659692449</v>
      </c>
      <c r="Q1005" s="12"/>
    </row>
    <row r="1006" spans="1:17" ht="15" x14ac:dyDescent="0.2">
      <c r="A1006" s="382">
        <f>IF(TOTALCO!A125="", "",TOTALCO!A125)</f>
        <v>6</v>
      </c>
      <c r="B1006" s="4" t="str">
        <f>IF(TOTALCO!B125="", "",TOTALCO!B125)</f>
        <v>TOT HYDRAULIC PROD PLANT-SYS</v>
      </c>
      <c r="C1006" s="4" t="str">
        <f>IF(TOTALCO!C125="", "",TOTALCO!C125)</f>
        <v>HYDSYS</v>
      </c>
      <c r="D1006" s="12">
        <f ca="1">IF(TOTALCO!D125="", "",TOTALCO!D125)</f>
        <v>28696483.460000005</v>
      </c>
      <c r="E1006" s="12" t="str">
        <f>IF(TOTALCO!E125="", "",TOTALCO!E125)</f>
        <v/>
      </c>
      <c r="F1006" s="12">
        <f ca="1">IF(TOTALCO!F125="", "",TOTALCO!F125)</f>
        <v>24836524.438375533</v>
      </c>
      <c r="G1006" s="12" t="str">
        <f>IF(TOTALCO!G125="", "",TOTALCO!G125)</f>
        <v/>
      </c>
      <c r="H1006" s="12">
        <f ca="1">IF(TOTALCO!H125="", "",TOTALCO!H125)</f>
        <v>1458575.353805396</v>
      </c>
      <c r="I1006" s="12">
        <f ca="1">IF(TOTALCO!I125="", "",TOTALCO!I125)</f>
        <v>2401383.6678190748</v>
      </c>
      <c r="J1006" s="12" t="str">
        <f>IF(TOTALCO!J125="", "",TOTALCO!J125)</f>
        <v/>
      </c>
      <c r="K1006" s="12" t="str">
        <f>IF(TOTALCO!K125="", "",TOTALCO!K125)</f>
        <v/>
      </c>
      <c r="L1006" s="12">
        <f ca="1">IF(TOTALCO!L125="", "",TOTALCO!L125)</f>
        <v>219.59881869999941</v>
      </c>
      <c r="M1006" s="12" t="str">
        <f>IF(TOTALCO!M125="", "",TOTALCO!M125)</f>
        <v/>
      </c>
      <c r="N1006" s="12">
        <f ca="1">IF(TOTALCO!N125="", "",TOTALCO!N125)</f>
        <v>2401164.069000375</v>
      </c>
      <c r="O1006" s="12">
        <f ca="1">IF(TOTALCO!O125="", "",TOTALCO!O125)</f>
        <v>749224.11251467641</v>
      </c>
      <c r="P1006" s="12">
        <f ca="1">IF(TOTALCO!P125="", "",TOTALCO!P125)</f>
        <v>1651939.9564856987</v>
      </c>
      <c r="Q1006" s="12"/>
    </row>
    <row r="1007" spans="1:17" ht="15" x14ac:dyDescent="0.2">
      <c r="A1007" s="382">
        <f>IF(TOTALCO!A126="", "",TOTALCO!A126)</f>
        <v>7</v>
      </c>
      <c r="B1007" s="4" t="str">
        <f>IF(TOTALCO!B126="", "",TOTALCO!B126)</f>
        <v>TOTAL OTHER PROD PLANT-SYS</v>
      </c>
      <c r="C1007" s="4" t="str">
        <f>IF(TOTALCO!C126="", "",TOTALCO!C126)</f>
        <v>OTHSYS</v>
      </c>
      <c r="D1007" s="12">
        <f ca="1">IF(TOTALCO!D126="", "",TOTALCO!D126)</f>
        <v>531291429.65999997</v>
      </c>
      <c r="E1007" s="12" t="str">
        <f>IF(TOTALCO!E126="", "",TOTALCO!E126)</f>
        <v/>
      </c>
      <c r="F1007" s="12">
        <f ca="1">IF(TOTALCO!F126="", "",TOTALCO!F126)</f>
        <v>459827511.44554573</v>
      </c>
      <c r="G1007" s="12" t="str">
        <f>IF(TOTALCO!G126="", "",TOTALCO!G126)</f>
        <v/>
      </c>
      <c r="H1007" s="12">
        <f ca="1">IF(TOTALCO!H126="", "",TOTALCO!H126)</f>
        <v>27004304.763344299</v>
      </c>
      <c r="I1007" s="12">
        <f ca="1">IF(TOTALCO!I126="", "",TOTALCO!I126)</f>
        <v>44459613.451109976</v>
      </c>
      <c r="J1007" s="12" t="str">
        <f>IF(TOTALCO!J126="", "",TOTALCO!J126)</f>
        <v/>
      </c>
      <c r="K1007" s="12" t="str">
        <f>IF(TOTALCO!K126="", "",TOTALCO!K126)</f>
        <v/>
      </c>
      <c r="L1007" s="12">
        <f ca="1">IF(TOTALCO!L126="", "",TOTALCO!L126)</f>
        <v>4065.6887629244661</v>
      </c>
      <c r="M1007" s="12" t="str">
        <f>IF(TOTALCO!M126="", "",TOTALCO!M126)</f>
        <v/>
      </c>
      <c r="N1007" s="12">
        <f ca="1">IF(TOTALCO!N126="", "",TOTALCO!N126)</f>
        <v>44455547.76234705</v>
      </c>
      <c r="O1007" s="12">
        <f ca="1">IF(TOTALCO!O126="", "",TOTALCO!O126)</f>
        <v>13871258.840077652</v>
      </c>
      <c r="P1007" s="12">
        <f ca="1">IF(TOTALCO!P126="", "",TOTALCO!P126)</f>
        <v>30584288.9222694</v>
      </c>
      <c r="Q1007" s="12"/>
    </row>
    <row r="1008" spans="1:17" ht="15" x14ac:dyDescent="0.2">
      <c r="A1008" s="382">
        <f>IF(TOTALCO!A127="", "",TOTALCO!A127)</f>
        <v>8</v>
      </c>
      <c r="B1008" s="4" t="str">
        <f>IF(TOTALCO!B127="", "",TOTALCO!B127)</f>
        <v>TRANSM KENTUCKY SYSTEM PROP</v>
      </c>
      <c r="C1008" s="4" t="str">
        <f>IF(TOTALCO!C127="", "",TOTALCO!C127)</f>
        <v>KYTRPLT</v>
      </c>
      <c r="D1008" s="12">
        <f ca="1">IF(TOTALCO!D127="", "",TOTALCO!D127)</f>
        <v>615216199.21999991</v>
      </c>
      <c r="E1008" s="12" t="str">
        <f>IF(TOTALCO!E127="", "",TOTALCO!E127)</f>
        <v/>
      </c>
      <c r="F1008" s="12">
        <f ca="1">IF(TOTALCO!F127="", "",TOTALCO!F127)</f>
        <v>528497002.23105335</v>
      </c>
      <c r="G1008" s="12" t="str">
        <f>IF(TOTALCO!G127="", "",TOTALCO!G127)</f>
        <v/>
      </c>
      <c r="H1008" s="12">
        <f ca="1">IF(TOTALCO!H127="", "",TOTALCO!H127)</f>
        <v>32231464.425849125</v>
      </c>
      <c r="I1008" s="12">
        <f ca="1">IF(TOTALCO!I127="", "",TOTALCO!I127)</f>
        <v>54487732.563097522</v>
      </c>
      <c r="J1008" s="12" t="str">
        <f>IF(TOTALCO!J127="", "",TOTALCO!J127)</f>
        <v/>
      </c>
      <c r="K1008" s="12" t="str">
        <f>IF(TOTALCO!K127="", "",TOTALCO!K127)</f>
        <v/>
      </c>
      <c r="L1008" s="12">
        <f ca="1">IF(TOTALCO!L127="", "",TOTALCO!L127)</f>
        <v>4672.8485567452108</v>
      </c>
      <c r="M1008" s="12" t="str">
        <f>IF(TOTALCO!M127="", "",TOTALCO!M127)</f>
        <v/>
      </c>
      <c r="N1008" s="12">
        <f ca="1">IF(TOTALCO!N127="", "",TOTALCO!N127)</f>
        <v>54483059.71454078</v>
      </c>
      <c r="O1008" s="12">
        <f ca="1">IF(TOTALCO!O127="", "",TOTALCO!O127)</f>
        <v>17000096.98991733</v>
      </c>
      <c r="P1008" s="12">
        <f ca="1">IF(TOTALCO!P127="", "",TOTALCO!P127)</f>
        <v>37482962.724623449</v>
      </c>
      <c r="Q1008" s="12"/>
    </row>
    <row r="1009" spans="1:17" ht="15" x14ac:dyDescent="0.2">
      <c r="A1009" s="382">
        <f>IF(TOTALCO!A128="", "",TOTALCO!A128)</f>
        <v>9</v>
      </c>
      <c r="B1009" s="4" t="str">
        <f>IF(TOTALCO!B128="", "",TOTALCO!B128)</f>
        <v>TRANSM VIRGINIA PROPERTY</v>
      </c>
      <c r="C1009" s="4" t="str">
        <f>IF(TOTALCO!C128="", "",TOTALCO!C128)</f>
        <v>VATRPLT</v>
      </c>
      <c r="D1009" s="12">
        <f ca="1">IF(TOTALCO!D128="", "",TOTALCO!D128)</f>
        <v>44499355.719999999</v>
      </c>
      <c r="E1009" s="12" t="str">
        <f>IF(TOTALCO!E128="", "",TOTALCO!E128)</f>
        <v/>
      </c>
      <c r="F1009" s="12">
        <f ca="1">IF(TOTALCO!F128="", "",TOTALCO!F128)</f>
        <v>0</v>
      </c>
      <c r="G1009" s="12" t="str">
        <f>IF(TOTALCO!G128="", "",TOTALCO!G128)</f>
        <v/>
      </c>
      <c r="H1009" s="12">
        <f ca="1">IF(TOTALCO!H128="", "",TOTALCO!H128)</f>
        <v>44494822.285232827</v>
      </c>
      <c r="I1009" s="12">
        <f ca="1">IF(TOTALCO!I128="", "",TOTALCO!I128)</f>
        <v>4533.4347671684909</v>
      </c>
      <c r="J1009" s="12" t="str">
        <f>IF(TOTALCO!J128="", "",TOTALCO!J128)</f>
        <v/>
      </c>
      <c r="K1009" s="12" t="str">
        <f>IF(TOTALCO!K128="", "",TOTALCO!K128)</f>
        <v/>
      </c>
      <c r="L1009" s="12">
        <f ca="1">IF(TOTALCO!L128="", "",TOTALCO!L128)</f>
        <v>0</v>
      </c>
      <c r="M1009" s="12" t="str">
        <f>IF(TOTALCO!M128="", "",TOTALCO!M128)</f>
        <v/>
      </c>
      <c r="N1009" s="12">
        <f ca="1">IF(TOTALCO!N128="", "",TOTALCO!N128)</f>
        <v>4533.4347671684909</v>
      </c>
      <c r="O1009" s="12">
        <f ca="1">IF(TOTALCO!O128="", "",TOTALCO!O128)</f>
        <v>1414.5466708940914</v>
      </c>
      <c r="P1009" s="12">
        <f ca="1">IF(TOTALCO!P128="", "",TOTALCO!P128)</f>
        <v>3118.8880962743997</v>
      </c>
      <c r="Q1009" s="12"/>
    </row>
    <row r="1010" spans="1:17" ht="15" x14ac:dyDescent="0.2">
      <c r="A1010" s="382">
        <f>IF(TOTALCO!A129="", "",TOTALCO!A129)</f>
        <v>10</v>
      </c>
      <c r="B1010" s="4" t="str">
        <f>IF(TOTALCO!B129="", "",TOTALCO!B129)</f>
        <v>TRANSM VIRGINIA PROP TOTAL</v>
      </c>
      <c r="C1010" s="4" t="str">
        <f>IF(TOTALCO!C129="", "",TOTALCO!C129)</f>
        <v>VATRPLTT</v>
      </c>
      <c r="D1010" s="12">
        <f ca="1">IF(TOTALCO!D129="", "",TOTALCO!D129)</f>
        <v>52729785.129999995</v>
      </c>
      <c r="E1010" s="12" t="str">
        <f>IF(TOTALCO!E129="", "",TOTALCO!E129)</f>
        <v/>
      </c>
      <c r="F1010" s="12">
        <f ca="1">IF(TOTALCO!F129="", "",TOTALCO!F129)</f>
        <v>7504807.6519980747</v>
      </c>
      <c r="G1010" s="12" t="str">
        <f>IF(TOTALCO!G129="", "",TOTALCO!G129)</f>
        <v/>
      </c>
      <c r="H1010" s="12">
        <f ca="1">IF(TOTALCO!H129="", "",TOTALCO!H129)</f>
        <v>44494822.285232827</v>
      </c>
      <c r="I1010" s="12">
        <f ca="1">IF(TOTALCO!I129="", "",TOTALCO!I129)</f>
        <v>730155.19276909239</v>
      </c>
      <c r="J1010" s="12" t="str">
        <f>IF(TOTALCO!J129="", "",TOTALCO!J129)</f>
        <v/>
      </c>
      <c r="K1010" s="12" t="str">
        <f>IF(TOTALCO!K129="", "",TOTALCO!K129)</f>
        <v/>
      </c>
      <c r="L1010" s="12">
        <f ca="1">IF(TOTALCO!L129="", "",TOTALCO!L129)</f>
        <v>66.355777719166497</v>
      </c>
      <c r="M1010" s="12" t="str">
        <f>IF(TOTALCO!M129="", "",TOTALCO!M129)</f>
        <v/>
      </c>
      <c r="N1010" s="12">
        <f ca="1">IF(TOTALCO!N129="", "",TOTALCO!N129)</f>
        <v>730088.83699137322</v>
      </c>
      <c r="O1010" s="12">
        <f ca="1">IF(TOTALCO!O129="", "",TOTALCO!O129)</f>
        <v>227806.24115346465</v>
      </c>
      <c r="P1010" s="12">
        <f ca="1">IF(TOTALCO!P129="", "",TOTALCO!P129)</f>
        <v>502282.59583790862</v>
      </c>
      <c r="Q1010" s="12"/>
    </row>
    <row r="1011" spans="1:17" ht="15" x14ac:dyDescent="0.2">
      <c r="A1011" s="382">
        <f>IF(TOTALCO!A130="", "",TOTALCO!A130)</f>
        <v>11</v>
      </c>
      <c r="B1011" s="4" t="str">
        <f>IF(TOTALCO!B130="", "",TOTALCO!B130)</f>
        <v>TOTAL DISTRIBUTION PLANT</v>
      </c>
      <c r="C1011" s="4" t="str">
        <f>IF(TOTALCO!C130="", "",TOTALCO!C130)</f>
        <v>DISTPLT</v>
      </c>
      <c r="D1011" s="12">
        <f ca="1">IF(TOTALCO!D130="", "",TOTALCO!D130)</f>
        <v>1433759656.6499999</v>
      </c>
      <c r="E1011" s="12" t="str">
        <f>IF(TOTALCO!E130="", "",TOTALCO!E130)</f>
        <v/>
      </c>
      <c r="F1011" s="12">
        <f ca="1">IF(TOTALCO!F130="", "",TOTALCO!F130)</f>
        <v>1348948019.5461249</v>
      </c>
      <c r="G1011" s="12" t="str">
        <f>IF(TOTALCO!G130="", "",TOTALCO!G130)</f>
        <v/>
      </c>
      <c r="H1011" s="12">
        <f ca="1">IF(TOTALCO!H130="", "",TOTALCO!H130)</f>
        <v>80327605.579999998</v>
      </c>
      <c r="I1011" s="12">
        <f ca="1">IF(TOTALCO!I130="", "",TOTALCO!I130)</f>
        <v>4484031.5238750307</v>
      </c>
      <c r="J1011" s="12" t="str">
        <f>IF(TOTALCO!J130="", "",TOTALCO!J130)</f>
        <v/>
      </c>
      <c r="K1011" s="12" t="str">
        <f>IF(TOTALCO!K130="", "",TOTALCO!K130)</f>
        <v/>
      </c>
      <c r="L1011" s="12">
        <f ca="1">IF(TOTALCO!L130="", "",TOTALCO!L130)</f>
        <v>162042.68</v>
      </c>
      <c r="M1011" s="12" t="str">
        <f>IF(TOTALCO!M130="", "",TOTALCO!M130)</f>
        <v/>
      </c>
      <c r="N1011" s="12">
        <f ca="1">IF(TOTALCO!N130="", "",TOTALCO!N130)</f>
        <v>4321988.843875031</v>
      </c>
      <c r="O1011" s="12">
        <f ca="1">IF(TOTALCO!O130="", "",TOTALCO!O130)</f>
        <v>3714063.0443994557</v>
      </c>
      <c r="P1011" s="12">
        <f ca="1">IF(TOTALCO!P130="", "",TOTALCO!P130)</f>
        <v>607925.79947557533</v>
      </c>
      <c r="Q1011" s="12"/>
    </row>
    <row r="1012" spans="1:17" ht="15" x14ac:dyDescent="0.2">
      <c r="A1012" s="382">
        <f>IF(TOTALCO!A131="", "",TOTALCO!A131)</f>
        <v>12</v>
      </c>
      <c r="B1012" s="4" t="str">
        <f>IF(TOTALCO!B131="", "",TOTALCO!B131)</f>
        <v>TOTAL DIST PLANT KY &amp; FERC</v>
      </c>
      <c r="C1012" s="4" t="str">
        <f>IF(TOTALCO!C131="", "",TOTALCO!C131)</f>
        <v>DISTPLTKF</v>
      </c>
      <c r="D1012" s="12">
        <f ca="1">IF(TOTALCO!D131="", "",TOTALCO!D131)</f>
        <v>1353270008.3899999</v>
      </c>
      <c r="E1012" s="12" t="str">
        <f>IF(TOTALCO!E131="", "",TOTALCO!E131)</f>
        <v/>
      </c>
      <c r="F1012" s="12">
        <f ca="1">IF(TOTALCO!F131="", "",TOTALCO!F131)</f>
        <v>1348948019.5461249</v>
      </c>
      <c r="G1012" s="12" t="str">
        <f>IF(TOTALCO!G131="", "",TOTALCO!G131)</f>
        <v/>
      </c>
      <c r="H1012" s="12">
        <f ca="1">IF(TOTALCO!H131="", "",TOTALCO!H131)</f>
        <v>0</v>
      </c>
      <c r="I1012" s="12">
        <f ca="1">IF(TOTALCO!I131="", "",TOTALCO!I131)</f>
        <v>4321988.843875031</v>
      </c>
      <c r="J1012" s="12" t="str">
        <f>IF(TOTALCO!J131="", "",TOTALCO!J131)</f>
        <v/>
      </c>
      <c r="K1012" s="12" t="str">
        <f>IF(TOTALCO!K131="", "",TOTALCO!K131)</f>
        <v/>
      </c>
      <c r="L1012" s="12">
        <f ca="1">IF(TOTALCO!L131="", "",TOTALCO!L131)</f>
        <v>0</v>
      </c>
      <c r="M1012" s="12" t="str">
        <f>IF(TOTALCO!M131="", "",TOTALCO!M131)</f>
        <v/>
      </c>
      <c r="N1012" s="12">
        <f ca="1">IF(TOTALCO!N131="", "",TOTALCO!N131)</f>
        <v>4321988.843875031</v>
      </c>
      <c r="O1012" s="12">
        <f ca="1">IF(TOTALCO!O131="", "",TOTALCO!O131)</f>
        <v>3714063.0443994557</v>
      </c>
      <c r="P1012" s="12">
        <f ca="1">IF(TOTALCO!P131="", "",TOTALCO!P131)</f>
        <v>607925.79947557533</v>
      </c>
      <c r="Q1012" s="12"/>
    </row>
    <row r="1013" spans="1:17" ht="15" x14ac:dyDescent="0.2">
      <c r="A1013" s="382">
        <f>IF(TOTALCO!A132="", "",TOTALCO!A132)</f>
        <v>13</v>
      </c>
      <c r="B1013" s="4" t="str">
        <f>IF(TOTALCO!B132="", "",TOTALCO!B132)</f>
        <v>TOTAL GENERAL PLANT</v>
      </c>
      <c r="C1013" s="4" t="str">
        <f>IF(TOTALCO!C132="", "",TOTALCO!C132)</f>
        <v>GENPLT</v>
      </c>
      <c r="D1013" s="12">
        <f ca="1">IF(TOTALCO!D132="", "",TOTALCO!D132)</f>
        <v>140094551.55999997</v>
      </c>
      <c r="E1013" s="12" t="str">
        <f>IF(TOTALCO!E132="", "",TOTALCO!E132)</f>
        <v/>
      </c>
      <c r="F1013" s="12">
        <f ca="1">IF(TOTALCO!F132="", "",TOTALCO!F132)</f>
        <v>124597127.79894324</v>
      </c>
      <c r="G1013" s="12" t="str">
        <f>IF(TOTALCO!G132="", "",TOTALCO!G132)</f>
        <v/>
      </c>
      <c r="H1013" s="12">
        <f ca="1">IF(TOTALCO!H132="", "",TOTALCO!H132)</f>
        <v>7676198.7933418741</v>
      </c>
      <c r="I1013" s="12">
        <f ca="1">IF(TOTALCO!I132="", "",TOTALCO!I132)</f>
        <v>7821224.9677148508</v>
      </c>
      <c r="J1013" s="12" t="str">
        <f>IF(TOTALCO!J132="", "",TOTALCO!J132)</f>
        <v/>
      </c>
      <c r="K1013" s="12" t="str">
        <f>IF(TOTALCO!K132="", "",TOTALCO!K132)</f>
        <v/>
      </c>
      <c r="L1013" s="12">
        <f ca="1">IF(TOTALCO!L132="", "",TOTALCO!L132)</f>
        <v>4300.7109157972936</v>
      </c>
      <c r="M1013" s="12" t="str">
        <f>IF(TOTALCO!M132="", "",TOTALCO!M132)</f>
        <v/>
      </c>
      <c r="N1013" s="12">
        <f ca="1">IF(TOTALCO!N132="", "",TOTALCO!N132)</f>
        <v>7816924.2567990534</v>
      </c>
      <c r="O1013" s="12">
        <f ca="1">IF(TOTALCO!O132="", "",TOTALCO!O132)</f>
        <v>2539426.0531694978</v>
      </c>
      <c r="P1013" s="12">
        <f ca="1">IF(TOTALCO!P132="", "",TOTALCO!P132)</f>
        <v>5277498.2036295561</v>
      </c>
      <c r="Q1013" s="12"/>
    </row>
    <row r="1014" spans="1:17" ht="15" x14ac:dyDescent="0.2">
      <c r="A1014" s="382">
        <f>IF(TOTALCO!A133="", "",TOTALCO!A133)</f>
        <v>14</v>
      </c>
      <c r="B1014" s="4" t="str">
        <f>IF(TOTALCO!B133="", "",TOTALCO!B133)</f>
        <v>ACCT 302-FRANCHISE</v>
      </c>
      <c r="C1014" s="4" t="str">
        <f>IF(TOTALCO!C133="", "",TOTALCO!C133)</f>
        <v>PLT302TOT</v>
      </c>
      <c r="D1014" s="12">
        <f ca="1">IF(TOTALCO!D133="", "",TOTALCO!D133)</f>
        <v>55918.829999999994</v>
      </c>
      <c r="E1014" s="12" t="str">
        <f>IF(TOTALCO!E133="", "",TOTALCO!E133)</f>
        <v/>
      </c>
      <c r="F1014" s="12">
        <f ca="1">IF(TOTALCO!F133="", "",TOTALCO!F133)</f>
        <v>55918.829999999994</v>
      </c>
      <c r="G1014" s="12" t="str">
        <f>IF(TOTALCO!G133="", "",TOTALCO!G133)</f>
        <v/>
      </c>
      <c r="H1014" s="12">
        <f ca="1">IF(TOTALCO!H133="", "",TOTALCO!H133)</f>
        <v>0</v>
      </c>
      <c r="I1014" s="12">
        <f ca="1">IF(TOTALCO!I133="", "",TOTALCO!I133)</f>
        <v>0</v>
      </c>
      <c r="J1014" s="12" t="str">
        <f>IF(TOTALCO!J133="", "",TOTALCO!J133)</f>
        <v/>
      </c>
      <c r="K1014" s="12" t="str">
        <f>IF(TOTALCO!K133="", "",TOTALCO!K133)</f>
        <v/>
      </c>
      <c r="L1014" s="12">
        <f ca="1">IF(TOTALCO!L133="", "",TOTALCO!L133)</f>
        <v>0</v>
      </c>
      <c r="M1014" s="12" t="str">
        <f>IF(TOTALCO!M133="", "",TOTALCO!M133)</f>
        <v/>
      </c>
      <c r="N1014" s="12">
        <f ca="1">IF(TOTALCO!N133="", "",TOTALCO!N133)</f>
        <v>0</v>
      </c>
      <c r="O1014" s="12">
        <f ca="1">IF(TOTALCO!O133="", "",TOTALCO!O133)</f>
        <v>0</v>
      </c>
      <c r="P1014" s="12">
        <f ca="1">IF(TOTALCO!P133="", "",TOTALCO!P133)</f>
        <v>0</v>
      </c>
      <c r="Q1014" s="12"/>
    </row>
    <row r="1015" spans="1:17" ht="15" x14ac:dyDescent="0.2">
      <c r="A1015" s="382">
        <f>IF(TOTALCO!A134="", "",TOTALCO!A134)</f>
        <v>15</v>
      </c>
      <c r="B1015" s="4" t="str">
        <f>IF(TOTALCO!B134="", "",TOTALCO!B134)</f>
        <v>ACCT 303-SOFTWARE</v>
      </c>
      <c r="C1015" s="4" t="str">
        <f>IF(TOTALCO!C134="", "",TOTALCO!C134)</f>
        <v>PLT303TOT</v>
      </c>
      <c r="D1015" s="12">
        <f ca="1">IF(TOTALCO!D134="", "",TOTALCO!D134)</f>
        <v>60103758.670000002</v>
      </c>
      <c r="E1015" s="12" t="str">
        <f>IF(TOTALCO!E134="", "",TOTALCO!E134)</f>
        <v/>
      </c>
      <c r="F1015" s="12">
        <f ca="1">IF(TOTALCO!F134="", "",TOTALCO!F134)</f>
        <v>52331978.0913826</v>
      </c>
      <c r="G1015" s="12" t="str">
        <f>IF(TOTALCO!G134="", "",TOTALCO!G134)</f>
        <v/>
      </c>
      <c r="H1015" s="12">
        <f ca="1">IF(TOTALCO!H134="", "",TOTALCO!H134)</f>
        <v>3569834.7262605163</v>
      </c>
      <c r="I1015" s="12">
        <f ca="1">IF(TOTALCO!I134="", "",TOTALCO!I134)</f>
        <v>4201945.8523568874</v>
      </c>
      <c r="J1015" s="12" t="str">
        <f>IF(TOTALCO!J134="", "",TOTALCO!J134)</f>
        <v/>
      </c>
      <c r="K1015" s="12" t="str">
        <f>IF(TOTALCO!K134="", "",TOTALCO!K134)</f>
        <v/>
      </c>
      <c r="L1015" s="12">
        <f ca="1">IF(TOTALCO!L134="", "",TOTALCO!L134)</f>
        <v>1895.2132140114129</v>
      </c>
      <c r="M1015" s="12" t="str">
        <f>IF(TOTALCO!M134="", "",TOTALCO!M134)</f>
        <v/>
      </c>
      <c r="N1015" s="12">
        <f ca="1">IF(TOTALCO!N134="", "",TOTALCO!N134)</f>
        <v>4200050.6391428756</v>
      </c>
      <c r="O1015" s="12">
        <f ca="1">IF(TOTALCO!O134="", "",TOTALCO!O134)</f>
        <v>1333563.072423341</v>
      </c>
      <c r="P1015" s="12">
        <f ca="1">IF(TOTALCO!P134="", "",TOTALCO!P134)</f>
        <v>2866487.5667195348</v>
      </c>
      <c r="Q1015" s="12"/>
    </row>
    <row r="1016" spans="1:17" ht="15" x14ac:dyDescent="0.2">
      <c r="A1016" s="382">
        <f>IF(TOTALCO!A135="", "",TOTALCO!A135)</f>
        <v>16</v>
      </c>
      <c r="B1016" s="4" t="str">
        <f>IF(TOTALCO!B135="", "",TOTALCO!B135)</f>
        <v>TOTAL PRODUCTION PLANT SYSTEM</v>
      </c>
      <c r="C1016" s="4" t="str">
        <f>IF(TOTALCO!C135="", "",TOTALCO!C135)</f>
        <v>PRODSYS</v>
      </c>
      <c r="D1016" s="12">
        <f ca="1">IF(TOTALCO!D135="", "",TOTALCO!D135)</f>
        <v>4148345514.7600012</v>
      </c>
      <c r="E1016" s="12" t="str">
        <f>IF(TOTALCO!E135="", "",TOTALCO!E135)</f>
        <v/>
      </c>
      <c r="F1016" s="12">
        <f ca="1">IF(TOTALCO!F135="", "",TOTALCO!F135)</f>
        <v>3590352277.8244371</v>
      </c>
      <c r="G1016" s="12" t="str">
        <f>IF(TOTALCO!G135="", "",TOTALCO!G135)</f>
        <v/>
      </c>
      <c r="H1016" s="12">
        <f ca="1">IF(TOTALCO!H135="", "",TOTALCO!H135)</f>
        <v>210850731.42610395</v>
      </c>
      <c r="I1016" s="12">
        <f ca="1">IF(TOTALCO!I135="", "",TOTALCO!I135)</f>
        <v>347142505.50946003</v>
      </c>
      <c r="J1016" s="12" t="str">
        <f>IF(TOTALCO!J135="", "",TOTALCO!J135)</f>
        <v/>
      </c>
      <c r="K1016" s="12" t="str">
        <f>IF(TOTALCO!K135="", "",TOTALCO!K135)</f>
        <v/>
      </c>
      <c r="L1016" s="12">
        <f ca="1">IF(TOTALCO!L135="", "",TOTALCO!L135)</f>
        <v>31745.066459816921</v>
      </c>
      <c r="M1016" s="12" t="str">
        <f>IF(TOTALCO!M135="", "",TOTALCO!M135)</f>
        <v/>
      </c>
      <c r="N1016" s="12">
        <f ca="1">IF(TOTALCO!N135="", "",TOTALCO!N135)</f>
        <v>347110760.4430002</v>
      </c>
      <c r="O1016" s="12">
        <f ca="1">IF(TOTALCO!O135="", "",TOTALCO!O135)</f>
        <v>108307364.24665391</v>
      </c>
      <c r="P1016" s="12">
        <f ca="1">IF(TOTALCO!P135="", "",TOTALCO!P135)</f>
        <v>238803396.19634631</v>
      </c>
      <c r="Q1016" s="12"/>
    </row>
    <row r="1017" spans="1:17" ht="15" x14ac:dyDescent="0.2">
      <c r="A1017" s="382">
        <f>IF(TOTALCO!A136="", "",TOTALCO!A136)</f>
        <v>17</v>
      </c>
      <c r="B1017" s="4" t="str">
        <f>IF(TOTALCO!B136="", "",TOTALCO!B136)</f>
        <v>TOTAL PRODUCTION PLANT</v>
      </c>
      <c r="C1017" s="4" t="str">
        <f>IF(TOTALCO!C136="", "",TOTALCO!C136)</f>
        <v>PRODPLT</v>
      </c>
      <c r="D1017" s="12">
        <f ca="1">IF(TOTALCO!D136="", "",TOTALCO!D136)</f>
        <v>4189773097.6700006</v>
      </c>
      <c r="E1017" s="12" t="str">
        <f>IF(TOTALCO!E136="", "",TOTALCO!E136)</f>
        <v/>
      </c>
      <c r="F1017" s="12">
        <f ca="1">IF(TOTALCO!F136="", "",TOTALCO!F136)</f>
        <v>3590352277.8244367</v>
      </c>
      <c r="G1017" s="12" t="str">
        <f>IF(TOTALCO!G136="", "",TOTALCO!G136)</f>
        <v/>
      </c>
      <c r="H1017" s="12">
        <f ca="1">IF(TOTALCO!H136="", "",TOTALCO!H136)</f>
        <v>217317282.19570932</v>
      </c>
      <c r="I1017" s="12">
        <f ca="1">IF(TOTALCO!I136="", "",TOTALCO!I136)</f>
        <v>382103537.64985466</v>
      </c>
      <c r="J1017" s="12" t="str">
        <f>IF(TOTALCO!J136="", "",TOTALCO!J136)</f>
        <v/>
      </c>
      <c r="K1017" s="12" t="str">
        <f>IF(TOTALCO!K136="", "",TOTALCO!K136)</f>
        <v/>
      </c>
      <c r="L1017" s="12">
        <f ca="1">IF(TOTALCO!L136="", "",TOTALCO!L136)</f>
        <v>31745.066459816917</v>
      </c>
      <c r="M1017" s="12" t="str">
        <f>IF(TOTALCO!M136="", "",TOTALCO!M136)</f>
        <v/>
      </c>
      <c r="N1017" s="12">
        <f ca="1">IF(TOTALCO!N136="", "",TOTALCO!N136)</f>
        <v>382071792.58339483</v>
      </c>
      <c r="O1017" s="12">
        <f ca="1">IF(TOTALCO!O136="", "",TOTALCO!O136)</f>
        <v>119216093.31525475</v>
      </c>
      <c r="P1017" s="12">
        <f ca="1">IF(TOTALCO!P136="", "",TOTALCO!P136)</f>
        <v>262855699.26814008</v>
      </c>
      <c r="Q1017" s="12"/>
    </row>
    <row r="1018" spans="1:17" ht="15" x14ac:dyDescent="0.2">
      <c r="A1018" s="382">
        <f>IF(TOTALCO!A137="", "",TOTALCO!A137)</f>
        <v>18</v>
      </c>
      <c r="B1018" s="4" t="str">
        <f>IF(TOTALCO!B137="", "",TOTALCO!B137)</f>
        <v>TOTAL TRANSMISSION PLANT</v>
      </c>
      <c r="C1018" s="4" t="str">
        <f>IF(TOTALCO!C137="", "",TOTALCO!C137)</f>
        <v>TRANPLT</v>
      </c>
      <c r="D1018" s="12">
        <f ca="1">IF(TOTALCO!D137="", "",TOTALCO!D137)</f>
        <v>667945984.35000002</v>
      </c>
      <c r="E1018" s="12" t="str">
        <f>IF(TOTALCO!E137="", "",TOTALCO!E137)</f>
        <v/>
      </c>
      <c r="F1018" s="12">
        <f ca="1">IF(TOTALCO!F137="", "",TOTALCO!F137)</f>
        <v>536001809.88305146</v>
      </c>
      <c r="G1018" s="12" t="str">
        <f>IF(TOTALCO!G137="", "",TOTALCO!G137)</f>
        <v/>
      </c>
      <c r="H1018" s="12">
        <f ca="1">IF(TOTALCO!H137="", "",TOTALCO!H137)</f>
        <v>76726286.711081952</v>
      </c>
      <c r="I1018" s="12">
        <f ca="1">IF(TOTALCO!I137="", "",TOTALCO!I137)</f>
        <v>55217887.755866617</v>
      </c>
      <c r="J1018" s="12" t="str">
        <f>IF(TOTALCO!J137="", "",TOTALCO!J137)</f>
        <v/>
      </c>
      <c r="K1018" s="12" t="str">
        <f>IF(TOTALCO!K137="", "",TOTALCO!K137)</f>
        <v/>
      </c>
      <c r="L1018" s="12">
        <f ca="1">IF(TOTALCO!L137="", "",TOTALCO!L137)</f>
        <v>4739.2043344643771</v>
      </c>
      <c r="M1018" s="12" t="str">
        <f>IF(TOTALCO!M137="", "",TOTALCO!M137)</f>
        <v/>
      </c>
      <c r="N1018" s="12">
        <f ca="1">IF(TOTALCO!N137="", "",TOTALCO!N137)</f>
        <v>55213148.551532149</v>
      </c>
      <c r="O1018" s="12">
        <f ca="1">IF(TOTALCO!O137="", "",TOTALCO!O137)</f>
        <v>17227903.231070798</v>
      </c>
      <c r="P1018" s="12">
        <f ca="1">IF(TOTALCO!P137="", "",TOTALCO!P137)</f>
        <v>37985245.320461355</v>
      </c>
      <c r="Q1018" s="12"/>
    </row>
    <row r="1019" spans="1:17" ht="15" x14ac:dyDescent="0.2">
      <c r="A1019" s="382">
        <f>IF(TOTALCO!A138="", "",TOTALCO!A138)</f>
        <v>19</v>
      </c>
      <c r="B1019" s="4" t="str">
        <f>IF(TOTALCO!B138="", "",TOTALCO!B138)</f>
        <v>MAT &amp; SUPPLIES DISTRIBUTED</v>
      </c>
      <c r="C1019" s="4" t="str">
        <f>IF(TOTALCO!C138="", "",TOTALCO!C138)</f>
        <v>M_S</v>
      </c>
      <c r="D1019" s="12">
        <f ca="1">IF(TOTALCO!D138="", "",TOTALCO!D138)</f>
        <v>33590544.902089998</v>
      </c>
      <c r="E1019" s="12" t="str">
        <f>IF(TOTALCO!E138="", "",TOTALCO!E138)</f>
        <v/>
      </c>
      <c r="F1019" s="12">
        <f ca="1">IF(TOTALCO!F138="", "",TOTALCO!F138)</f>
        <v>29111109.374611676</v>
      </c>
      <c r="G1019" s="12" t="str">
        <f>IF(TOTALCO!G138="", "",TOTALCO!G138)</f>
        <v/>
      </c>
      <c r="H1019" s="12">
        <f ca="1">IF(TOTALCO!H138="", "",TOTALCO!H138)</f>
        <v>1980950.5748781229</v>
      </c>
      <c r="I1019" s="12">
        <f ca="1">IF(TOTALCO!I138="", "",TOTALCO!I138)</f>
        <v>2498484.9526002025</v>
      </c>
      <c r="J1019" s="12" t="str">
        <f>IF(TOTALCO!J138="", "",TOTALCO!J138)</f>
        <v/>
      </c>
      <c r="K1019" s="12" t="str">
        <f>IF(TOTALCO!K138="", "",TOTALCO!K138)</f>
        <v/>
      </c>
      <c r="L1019" s="12">
        <f ca="1">IF(TOTALCO!L138="", "",TOTALCO!L138)</f>
        <v>894.65912688039043</v>
      </c>
      <c r="M1019" s="12" t="str">
        <f>IF(TOTALCO!M138="", "",TOTALCO!M138)</f>
        <v/>
      </c>
      <c r="N1019" s="12">
        <f ca="1">IF(TOTALCO!N138="", "",TOTALCO!N138)</f>
        <v>2497590.2934733219</v>
      </c>
      <c r="O1019" s="12">
        <f ca="1">IF(TOTALCO!O138="", "",TOTALCO!O138)</f>
        <v>789353.44789765088</v>
      </c>
      <c r="P1019" s="12">
        <f ca="1">IF(TOTALCO!P138="", "",TOTALCO!P138)</f>
        <v>1708236.8455756712</v>
      </c>
      <c r="Q1019" s="12"/>
    </row>
    <row r="1020" spans="1:17" ht="15" x14ac:dyDescent="0.2">
      <c r="A1020" s="382">
        <f>IF(TOTALCO!A139="", "",TOTALCO!A139)</f>
        <v>20</v>
      </c>
      <c r="B1020" s="4" t="str">
        <f>IF(TOTALCO!B139="", "",TOTALCO!B139)</f>
        <v>ACCT 924 &amp; 925 INSURANCE</v>
      </c>
      <c r="C1020" s="4" t="str">
        <f>IF(TOTALCO!C139="", "",TOTALCO!C139)</f>
        <v>EXP9245TOT</v>
      </c>
      <c r="D1020" s="12">
        <f ca="1">IF(TOTALCO!D139="", "",TOTALCO!D139)</f>
        <v>7836209.5800000001</v>
      </c>
      <c r="E1020" s="12" t="str">
        <f>IF(TOTALCO!E139="", "",TOTALCO!E139)</f>
        <v/>
      </c>
      <c r="F1020" s="12">
        <f ca="1">IF(TOTALCO!F139="", "",TOTALCO!F139)</f>
        <v>6889472.5456418619</v>
      </c>
      <c r="G1020" s="12" t="str">
        <f>IF(TOTALCO!G139="", "",TOTALCO!G139)</f>
        <v/>
      </c>
      <c r="H1020" s="12">
        <f ca="1">IF(TOTALCO!H139="", "",TOTALCO!H139)</f>
        <v>449041.99706130149</v>
      </c>
      <c r="I1020" s="12">
        <f ca="1">IF(TOTALCO!I139="", "",TOTALCO!I139)</f>
        <v>497695.03729683679</v>
      </c>
      <c r="J1020" s="12" t="str">
        <f>IF(TOTALCO!J139="", "",TOTALCO!J139)</f>
        <v/>
      </c>
      <c r="K1020" s="12" t="str">
        <f>IF(TOTALCO!K139="", "",TOTALCO!K139)</f>
        <v/>
      </c>
      <c r="L1020" s="12">
        <f ca="1">IF(TOTALCO!L139="", "",TOTALCO!L139)</f>
        <v>244.12451392463612</v>
      </c>
      <c r="M1020" s="12" t="str">
        <f>IF(TOTALCO!M139="", "",TOTALCO!M139)</f>
        <v/>
      </c>
      <c r="N1020" s="12">
        <f ca="1">IF(TOTALCO!N139="", "",TOTALCO!N139)</f>
        <v>497450.91278291214</v>
      </c>
      <c r="O1020" s="12">
        <f ca="1">IF(TOTALCO!O139="", "",TOTALCO!O139)</f>
        <v>159406.70776084487</v>
      </c>
      <c r="P1020" s="12">
        <f ca="1">IF(TOTALCO!P139="", "",TOTALCO!P139)</f>
        <v>338044.2050220673</v>
      </c>
      <c r="Q1020" s="12"/>
    </row>
    <row r="1021" spans="1:17" ht="15" x14ac:dyDescent="0.2">
      <c r="A1021" s="382">
        <f>IF(TOTALCO!A140="", "",TOTALCO!A140)</f>
        <v>21</v>
      </c>
      <c r="B1021" s="4" t="str">
        <f>IF(TOTALCO!B140="", "",TOTALCO!B140)</f>
        <v>REVENUE SALE OF ELECT-KY</v>
      </c>
      <c r="C1021" s="4" t="str">
        <f>IF(TOTALCO!C140="", "",TOTALCO!C140)</f>
        <v>REVKY</v>
      </c>
      <c r="D1021" s="12">
        <f ca="1">IF(TOTALCO!D140="", "",TOTALCO!D140)</f>
        <v>1320135670.366627</v>
      </c>
      <c r="E1021" s="12" t="str">
        <f>IF(TOTALCO!E140="", "",TOTALCO!E140)</f>
        <v/>
      </c>
      <c r="F1021" s="12">
        <f ca="1">IF(TOTALCO!F140="", "",TOTALCO!F140)</f>
        <v>1320135670.366627</v>
      </c>
      <c r="G1021" s="12" t="str">
        <f>IF(TOTALCO!G140="", "",TOTALCO!G140)</f>
        <v/>
      </c>
      <c r="H1021" s="12">
        <f>IF(TOTALCO!H140="", "",TOTALCO!H140)</f>
        <v>0</v>
      </c>
      <c r="I1021" s="12">
        <f>IF(TOTALCO!I140="", "",TOTALCO!I140)</f>
        <v>0</v>
      </c>
      <c r="J1021" s="12" t="str">
        <f>IF(TOTALCO!J140="", "",TOTALCO!J140)</f>
        <v/>
      </c>
      <c r="K1021" s="12" t="str">
        <f>IF(TOTALCO!K140="", "",TOTALCO!K140)</f>
        <v/>
      </c>
      <c r="L1021" s="12">
        <f>IF(TOTALCO!L140="", "",TOTALCO!L140)</f>
        <v>0</v>
      </c>
      <c r="M1021" s="12" t="str">
        <f>IF(TOTALCO!M140="", "",TOTALCO!M140)</f>
        <v/>
      </c>
      <c r="N1021" s="12">
        <f>IF(TOTALCO!N140="", "",TOTALCO!N140)</f>
        <v>0</v>
      </c>
      <c r="O1021" s="12">
        <f>IF(TOTALCO!O140="", "",TOTALCO!O140)</f>
        <v>0</v>
      </c>
      <c r="P1021" s="12">
        <f>IF(TOTALCO!P140="", "",TOTALCO!P140)</f>
        <v>0</v>
      </c>
      <c r="Q1021" s="12"/>
    </row>
    <row r="1022" spans="1:17" ht="15" x14ac:dyDescent="0.2">
      <c r="A1022" s="382">
        <f>IF(TOTALCO!A141="", "",TOTALCO!A141)</f>
        <v>22</v>
      </c>
      <c r="B1022" s="4" t="str">
        <f>IF(TOTALCO!B141="", "",TOTALCO!B141)</f>
        <v>CWIP PROD FERC-POST ALLOC</v>
      </c>
      <c r="C1022" s="4" t="str">
        <f>IF(TOTALCO!C141="", "",TOTALCO!C141)</f>
        <v>CWIPPP</v>
      </c>
      <c r="D1022" s="12">
        <f ca="1">IF(TOTALCO!D141="", "",TOTALCO!D141)</f>
        <v>22217263.145792887</v>
      </c>
      <c r="E1022" s="12" t="str">
        <f>IF(TOTALCO!E141="", "",TOTALCO!E141)</f>
        <v/>
      </c>
      <c r="F1022" s="12">
        <f>IF(TOTALCO!F141="", "",TOTALCO!F141)</f>
        <v>0</v>
      </c>
      <c r="G1022" s="12" t="str">
        <f>IF(TOTALCO!G141="", "",TOTALCO!G141)</f>
        <v/>
      </c>
      <c r="H1022" s="12">
        <f>IF(TOTALCO!H141="", "",TOTALCO!H141)</f>
        <v>0</v>
      </c>
      <c r="I1022" s="12">
        <f ca="1">IF(TOTALCO!I141="", "",TOTALCO!I141)</f>
        <v>22217263.145792887</v>
      </c>
      <c r="J1022" s="12" t="str">
        <f>IF(TOTALCO!J141="", "",TOTALCO!J141)</f>
        <v/>
      </c>
      <c r="K1022" s="12" t="str">
        <f>IF(TOTALCO!K141="", "",TOTALCO!K141)</f>
        <v/>
      </c>
      <c r="L1022" s="12">
        <f>IF(TOTALCO!L141="", "",TOTALCO!L141)</f>
        <v>0</v>
      </c>
      <c r="M1022" s="12" t="str">
        <f>IF(TOTALCO!M141="", "",TOTALCO!M141)</f>
        <v/>
      </c>
      <c r="N1022" s="12">
        <f ca="1">IF(TOTALCO!N141="", "",TOTALCO!N141)</f>
        <v>22217263.145792887</v>
      </c>
      <c r="O1022" s="12">
        <f ca="1">IF(TOTALCO!O141="", "",TOTALCO!O141)</f>
        <v>6932349.8039188348</v>
      </c>
      <c r="P1022" s="12">
        <f ca="1">IF(TOTALCO!P141="", "",TOTALCO!P141)</f>
        <v>15284913.34187405</v>
      </c>
      <c r="Q1022" s="12"/>
    </row>
    <row r="1023" spans="1:17" ht="15" x14ac:dyDescent="0.2">
      <c r="A1023" s="382">
        <f>IF(TOTALCO!A142="", "",TOTALCO!A142)</f>
        <v>23</v>
      </c>
      <c r="B1023" s="4" t="str">
        <f>IF(TOTALCO!B142="", "",TOTALCO!B142)</f>
        <v>CWIP TRAN FERC-POST ALLOC</v>
      </c>
      <c r="C1023" s="4" t="str">
        <f>IF(TOTALCO!C142="", "",TOTALCO!C142)</f>
        <v>CWIPTP</v>
      </c>
      <c r="D1023" s="12">
        <f ca="1">IF(TOTALCO!D142="", "",TOTALCO!D142)</f>
        <v>3730581.5202978086</v>
      </c>
      <c r="E1023" s="12" t="str">
        <f>IF(TOTALCO!E142="", "",TOTALCO!E142)</f>
        <v/>
      </c>
      <c r="F1023" s="12">
        <f>IF(TOTALCO!F142="", "",TOTALCO!F142)</f>
        <v>0</v>
      </c>
      <c r="G1023" s="12" t="str">
        <f>IF(TOTALCO!G142="", "",TOTALCO!G142)</f>
        <v/>
      </c>
      <c r="H1023" s="12">
        <f>IF(TOTALCO!H142="", "",TOTALCO!H142)</f>
        <v>0</v>
      </c>
      <c r="I1023" s="12">
        <f ca="1">IF(TOTALCO!I142="", "",TOTALCO!I142)</f>
        <v>3730581.5202978086</v>
      </c>
      <c r="J1023" s="12" t="str">
        <f>IF(TOTALCO!J142="", "",TOTALCO!J142)</f>
        <v/>
      </c>
      <c r="K1023" s="12" t="str">
        <f>IF(TOTALCO!K142="", "",TOTALCO!K142)</f>
        <v/>
      </c>
      <c r="L1023" s="12">
        <f>IF(TOTALCO!L142="", "",TOTALCO!L142)</f>
        <v>0</v>
      </c>
      <c r="M1023" s="12" t="str">
        <f>IF(TOTALCO!M142="", "",TOTALCO!M142)</f>
        <v/>
      </c>
      <c r="N1023" s="12">
        <f ca="1">IF(TOTALCO!N142="", "",TOTALCO!N142)</f>
        <v>3730581.5202978086</v>
      </c>
      <c r="O1023" s="12">
        <f ca="1">IF(TOTALCO!O142="", "",TOTALCO!O142)</f>
        <v>1164036.0876599227</v>
      </c>
      <c r="P1023" s="12">
        <f ca="1">IF(TOTALCO!P142="", "",TOTALCO!P142)</f>
        <v>2566545.4326378861</v>
      </c>
      <c r="Q1023" s="12"/>
    </row>
    <row r="1024" spans="1:17" ht="15" x14ac:dyDescent="0.2">
      <c r="A1024" s="382">
        <f>IF(TOTALCO!A143="", "",TOTALCO!A143)</f>
        <v>24</v>
      </c>
      <c r="B1024" s="4" t="str">
        <f>IF(TOTALCO!B143="", "",TOTALCO!B143)</f>
        <v>ACC DEF INC TX PROD FERC-POST</v>
      </c>
      <c r="C1024" s="4" t="str">
        <f>IF(TOTALCO!C143="", "",TOTALCO!C143)</f>
        <v>ADITPP</v>
      </c>
      <c r="D1024" s="12">
        <f ca="1">IF(TOTALCO!D143="", "",TOTALCO!D143)</f>
        <v>971424.20798680035</v>
      </c>
      <c r="E1024" s="12" t="str">
        <f>IF(TOTALCO!E143="", "",TOTALCO!E143)</f>
        <v/>
      </c>
      <c r="F1024" s="12">
        <f>IF(TOTALCO!F143="", "",TOTALCO!F143)</f>
        <v>0</v>
      </c>
      <c r="G1024" s="12" t="str">
        <f>IF(TOTALCO!G143="", "",TOTALCO!G143)</f>
        <v/>
      </c>
      <c r="H1024" s="12">
        <f>IF(TOTALCO!H143="", "",TOTALCO!H143)</f>
        <v>0</v>
      </c>
      <c r="I1024" s="12">
        <f ca="1">IF(TOTALCO!I143="", "",TOTALCO!I143)</f>
        <v>971424.20798680035</v>
      </c>
      <c r="J1024" s="12" t="str">
        <f>IF(TOTALCO!J143="", "",TOTALCO!J143)</f>
        <v/>
      </c>
      <c r="K1024" s="12" t="str">
        <f>IF(TOTALCO!K143="", "",TOTALCO!K143)</f>
        <v/>
      </c>
      <c r="L1024" s="12">
        <f>IF(TOTALCO!L143="", "",TOTALCO!L143)</f>
        <v>0</v>
      </c>
      <c r="M1024" s="12" t="str">
        <f>IF(TOTALCO!M143="", "",TOTALCO!M143)</f>
        <v/>
      </c>
      <c r="N1024" s="12">
        <f ca="1">IF(TOTALCO!N143="", "",TOTALCO!N143)</f>
        <v>971424.20798680035</v>
      </c>
      <c r="O1024" s="12">
        <f ca="1">IF(TOTALCO!O143="", "",TOTALCO!O143)</f>
        <v>303109.00013058179</v>
      </c>
      <c r="P1024" s="12">
        <f ca="1">IF(TOTALCO!P143="", "",TOTALCO!P143)</f>
        <v>668315.20785621856</v>
      </c>
      <c r="Q1024" s="12"/>
    </row>
    <row r="1025" spans="1:17" ht="15" x14ac:dyDescent="0.2">
      <c r="A1025" s="382">
        <f>IF(TOTALCO!A144="", "",TOTALCO!A144)</f>
        <v>25</v>
      </c>
      <c r="B1025" s="4" t="str">
        <f>IF(TOTALCO!B144="", "",TOTALCO!B144)</f>
        <v>ACC DEF INC TX TRAN FERC-POST</v>
      </c>
      <c r="C1025" s="4" t="str">
        <f>IF(TOTALCO!C144="", "",TOTALCO!C144)</f>
        <v>ADITTP</v>
      </c>
      <c r="D1025" s="12">
        <f ca="1">IF(TOTALCO!D144="", "",TOTALCO!D144)</f>
        <v>3614550.9721758543</v>
      </c>
      <c r="E1025" s="12" t="str">
        <f>IF(TOTALCO!E144="", "",TOTALCO!E144)</f>
        <v/>
      </c>
      <c r="F1025" s="12">
        <f>IF(TOTALCO!F144="", "",TOTALCO!F144)</f>
        <v>0</v>
      </c>
      <c r="G1025" s="12" t="str">
        <f>IF(TOTALCO!G144="", "",TOTALCO!G144)</f>
        <v/>
      </c>
      <c r="H1025" s="12">
        <f>IF(TOTALCO!H144="", "",TOTALCO!H144)</f>
        <v>0</v>
      </c>
      <c r="I1025" s="12">
        <f ca="1">IF(TOTALCO!I144="", "",TOTALCO!I144)</f>
        <v>3614550.9721758543</v>
      </c>
      <c r="J1025" s="12" t="str">
        <f>IF(TOTALCO!J144="", "",TOTALCO!J144)</f>
        <v/>
      </c>
      <c r="K1025" s="12" t="str">
        <f>IF(TOTALCO!K144="", "",TOTALCO!K144)</f>
        <v/>
      </c>
      <c r="L1025" s="12">
        <f>IF(TOTALCO!L144="", "",TOTALCO!L144)</f>
        <v>0</v>
      </c>
      <c r="M1025" s="12" t="str">
        <f>IF(TOTALCO!M144="", "",TOTALCO!M144)</f>
        <v/>
      </c>
      <c r="N1025" s="12">
        <f ca="1">IF(TOTALCO!N144="", "",TOTALCO!N144)</f>
        <v>3614550.9721758543</v>
      </c>
      <c r="O1025" s="12">
        <f ca="1">IF(TOTALCO!O144="", "",TOTALCO!O144)</f>
        <v>1127831.612687309</v>
      </c>
      <c r="P1025" s="12">
        <f ca="1">IF(TOTALCO!P144="", "",TOTALCO!P144)</f>
        <v>2486719.3594885455</v>
      </c>
      <c r="Q1025" s="12"/>
    </row>
    <row r="1026" spans="1:17" ht="15" x14ac:dyDescent="0.2">
      <c r="A1026" s="382">
        <f>IF(TOTALCO!A145="", "",TOTALCO!A145)</f>
        <v>26</v>
      </c>
      <c r="B1026" s="4" t="str">
        <f>IF(TOTALCO!B145="", "",TOTALCO!B145)</f>
        <v>TRANSMISSION PLANT EXCL VA</v>
      </c>
      <c r="C1026" s="4" t="str">
        <f>IF(TOTALCO!C145="", "",TOTALCO!C145)</f>
        <v>TRANPLTX</v>
      </c>
      <c r="D1026" s="12">
        <f ca="1">IF(TOTALCO!D145="", "",TOTALCO!D145)</f>
        <v>615216199.21999991</v>
      </c>
      <c r="E1026" s="12" t="str">
        <f>IF(TOTALCO!E145="", "",TOTALCO!E145)</f>
        <v/>
      </c>
      <c r="F1026" s="12">
        <f ca="1">IF(TOTALCO!F145="", "",TOTALCO!F145)</f>
        <v>528497002.23105335</v>
      </c>
      <c r="G1026" s="12" t="str">
        <f>IF(TOTALCO!G145="", "",TOTALCO!G145)</f>
        <v/>
      </c>
      <c r="H1026" s="12">
        <f ca="1">IF(TOTALCO!H145="", "",TOTALCO!H145)</f>
        <v>32231464.425849125</v>
      </c>
      <c r="I1026" s="12">
        <f ca="1">IF(TOTALCO!I145="", "",TOTALCO!I145)</f>
        <v>54487732.563097522</v>
      </c>
      <c r="J1026" s="12" t="str">
        <f>IF(TOTALCO!J145="", "",TOTALCO!J145)</f>
        <v/>
      </c>
      <c r="K1026" s="12" t="str">
        <f>IF(TOTALCO!K145="", "",TOTALCO!K145)</f>
        <v/>
      </c>
      <c r="L1026" s="12">
        <f ca="1">IF(TOTALCO!L145="", "",TOTALCO!L145)</f>
        <v>4672.8485567452108</v>
      </c>
      <c r="M1026" s="12" t="str">
        <f>IF(TOTALCO!M145="", "",TOTALCO!M145)</f>
        <v/>
      </c>
      <c r="N1026" s="12">
        <f ca="1">IF(TOTALCO!N145="", "",TOTALCO!N145)</f>
        <v>54483059.71454078</v>
      </c>
      <c r="O1026" s="12">
        <f ca="1">IF(TOTALCO!O145="", "",TOTALCO!O145)</f>
        <v>17000096.98991733</v>
      </c>
      <c r="P1026" s="12">
        <f ca="1">IF(TOTALCO!P145="", "",TOTALCO!P145)</f>
        <v>37482962.724623449</v>
      </c>
      <c r="Q1026" s="12"/>
    </row>
    <row r="1027" spans="1:17" ht="15" x14ac:dyDescent="0.2">
      <c r="A1027" s="382">
        <f>IF(TOTALCO!A146="", "",TOTALCO!A146)</f>
        <v>27</v>
      </c>
      <c r="B1027" s="4" t="str">
        <f>IF(TOTALCO!B146="", "",TOTALCO!B146)</f>
        <v>TRANSM PLANT VA</v>
      </c>
      <c r="C1027" s="4" t="str">
        <f>IF(TOTALCO!C146="", "",TOTALCO!C146)</f>
        <v>TRPLTVA</v>
      </c>
      <c r="D1027" s="12">
        <f ca="1">IF(TOTALCO!D146="", "",TOTALCO!D146)</f>
        <v>52729785.129999995</v>
      </c>
      <c r="E1027" s="12" t="str">
        <f>IF(TOTALCO!E146="", "",TOTALCO!E146)</f>
        <v/>
      </c>
      <c r="F1027" s="12">
        <f ca="1">IF(TOTALCO!F146="", "",TOTALCO!F146)</f>
        <v>7504807.6519980747</v>
      </c>
      <c r="G1027" s="12" t="str">
        <f>IF(TOTALCO!G146="", "",TOTALCO!G146)</f>
        <v/>
      </c>
      <c r="H1027" s="12">
        <f ca="1">IF(TOTALCO!H146="", "",TOTALCO!H146)</f>
        <v>44494822.285232827</v>
      </c>
      <c r="I1027" s="12">
        <f ca="1">IF(TOTALCO!I146="", "",TOTALCO!I146)</f>
        <v>730155.19276909239</v>
      </c>
      <c r="J1027" s="12" t="str">
        <f>IF(TOTALCO!J146="", "",TOTALCO!J146)</f>
        <v/>
      </c>
      <c r="K1027" s="12" t="str">
        <f>IF(TOTALCO!K146="", "",TOTALCO!K146)</f>
        <v/>
      </c>
      <c r="L1027" s="12">
        <f ca="1">IF(TOTALCO!L146="", "",TOTALCO!L146)</f>
        <v>66.355777719166497</v>
      </c>
      <c r="M1027" s="12" t="str">
        <f>IF(TOTALCO!M146="", "",TOTALCO!M146)</f>
        <v/>
      </c>
      <c r="N1027" s="12">
        <f ca="1">IF(TOTALCO!N146="", "",TOTALCO!N146)</f>
        <v>730088.83699137322</v>
      </c>
      <c r="O1027" s="12">
        <f ca="1">IF(TOTALCO!O146="", "",TOTALCO!O146)</f>
        <v>227806.24115346465</v>
      </c>
      <c r="P1027" s="12">
        <f ca="1">IF(TOTALCO!P146="", "",TOTALCO!P146)</f>
        <v>502282.59583790862</v>
      </c>
      <c r="Q1027" s="12"/>
    </row>
    <row r="1028" spans="1:17" ht="15" x14ac:dyDescent="0.2">
      <c r="A1028" s="382">
        <f>IF(TOTALCO!A147="", "",TOTALCO!A147)</f>
        <v>28</v>
      </c>
      <c r="B1028" s="4" t="str">
        <f>IF(TOTALCO!B147="", "",TOTALCO!B147)</f>
        <v>TOT ACCT 364 &amp; 365-OVHD LINE</v>
      </c>
      <c r="C1028" s="4" t="str">
        <f>IF(TOTALCO!C147="", "",TOTALCO!C147)</f>
        <v>PLT3645TOT</v>
      </c>
      <c r="D1028" s="12">
        <f ca="1">IF(TOTALCO!D147="", "",TOTALCO!D147)</f>
        <v>580724064.02999985</v>
      </c>
      <c r="E1028" s="12" t="str">
        <f>IF(TOTALCO!E147="", "",TOTALCO!E147)</f>
        <v/>
      </c>
      <c r="F1028" s="12">
        <f ca="1">IF(TOTALCO!F147="", "",TOTALCO!F147)</f>
        <v>537135304.86999989</v>
      </c>
      <c r="G1028" s="12" t="str">
        <f>IF(TOTALCO!G147="", "",TOTALCO!G147)</f>
        <v/>
      </c>
      <c r="H1028" s="12">
        <f ca="1">IF(TOTALCO!H147="", "",TOTALCO!H147)</f>
        <v>43493881.739999995</v>
      </c>
      <c r="I1028" s="12">
        <f ca="1">IF(TOTALCO!I147="", "",TOTALCO!I147)</f>
        <v>94877.42</v>
      </c>
      <c r="J1028" s="12" t="str">
        <f>IF(TOTALCO!J147="", "",TOTALCO!J147)</f>
        <v/>
      </c>
      <c r="K1028" s="12" t="str">
        <f>IF(TOTALCO!K147="", "",TOTALCO!K147)</f>
        <v/>
      </c>
      <c r="L1028" s="12">
        <f ca="1">IF(TOTALCO!L147="", "",TOTALCO!L147)</f>
        <v>94877.42</v>
      </c>
      <c r="M1028" s="12" t="str">
        <f>IF(TOTALCO!M147="", "",TOTALCO!M147)</f>
        <v/>
      </c>
      <c r="N1028" s="12">
        <f ca="1">IF(TOTALCO!N147="", "",TOTALCO!N147)</f>
        <v>0</v>
      </c>
      <c r="O1028" s="12">
        <f ca="1">IF(TOTALCO!O147="", "",TOTALCO!O147)</f>
        <v>0</v>
      </c>
      <c r="P1028" s="12">
        <f ca="1">IF(TOTALCO!P147="", "",TOTALCO!P147)</f>
        <v>0</v>
      </c>
      <c r="Q1028" s="12"/>
    </row>
    <row r="1029" spans="1:17" ht="15" x14ac:dyDescent="0.2">
      <c r="A1029" s="382">
        <f>IF(TOTALCO!A148="", "",TOTALCO!A148)</f>
        <v>29</v>
      </c>
      <c r="B1029" s="4" t="str">
        <f>IF(TOTALCO!B148="", "",TOTALCO!B148)</f>
        <v>TOTAL ELECTRIC PLANT</v>
      </c>
      <c r="C1029" s="4" t="str">
        <f>IF(TOTALCO!C148="", "",TOTALCO!C148)</f>
        <v>PLANT</v>
      </c>
      <c r="D1029" s="12">
        <f ca="1">IF(TOTALCO!D148="", "",TOTALCO!D148)</f>
        <v>6492570022.5200014</v>
      </c>
      <c r="E1029" s="12" t="str">
        <f>IF(TOTALCO!E148="", "",TOTALCO!E148)</f>
        <v/>
      </c>
      <c r="F1029" s="12">
        <f ca="1">IF(TOTALCO!F148="", "",TOTALCO!F148)</f>
        <v>5653048566.0583582</v>
      </c>
      <c r="G1029" s="12" t="str">
        <f>IF(TOTALCO!G148="", "",TOTALCO!G148)</f>
        <v/>
      </c>
      <c r="H1029" s="12">
        <f ca="1">IF(TOTALCO!H148="", "",TOTALCO!H148)</f>
        <v>385619848.42484289</v>
      </c>
      <c r="I1029" s="12">
        <f ca="1">IF(TOTALCO!I148="", "",TOTALCO!I148)</f>
        <v>453901608.03680044</v>
      </c>
      <c r="J1029" s="12" t="str">
        <f>IF(TOTALCO!J148="", "",TOTALCO!J148)</f>
        <v/>
      </c>
      <c r="K1029" s="12" t="str">
        <f>IF(TOTALCO!K148="", "",TOTALCO!K148)</f>
        <v/>
      </c>
      <c r="L1029" s="12">
        <f ca="1">IF(TOTALCO!L148="", "",TOTALCO!L148)</f>
        <v>204724.27671333775</v>
      </c>
      <c r="M1029" s="12" t="str">
        <f>IF(TOTALCO!M148="", "",TOTALCO!M148)</f>
        <v/>
      </c>
      <c r="N1029" s="12">
        <f ca="1">IF(TOTALCO!N148="", "",TOTALCO!N148)</f>
        <v>453696883.76008713</v>
      </c>
      <c r="O1029" s="12">
        <f ca="1">IF(TOTALCO!O148="", "",TOTALCO!O148)</f>
        <v>144053837.02218154</v>
      </c>
      <c r="P1029" s="12">
        <f ca="1">IF(TOTALCO!P148="", "",TOTALCO!P148)</f>
        <v>309643046.73790562</v>
      </c>
      <c r="Q1029" s="12"/>
    </row>
    <row r="1030" spans="1:17" ht="15" x14ac:dyDescent="0.2">
      <c r="A1030" s="382">
        <f>IF(TOTALCO!A149="", "",TOTALCO!A149)</f>
        <v>30</v>
      </c>
      <c r="B1030" s="4" t="str">
        <f>IF(TOTALCO!B149="", "",TOTALCO!B149)</f>
        <v>TOTAL ELECTRIC PLANT KY</v>
      </c>
      <c r="C1030" s="4" t="str">
        <f>IF(TOTALCO!C149="", "",TOTALCO!C149)</f>
        <v>PLANTKY</v>
      </c>
      <c r="D1030" s="12">
        <f ca="1">IF(TOTALCO!D149="", "",TOTALCO!D149)</f>
        <v>5653048566.0583582</v>
      </c>
      <c r="E1030" s="12" t="str">
        <f>IF(TOTALCO!E149="", "",TOTALCO!E149)</f>
        <v/>
      </c>
      <c r="F1030" s="12">
        <f ca="1">IF(TOTALCO!F149="", "",TOTALCO!F149)</f>
        <v>5653048566.0583582</v>
      </c>
      <c r="G1030" s="12" t="str">
        <f>IF(TOTALCO!G149="", "",TOTALCO!G149)</f>
        <v/>
      </c>
      <c r="H1030" s="12">
        <f>IF(TOTALCO!H149="", "",TOTALCO!H149)</f>
        <v>0</v>
      </c>
      <c r="I1030" s="12">
        <f>IF(TOTALCO!I149="", "",TOTALCO!I149)</f>
        <v>0</v>
      </c>
      <c r="J1030" s="12" t="str">
        <f>IF(TOTALCO!J149="", "",TOTALCO!J149)</f>
        <v/>
      </c>
      <c r="K1030" s="12" t="str">
        <f>IF(TOTALCO!K149="", "",TOTALCO!K149)</f>
        <v/>
      </c>
      <c r="L1030" s="12">
        <f>IF(TOTALCO!L149="", "",TOTALCO!L149)</f>
        <v>0</v>
      </c>
      <c r="M1030" s="12" t="str">
        <f>IF(TOTALCO!M149="", "",TOTALCO!M149)</f>
        <v/>
      </c>
      <c r="N1030" s="12">
        <f>IF(TOTALCO!N149="", "",TOTALCO!N149)</f>
        <v>0</v>
      </c>
      <c r="O1030" s="12">
        <f>IF(TOTALCO!O149="", "",TOTALCO!O149)</f>
        <v>0</v>
      </c>
      <c r="P1030" s="12">
        <f>IF(TOTALCO!P149="", "",TOTALCO!P149)</f>
        <v>0</v>
      </c>
      <c r="Q1030" s="12"/>
    </row>
    <row r="1031" spans="1:17" ht="15" x14ac:dyDescent="0.2">
      <c r="A1031" s="382">
        <f>IF(TOTALCO!A150="", "",TOTALCO!A150)</f>
        <v>31</v>
      </c>
      <c r="B1031" s="4" t="str">
        <f>IF(TOTALCO!B150="", "",TOTALCO!B150)</f>
        <v>TOTAL ELECTRIC PLANT KY &amp; FERC</v>
      </c>
      <c r="C1031" s="4" t="str">
        <f>IF(TOTALCO!C150="", "",TOTALCO!C150)</f>
        <v>PLANTKF</v>
      </c>
      <c r="D1031" s="12">
        <f ca="1">IF(TOTALCO!D150="", "",TOTALCO!D150)</f>
        <v>6106745449.8184452</v>
      </c>
      <c r="E1031" s="12" t="str">
        <f>IF(TOTALCO!E150="", "",TOTALCO!E150)</f>
        <v/>
      </c>
      <c r="F1031" s="12">
        <f ca="1">IF(TOTALCO!F150="", "",TOTALCO!F150)</f>
        <v>5653048566.0583582</v>
      </c>
      <c r="G1031" s="12" t="str">
        <f>IF(TOTALCO!G150="", "",TOTALCO!G150)</f>
        <v/>
      </c>
      <c r="H1031" s="12">
        <f>IF(TOTALCO!H150="", "",TOTALCO!H150)</f>
        <v>0</v>
      </c>
      <c r="I1031" s="12">
        <f ca="1">IF(TOTALCO!I150="", "",TOTALCO!I150)</f>
        <v>453696883.76008713</v>
      </c>
      <c r="J1031" s="12" t="str">
        <f>IF(TOTALCO!J150="", "",TOTALCO!J150)</f>
        <v/>
      </c>
      <c r="K1031" s="12" t="str">
        <f>IF(TOTALCO!K150="", "",TOTALCO!K150)</f>
        <v/>
      </c>
      <c r="L1031" s="12">
        <f>IF(TOTALCO!L150="", "",TOTALCO!L150)</f>
        <v>0</v>
      </c>
      <c r="M1031" s="12" t="str">
        <f>IF(TOTALCO!M150="", "",TOTALCO!M150)</f>
        <v/>
      </c>
      <c r="N1031" s="12">
        <f ca="1">IF(TOTALCO!N150="", "",TOTALCO!N150)</f>
        <v>453696883.76008713</v>
      </c>
      <c r="O1031" s="12">
        <f ca="1">IF(TOTALCO!O150="", "",TOTALCO!O150)</f>
        <v>144053837.02218154</v>
      </c>
      <c r="P1031" s="12">
        <f ca="1">IF(TOTALCO!P150="", "",TOTALCO!P150)</f>
        <v>309643046.73790562</v>
      </c>
      <c r="Q1031" s="12"/>
    </row>
    <row r="1032" spans="1:17" ht="15" x14ac:dyDescent="0.2">
      <c r="A1032" s="382">
        <f>IF(TOTALCO!A151="", "",TOTALCO!A151)</f>
        <v>32</v>
      </c>
      <c r="B1032" s="4" t="str">
        <f>IF(TOTALCO!B151="", "",TOTALCO!B151)</f>
        <v>TOTAL ELECTRIC PLANT VA</v>
      </c>
      <c r="C1032" s="4" t="str">
        <f>IF(TOTALCO!C151="", "",TOTALCO!C151)</f>
        <v>PLANTVA</v>
      </c>
      <c r="D1032" s="12">
        <f ca="1">IF(TOTALCO!D151="", "",TOTALCO!D151)</f>
        <v>385619848.42484289</v>
      </c>
      <c r="E1032" s="12" t="str">
        <f>IF(TOTALCO!E151="", "",TOTALCO!E151)</f>
        <v/>
      </c>
      <c r="F1032" s="12">
        <f>IF(TOTALCO!F151="", "",TOTALCO!F151)</f>
        <v>0</v>
      </c>
      <c r="G1032" s="12" t="str">
        <f>IF(TOTALCO!G151="", "",TOTALCO!G151)</f>
        <v/>
      </c>
      <c r="H1032" s="12">
        <f ca="1">IF(TOTALCO!H151="", "",TOTALCO!H151)</f>
        <v>385619848.42484289</v>
      </c>
      <c r="I1032" s="12">
        <f>IF(TOTALCO!I151="", "",TOTALCO!I151)</f>
        <v>0</v>
      </c>
      <c r="J1032" s="12" t="str">
        <f>IF(TOTALCO!J151="", "",TOTALCO!J151)</f>
        <v/>
      </c>
      <c r="K1032" s="12" t="str">
        <f>IF(TOTALCO!K151="", "",TOTALCO!K151)</f>
        <v/>
      </c>
      <c r="L1032" s="12">
        <f>IF(TOTALCO!L151="", "",TOTALCO!L151)</f>
        <v>0</v>
      </c>
      <c r="M1032" s="12" t="str">
        <f>IF(TOTALCO!M151="", "",TOTALCO!M151)</f>
        <v/>
      </c>
      <c r="N1032" s="12">
        <f>IF(TOTALCO!N151="", "",TOTALCO!N151)</f>
        <v>0</v>
      </c>
      <c r="O1032" s="12">
        <f>IF(TOTALCO!O151="", "",TOTALCO!O151)</f>
        <v>0</v>
      </c>
      <c r="P1032" s="12">
        <f>IF(TOTALCO!P151="", "",TOTALCO!P151)</f>
        <v>0</v>
      </c>
      <c r="Q1032" s="12"/>
    </row>
    <row r="1033" spans="1:17" ht="15" x14ac:dyDescent="0.2">
      <c r="A1033" s="382">
        <f>IF(TOTALCO!A152="", "",TOTALCO!A152)</f>
        <v>33</v>
      </c>
      <c r="B1033" s="4" t="str">
        <f>IF(TOTALCO!B152="", "",TOTALCO!B152)</f>
        <v>TOTAL STEAM PROD PLANT</v>
      </c>
      <c r="C1033" s="4" t="str">
        <f>IF(TOTALCO!C152="", "",TOTALCO!C152)</f>
        <v>STMPLT</v>
      </c>
      <c r="D1033" s="12">
        <f ca="1">IF(TOTALCO!D152="", "",TOTALCO!D152)</f>
        <v>3627633482.6900005</v>
      </c>
      <c r="E1033" s="12" t="str">
        <f>IF(TOTALCO!E152="", "",TOTALCO!E152)</f>
        <v/>
      </c>
      <c r="F1033" s="12">
        <f ca="1">IF(TOTALCO!F152="", "",TOTALCO!F152)</f>
        <v>3105688241.9405155</v>
      </c>
      <c r="G1033" s="12" t="str">
        <f>IF(TOTALCO!G152="", "",TOTALCO!G152)</f>
        <v/>
      </c>
      <c r="H1033" s="12">
        <f ca="1">IF(TOTALCO!H152="", "",TOTALCO!H152)</f>
        <v>188853334.58250955</v>
      </c>
      <c r="I1033" s="12">
        <f ca="1">IF(TOTALCO!I152="", "",TOTALCO!I152)</f>
        <v>333091906.16697574</v>
      </c>
      <c r="J1033" s="12" t="str">
        <f>IF(TOTALCO!J152="", "",TOTALCO!J152)</f>
        <v/>
      </c>
      <c r="K1033" s="12" t="str">
        <f>IF(TOTALCO!K152="", "",TOTALCO!K152)</f>
        <v/>
      </c>
      <c r="L1033" s="12">
        <f ca="1">IF(TOTALCO!L152="", "",TOTALCO!L152)</f>
        <v>27459.77887819245</v>
      </c>
      <c r="M1033" s="12" t="str">
        <f>IF(TOTALCO!M152="", "",TOTALCO!M152)</f>
        <v/>
      </c>
      <c r="N1033" s="12">
        <f ca="1">IF(TOTALCO!N152="", "",TOTALCO!N152)</f>
        <v>333064446.38809752</v>
      </c>
      <c r="O1033" s="12">
        <f ca="1">IF(TOTALCO!O152="", "",TOTALCO!O152)</f>
        <v>103924557.87463117</v>
      </c>
      <c r="P1033" s="12">
        <f ca="1">IF(TOTALCO!P152="", "",TOTALCO!P152)</f>
        <v>229139888.51346633</v>
      </c>
      <c r="Q1033" s="12"/>
    </row>
    <row r="1034" spans="1:17" ht="15" x14ac:dyDescent="0.2">
      <c r="A1034" s="382">
        <f>IF(TOTALCO!A153="", "",TOTALCO!A153)</f>
        <v>34</v>
      </c>
      <c r="B1034" s="4" t="str">
        <f>IF(TOTALCO!B153="", "",TOTALCO!B153)</f>
        <v>TOTAL HYDRAULIC PROD PLANT</v>
      </c>
      <c r="C1034" s="4" t="str">
        <f>IF(TOTALCO!C153="", "",TOTALCO!C153)</f>
        <v>HYDPLT</v>
      </c>
      <c r="D1034" s="12">
        <f ca="1">IF(TOTALCO!D153="", "",TOTALCO!D153)</f>
        <v>28756470.000000004</v>
      </c>
      <c r="E1034" s="12" t="str">
        <f>IF(TOTALCO!E153="", "",TOTALCO!E153)</f>
        <v/>
      </c>
      <c r="F1034" s="12">
        <f ca="1">IF(TOTALCO!F153="", "",TOTALCO!F153)</f>
        <v>24836524.438375533</v>
      </c>
      <c r="G1034" s="12" t="str">
        <f>IF(TOTALCO!G153="", "",TOTALCO!G153)</f>
        <v/>
      </c>
      <c r="H1034" s="12">
        <f ca="1">IF(TOTALCO!H153="", "",TOTALCO!H153)</f>
        <v>1458885.2275194228</v>
      </c>
      <c r="I1034" s="12">
        <f ca="1">IF(TOTALCO!I153="", "",TOTALCO!I153)</f>
        <v>2461060.3341050483</v>
      </c>
      <c r="J1034" s="12" t="str">
        <f>IF(TOTALCO!J153="", "",TOTALCO!J153)</f>
        <v/>
      </c>
      <c r="K1034" s="12" t="str">
        <f>IF(TOTALCO!K153="", "",TOTALCO!K153)</f>
        <v/>
      </c>
      <c r="L1034" s="12">
        <f ca="1">IF(TOTALCO!L153="", "",TOTALCO!L153)</f>
        <v>219.59881869999941</v>
      </c>
      <c r="M1034" s="12" t="str">
        <f>IF(TOTALCO!M153="", "",TOTALCO!M153)</f>
        <v/>
      </c>
      <c r="N1034" s="12">
        <f ca="1">IF(TOTALCO!N153="", "",TOTALCO!N153)</f>
        <v>2460840.7352863485</v>
      </c>
      <c r="O1034" s="12">
        <f ca="1">IF(TOTALCO!O153="", "",TOTALCO!O153)</f>
        <v>767844.74652847636</v>
      </c>
      <c r="P1034" s="12">
        <f ca="1">IF(TOTALCO!P153="", "",TOTALCO!P153)</f>
        <v>1692995.988757872</v>
      </c>
      <c r="Q1034" s="12"/>
    </row>
    <row r="1035" spans="1:17" ht="15" x14ac:dyDescent="0.2">
      <c r="A1035" s="382">
        <f>IF(TOTALCO!A154="", "",TOTALCO!A154)</f>
        <v>35</v>
      </c>
      <c r="B1035" s="4" t="str">
        <f>IF(TOTALCO!B154="", "",TOTALCO!B154)</f>
        <v>TOTAL OTHER PROD PLANT</v>
      </c>
      <c r="C1035" s="4" t="str">
        <f>IF(TOTALCO!C154="", "",TOTALCO!C154)</f>
        <v>OTHPLT</v>
      </c>
      <c r="D1035" s="12">
        <f ca="1">IF(TOTALCO!D154="", "",TOTALCO!D154)</f>
        <v>533383144.98000002</v>
      </c>
      <c r="E1035" s="12" t="str">
        <f>IF(TOTALCO!E154="", "",TOTALCO!E154)</f>
        <v/>
      </c>
      <c r="F1035" s="12">
        <f ca="1">IF(TOTALCO!F154="", "",TOTALCO!F154)</f>
        <v>459827511.44554573</v>
      </c>
      <c r="G1035" s="12" t="str">
        <f>IF(TOTALCO!G154="", "",TOTALCO!G154)</f>
        <v/>
      </c>
      <c r="H1035" s="12">
        <f ca="1">IF(TOTALCO!H154="", "",TOTALCO!H154)</f>
        <v>27005062.385680355</v>
      </c>
      <c r="I1035" s="12">
        <f ca="1">IF(TOTALCO!I154="", "",TOTALCO!I154)</f>
        <v>46550571.148773916</v>
      </c>
      <c r="J1035" s="12" t="str">
        <f>IF(TOTALCO!J154="", "",TOTALCO!J154)</f>
        <v/>
      </c>
      <c r="K1035" s="12" t="str">
        <f>IF(TOTALCO!K154="", "",TOTALCO!K154)</f>
        <v/>
      </c>
      <c r="L1035" s="12">
        <f ca="1">IF(TOTALCO!L154="", "",TOTALCO!L154)</f>
        <v>4065.6887629244661</v>
      </c>
      <c r="M1035" s="12" t="str">
        <f>IF(TOTALCO!M154="", "",TOTALCO!M154)</f>
        <v/>
      </c>
      <c r="N1035" s="12">
        <f ca="1">IF(TOTALCO!N154="", "",TOTALCO!N154)</f>
        <v>46546505.460010991</v>
      </c>
      <c r="O1035" s="12">
        <f ca="1">IF(TOTALCO!O154="", "",TOTALCO!O154)</f>
        <v>14523690.694095101</v>
      </c>
      <c r="P1035" s="12">
        <f ca="1">IF(TOTALCO!P154="", "",TOTALCO!P154)</f>
        <v>32022814.765915893</v>
      </c>
      <c r="Q1035" s="12"/>
    </row>
    <row r="1036" spans="1:17" ht="15" x14ac:dyDescent="0.2">
      <c r="A1036" s="382">
        <f>IF(TOTALCO!A155="", "",TOTALCO!A155)</f>
        <v>36</v>
      </c>
      <c r="B1036" s="4" t="str">
        <f>IF(TOTALCO!B155="", "",TOTALCO!B155)</f>
        <v>TOT ACCT 360-362 SUBSTATIONS</v>
      </c>
      <c r="C1036" s="4" t="str">
        <f>IF(TOTALCO!C155="", "",TOTALCO!C155)</f>
        <v>PLT3602TOT</v>
      </c>
      <c r="D1036" s="12">
        <f ca="1">IF(TOTALCO!D155="", "",TOTALCO!D155)</f>
        <v>158338784.04999998</v>
      </c>
      <c r="E1036" s="12" t="str">
        <f>IF(TOTALCO!E155="", "",TOTALCO!E155)</f>
        <v/>
      </c>
      <c r="F1036" s="12">
        <f ca="1">IF(TOTALCO!F155="", "",TOTALCO!F155)</f>
        <v>146452780.45999998</v>
      </c>
      <c r="G1036" s="12" t="str">
        <f>IF(TOTALCO!G155="", "",TOTALCO!G155)</f>
        <v/>
      </c>
      <c r="H1036" s="12">
        <f ca="1">IF(TOTALCO!H155="", "",TOTALCO!H155)</f>
        <v>8338352.3099999996</v>
      </c>
      <c r="I1036" s="12">
        <f ca="1">IF(TOTALCO!I155="", "",TOTALCO!I155)</f>
        <v>3547651.28</v>
      </c>
      <c r="J1036" s="12" t="str">
        <f>IF(TOTALCO!J155="", "",TOTALCO!J155)</f>
        <v/>
      </c>
      <c r="K1036" s="12" t="str">
        <f>IF(TOTALCO!K155="", "",TOTALCO!K155)</f>
        <v/>
      </c>
      <c r="L1036" s="12">
        <f ca="1">IF(TOTALCO!L155="", "",TOTALCO!L155)</f>
        <v>63681.279999999999</v>
      </c>
      <c r="M1036" s="12" t="str">
        <f>IF(TOTALCO!M155="", "",TOTALCO!M155)</f>
        <v/>
      </c>
      <c r="N1036" s="12">
        <f ca="1">IF(TOTALCO!N155="", "",TOTALCO!N155)</f>
        <v>3483970</v>
      </c>
      <c r="O1036" s="12">
        <f ca="1">IF(TOTALCO!O155="", "",TOTALCO!O155)</f>
        <v>3483970</v>
      </c>
      <c r="P1036" s="12">
        <f ca="1">IF(TOTALCO!P155="", "",TOTALCO!P155)</f>
        <v>0</v>
      </c>
      <c r="Q1036" s="12"/>
    </row>
    <row r="1037" spans="1:17" ht="15" x14ac:dyDescent="0.2">
      <c r="A1037" s="382">
        <f>IF(TOTALCO!A156="", "",TOTALCO!A156)</f>
        <v>37</v>
      </c>
      <c r="B1037" s="4" t="str">
        <f>IF(TOTALCO!B156="", "",TOTALCO!B156)</f>
        <v>TOT ACCT 366 &amp; 367-UG LINES</v>
      </c>
      <c r="C1037" s="4" t="str">
        <f>IF(TOTALCO!C156="", "",TOTALCO!C156)</f>
        <v>PLT3667TOT</v>
      </c>
      <c r="D1037" s="12">
        <f ca="1">IF(TOTALCO!D156="", "",TOTALCO!D156)</f>
        <v>144105048.07999998</v>
      </c>
      <c r="E1037" s="12" t="str">
        <f>IF(TOTALCO!E156="", "",TOTALCO!E156)</f>
        <v/>
      </c>
      <c r="F1037" s="12">
        <f ca="1">IF(TOTALCO!F156="", "",TOTALCO!F156)</f>
        <v>141341084.22999999</v>
      </c>
      <c r="G1037" s="12" t="str">
        <f>IF(TOTALCO!G156="", "",TOTALCO!G156)</f>
        <v/>
      </c>
      <c r="H1037" s="12">
        <f ca="1">IF(TOTALCO!H156="", "",TOTALCO!H156)</f>
        <v>2763963.85</v>
      </c>
      <c r="I1037" s="12">
        <f ca="1">IF(TOTALCO!I156="", "",TOTALCO!I156)</f>
        <v>0</v>
      </c>
      <c r="J1037" s="12" t="str">
        <f>IF(TOTALCO!J156="", "",TOTALCO!J156)</f>
        <v/>
      </c>
      <c r="K1037" s="12" t="str">
        <f>IF(TOTALCO!K156="", "",TOTALCO!K156)</f>
        <v/>
      </c>
      <c r="L1037" s="12">
        <f ca="1">IF(TOTALCO!L156="", "",TOTALCO!L156)</f>
        <v>0</v>
      </c>
      <c r="M1037" s="12" t="str">
        <f>IF(TOTALCO!M156="", "",TOTALCO!M156)</f>
        <v/>
      </c>
      <c r="N1037" s="12">
        <f ca="1">IF(TOTALCO!N156="", "",TOTALCO!N156)</f>
        <v>0</v>
      </c>
      <c r="O1037" s="12">
        <f ca="1">IF(TOTALCO!O156="", "",TOTALCO!O156)</f>
        <v>0</v>
      </c>
      <c r="P1037" s="12">
        <f ca="1">IF(TOTALCO!P156="", "",TOTALCO!P156)</f>
        <v>0</v>
      </c>
      <c r="Q1037" s="12"/>
    </row>
    <row r="1038" spans="1:17" ht="15" x14ac:dyDescent="0.2">
      <c r="A1038" s="382">
        <f>IF(TOTALCO!A157="", "",TOTALCO!A157)</f>
        <v>38</v>
      </c>
      <c r="B1038" s="4" t="str">
        <f>IF(TOTALCO!B157="", "",TOTALCO!B157)</f>
        <v>TOT ACCT 373-STREET LIGHTING</v>
      </c>
      <c r="C1038" s="4" t="str">
        <f>IF(TOTALCO!C157="", "",TOTALCO!C157)</f>
        <v>PLT373TOT</v>
      </c>
      <c r="D1038" s="12">
        <f ca="1">IF(TOTALCO!D157="", "",TOTALCO!D157)</f>
        <v>83014243.350000024</v>
      </c>
      <c r="E1038" s="12" t="str">
        <f>IF(TOTALCO!E157="", "",TOTALCO!E157)</f>
        <v/>
      </c>
      <c r="F1038" s="12">
        <f ca="1">IF(TOTALCO!F157="", "",TOTALCO!F157)</f>
        <v>80975589.62000002</v>
      </c>
      <c r="G1038" s="12" t="str">
        <f>IF(TOTALCO!G157="", "",TOTALCO!G157)</f>
        <v/>
      </c>
      <c r="H1038" s="12">
        <f ca="1">IF(TOTALCO!H157="", "",TOTALCO!H157)</f>
        <v>2038653.7300000002</v>
      </c>
      <c r="I1038" s="12">
        <f ca="1">IF(TOTALCO!I157="", "",TOTALCO!I157)</f>
        <v>0</v>
      </c>
      <c r="J1038" s="12" t="str">
        <f>IF(TOTALCO!J157="", "",TOTALCO!J157)</f>
        <v/>
      </c>
      <c r="K1038" s="12" t="str">
        <f>IF(TOTALCO!K157="", "",TOTALCO!K157)</f>
        <v/>
      </c>
      <c r="L1038" s="12">
        <f ca="1">IF(TOTALCO!L157="", "",TOTALCO!L157)</f>
        <v>0</v>
      </c>
      <c r="M1038" s="12" t="str">
        <f>IF(TOTALCO!M157="", "",TOTALCO!M157)</f>
        <v/>
      </c>
      <c r="N1038" s="12">
        <f ca="1">IF(TOTALCO!N157="", "",TOTALCO!N157)</f>
        <v>0</v>
      </c>
      <c r="O1038" s="12">
        <f ca="1">IF(TOTALCO!O157="", "",TOTALCO!O157)</f>
        <v>0</v>
      </c>
      <c r="P1038" s="12">
        <f ca="1">IF(TOTALCO!P157="", "",TOTALCO!P157)</f>
        <v>0</v>
      </c>
      <c r="Q1038" s="12"/>
    </row>
    <row r="1039" spans="1:17" ht="15" x14ac:dyDescent="0.2">
      <c r="A1039" s="382">
        <f>IF(TOTALCO!A158="", "",TOTALCO!A158)</f>
        <v>39</v>
      </c>
      <c r="B1039" s="4" t="str">
        <f>IF(TOTALCO!B158="", "",TOTALCO!B158)</f>
        <v>TOTAL ACCT 370-METERS</v>
      </c>
      <c r="C1039" s="4" t="str">
        <f>IF(TOTALCO!C158="", "",TOTALCO!C158)</f>
        <v>PLT370TOT</v>
      </c>
      <c r="D1039" s="12">
        <f ca="1">IF(TOTALCO!D158="", "",TOTALCO!D158)</f>
        <v>70922417.270000011</v>
      </c>
      <c r="E1039" s="12" t="str">
        <f>IF(TOTALCO!E158="", "",TOTALCO!E158)</f>
        <v/>
      </c>
      <c r="F1039" s="12">
        <f ca="1">IF(TOTALCO!F158="", "",TOTALCO!F158)</f>
        <v>66969752.690000013</v>
      </c>
      <c r="G1039" s="12" t="str">
        <f>IF(TOTALCO!G158="", "",TOTALCO!G158)</f>
        <v/>
      </c>
      <c r="H1039" s="12">
        <f ca="1">IF(TOTALCO!H158="", "",TOTALCO!H158)</f>
        <v>3637511.5</v>
      </c>
      <c r="I1039" s="12">
        <f ca="1">IF(TOTALCO!I158="", "",TOTALCO!I158)</f>
        <v>315153.08</v>
      </c>
      <c r="J1039" s="12" t="str">
        <f>IF(TOTALCO!J158="", "",TOTALCO!J158)</f>
        <v/>
      </c>
      <c r="K1039" s="12" t="str">
        <f>IF(TOTALCO!K158="", "",TOTALCO!K158)</f>
        <v/>
      </c>
      <c r="L1039" s="12">
        <f ca="1">IF(TOTALCO!L158="", "",TOTALCO!L158)</f>
        <v>111.07999999999993</v>
      </c>
      <c r="M1039" s="12" t="str">
        <f>IF(TOTALCO!M158="", "",TOTALCO!M158)</f>
        <v/>
      </c>
      <c r="N1039" s="12">
        <f ca="1">IF(TOTALCO!N158="", "",TOTALCO!N158)</f>
        <v>315042</v>
      </c>
      <c r="O1039" s="12">
        <f ca="1">IF(TOTALCO!O158="", "",TOTALCO!O158)</f>
        <v>66911</v>
      </c>
      <c r="P1039" s="12">
        <f ca="1">IF(TOTALCO!P158="", "",TOTALCO!P158)</f>
        <v>248131</v>
      </c>
      <c r="Q1039" s="12"/>
    </row>
    <row r="1040" spans="1:17" ht="15" x14ac:dyDescent="0.2">
      <c r="A1040" s="382">
        <f>IF(TOTALCO!A159="", "",TOTALCO!A159)</f>
        <v>40</v>
      </c>
      <c r="B1040" s="4" t="str">
        <f>IF(TOTALCO!B159="", "",TOTALCO!B159)</f>
        <v>TOT ACCT 371-CUSTOMER INSTALL</v>
      </c>
      <c r="C1040" s="4" t="str">
        <f>IF(TOTALCO!C159="", "",TOTALCO!C159)</f>
        <v>PLT371TOT</v>
      </c>
      <c r="D1040" s="12">
        <f ca="1">IF(TOTALCO!D159="", "",TOTALCO!D159)</f>
        <v>18240915.879999999</v>
      </c>
      <c r="E1040" s="12" t="str">
        <f>IF(TOTALCO!E159="", "",TOTALCO!E159)</f>
        <v/>
      </c>
      <c r="F1040" s="12">
        <f ca="1">IF(TOTALCO!F159="", "",TOTALCO!F159)</f>
        <v>17384575.219999999</v>
      </c>
      <c r="G1040" s="12" t="str">
        <f>IF(TOTALCO!G159="", "",TOTALCO!G159)</f>
        <v/>
      </c>
      <c r="H1040" s="12">
        <f ca="1">IF(TOTALCO!H159="", "",TOTALCO!H159)</f>
        <v>856340.66</v>
      </c>
      <c r="I1040" s="12">
        <f ca="1">IF(TOTALCO!I159="", "",TOTALCO!I159)</f>
        <v>0</v>
      </c>
      <c r="J1040" s="12" t="str">
        <f>IF(TOTALCO!J159="", "",TOTALCO!J159)</f>
        <v/>
      </c>
      <c r="K1040" s="12" t="str">
        <f>IF(TOTALCO!K159="", "",TOTALCO!K159)</f>
        <v/>
      </c>
      <c r="L1040" s="12">
        <f ca="1">IF(TOTALCO!L159="", "",TOTALCO!L159)</f>
        <v>0</v>
      </c>
      <c r="M1040" s="12" t="str">
        <f>IF(TOTALCO!M159="", "",TOTALCO!M159)</f>
        <v/>
      </c>
      <c r="N1040" s="12">
        <f ca="1">IF(TOTALCO!N159="", "",TOTALCO!N159)</f>
        <v>0</v>
      </c>
      <c r="O1040" s="12">
        <f ca="1">IF(TOTALCO!O159="", "",TOTALCO!O159)</f>
        <v>0</v>
      </c>
      <c r="P1040" s="12">
        <f ca="1">IF(TOTALCO!P159="", "",TOTALCO!P159)</f>
        <v>0</v>
      </c>
      <c r="Q1040" s="12"/>
    </row>
    <row r="1041" spans="1:17" ht="15" x14ac:dyDescent="0.2">
      <c r="A1041" s="382">
        <f>IF(TOTALCO!A160="", "",TOTALCO!A160)</f>
        <v>41</v>
      </c>
      <c r="B1041" s="4" t="str">
        <f>IF(TOTALCO!B160="", "",TOTALCO!B160)</f>
        <v>TOT ACCT 368-LINE TRANSFORMER</v>
      </c>
      <c r="C1041" s="4" t="str">
        <f>IF(TOTALCO!C160="", "",TOTALCO!C160)</f>
        <v>PLT368TOT</v>
      </c>
      <c r="D1041" s="12">
        <f ca="1">IF(TOTALCO!D160="", "",TOTALCO!D160)</f>
        <v>287943911.44</v>
      </c>
      <c r="E1041" s="12" t="str">
        <f>IF(TOTALCO!E160="", "",TOTALCO!E160)</f>
        <v/>
      </c>
      <c r="F1041" s="12">
        <f ca="1">IF(TOTALCO!F160="", "",TOTALCO!F160)</f>
        <v>273394360.25612497</v>
      </c>
      <c r="G1041" s="12" t="str">
        <f>IF(TOTALCO!G160="", "",TOTALCO!G160)</f>
        <v/>
      </c>
      <c r="H1041" s="12">
        <f ca="1">IF(TOTALCO!H160="", "",TOTALCO!H160)</f>
        <v>14023456.059999999</v>
      </c>
      <c r="I1041" s="12">
        <f ca="1">IF(TOTALCO!I160="", "",TOTALCO!I160)</f>
        <v>526095.12387503078</v>
      </c>
      <c r="J1041" s="12" t="str">
        <f>IF(TOTALCO!J160="", "",TOTALCO!J160)</f>
        <v/>
      </c>
      <c r="K1041" s="12" t="str">
        <f>IF(TOTALCO!K160="", "",TOTALCO!K160)</f>
        <v/>
      </c>
      <c r="L1041" s="12">
        <f ca="1">IF(TOTALCO!L160="", "",TOTALCO!L160)</f>
        <v>3118.28</v>
      </c>
      <c r="M1041" s="12" t="str">
        <f>IF(TOTALCO!M160="", "",TOTALCO!M160)</f>
        <v/>
      </c>
      <c r="N1041" s="12">
        <f ca="1">IF(TOTALCO!N160="", "",TOTALCO!N160)</f>
        <v>522976.84387503075</v>
      </c>
      <c r="O1041" s="12">
        <f ca="1">IF(TOTALCO!O160="", "",TOTALCO!O160)</f>
        <v>163182.04439945545</v>
      </c>
      <c r="P1041" s="12">
        <f ca="1">IF(TOTALCO!P160="", "",TOTALCO!P160)</f>
        <v>359794.79947557527</v>
      </c>
      <c r="Q1041" s="12"/>
    </row>
    <row r="1042" spans="1:17" ht="15" x14ac:dyDescent="0.2">
      <c r="A1042" s="382">
        <f>IF(TOTALCO!A161="", "",TOTALCO!A161)</f>
        <v>42</v>
      </c>
      <c r="B1042" s="4" t="str">
        <f>IF(TOTALCO!B161="", "",TOTALCO!B161)</f>
        <v>TOT ACCT 902-904 CUST ACCTS</v>
      </c>
      <c r="C1042" s="4" t="str">
        <f>IF(TOTALCO!C161="", "",TOTALCO!C161)</f>
        <v>EXP9024CA</v>
      </c>
      <c r="D1042" s="12">
        <f ca="1">IF(TOTALCO!D161="", "",TOTALCO!D161)</f>
        <v>24652741.260000002</v>
      </c>
      <c r="E1042" s="12" t="str">
        <f>IF(TOTALCO!E161="", "",TOTALCO!E161)</f>
        <v/>
      </c>
      <c r="F1042" s="12">
        <f ca="1">IF(TOTALCO!F161="", "",TOTALCO!F161)</f>
        <v>23324157.129067238</v>
      </c>
      <c r="G1042" s="12" t="str">
        <f>IF(TOTALCO!G161="", "",TOTALCO!G161)</f>
        <v/>
      </c>
      <c r="H1042" s="12">
        <f ca="1">IF(TOTALCO!H161="", "",TOTALCO!H161)</f>
        <v>1297908.5123283423</v>
      </c>
      <c r="I1042" s="12">
        <f ca="1">IF(TOTALCO!I161="", "",TOTALCO!I161)</f>
        <v>30675.618604420913</v>
      </c>
      <c r="J1042" s="12" t="str">
        <f>IF(TOTALCO!J161="", "",TOTALCO!J161)</f>
        <v/>
      </c>
      <c r="K1042" s="12" t="str">
        <f>IF(TOTALCO!K161="", "",TOTALCO!K161)</f>
        <v/>
      </c>
      <c r="L1042" s="12">
        <f ca="1">IF(TOTALCO!L161="", "",TOTALCO!L161)</f>
        <v>230.89175293650146</v>
      </c>
      <c r="M1042" s="12" t="str">
        <f>IF(TOTALCO!M161="", "",TOTALCO!M161)</f>
        <v/>
      </c>
      <c r="N1042" s="12">
        <f ca="1">IF(TOTALCO!N161="", "",TOTALCO!N161)</f>
        <v>30444.726851484411</v>
      </c>
      <c r="O1042" s="12">
        <f ca="1">IF(TOTALCO!O161="", "",TOTALCO!O161)</f>
        <v>16294.360850090248</v>
      </c>
      <c r="P1042" s="12">
        <f ca="1">IF(TOTALCO!P161="", "",TOTALCO!P161)</f>
        <v>14150.366001394163</v>
      </c>
      <c r="Q1042" s="12"/>
    </row>
    <row r="1043" spans="1:17" ht="15" x14ac:dyDescent="0.2">
      <c r="A1043" s="382">
        <f>IF(TOTALCO!A162="", "",TOTALCO!A162)</f>
        <v>43</v>
      </c>
      <c r="B1043" s="4" t="str">
        <f>IF(TOTALCO!B162="", "",TOTALCO!B162)</f>
        <v>TOT ACCT 908-909 CUST SERV</v>
      </c>
      <c r="C1043" s="4" t="str">
        <f>IF(TOTALCO!C162="", "",TOTALCO!C162)</f>
        <v>EXP9089CS</v>
      </c>
      <c r="D1043" s="12">
        <f ca="1">IF(TOTALCO!D162="", "",TOTALCO!D162)</f>
        <v>13821435.550000001</v>
      </c>
      <c r="E1043" s="12" t="str">
        <f>IF(TOTALCO!E162="", "",TOTALCO!E162)</f>
        <v/>
      </c>
      <c r="F1043" s="12">
        <f ca="1">IF(TOTALCO!F162="", "",TOTALCO!F162)</f>
        <v>13812947.691019921</v>
      </c>
      <c r="G1043" s="12" t="str">
        <f>IF(TOTALCO!G162="", "",TOTALCO!G162)</f>
        <v/>
      </c>
      <c r="H1043" s="12">
        <f ca="1">IF(TOTALCO!H162="", "",TOTALCO!H162)</f>
        <v>8486.6947844920214</v>
      </c>
      <c r="I1043" s="12">
        <f ca="1">IF(TOTALCO!I162="", "",TOTALCO!I162)</f>
        <v>1.1641955875704959</v>
      </c>
      <c r="J1043" s="12" t="str">
        <f>IF(TOTALCO!J162="", "",TOTALCO!J162)</f>
        <v/>
      </c>
      <c r="K1043" s="12" t="str">
        <f>IF(TOTALCO!K162="", "",TOTALCO!K162)</f>
        <v/>
      </c>
      <c r="L1043" s="12">
        <f ca="1">IF(TOTALCO!L162="", "",TOTALCO!L162)</f>
        <v>1.1641955875704959</v>
      </c>
      <c r="M1043" s="12" t="str">
        <f>IF(TOTALCO!M162="", "",TOTALCO!M162)</f>
        <v/>
      </c>
      <c r="N1043" s="12">
        <f ca="1">IF(TOTALCO!N162="", "",TOTALCO!N162)</f>
        <v>0</v>
      </c>
      <c r="O1043" s="12">
        <f ca="1">IF(TOTALCO!O162="", "",TOTALCO!O162)</f>
        <v>0</v>
      </c>
      <c r="P1043" s="12">
        <f ca="1">IF(TOTALCO!P162="", "",TOTALCO!P162)</f>
        <v>0</v>
      </c>
      <c r="Q1043" s="12"/>
    </row>
    <row r="1044" spans="1:17" ht="15" x14ac:dyDescent="0.2">
      <c r="A1044" s="382">
        <f>IF(TOTALCO!A163="", "",TOTALCO!A163)</f>
        <v>44</v>
      </c>
      <c r="B1044" s="4" t="str">
        <f>IF(TOTALCO!B163="", "",TOTALCO!B163)</f>
        <v>TOTAL TRANS &amp; DISTRIB PLANT</v>
      </c>
      <c r="C1044" s="4" t="str">
        <f>IF(TOTALCO!C163="", "",TOTALCO!C163)</f>
        <v>TRDSPLT</v>
      </c>
      <c r="D1044" s="12">
        <f ca="1">IF(TOTALCO!D163="", "",TOTALCO!D163)</f>
        <v>2101705641</v>
      </c>
      <c r="E1044" s="12" t="str">
        <f>IF(TOTALCO!E163="", "",TOTALCO!E163)</f>
        <v/>
      </c>
      <c r="F1044" s="12">
        <f ca="1">IF(TOTALCO!F163="", "",TOTALCO!F163)</f>
        <v>1884949829.4291763</v>
      </c>
      <c r="G1044" s="12" t="str">
        <f>IF(TOTALCO!G163="", "",TOTALCO!G163)</f>
        <v/>
      </c>
      <c r="H1044" s="12">
        <f ca="1">IF(TOTALCO!H163="", "",TOTALCO!H163)</f>
        <v>157053892.29108196</v>
      </c>
      <c r="I1044" s="12">
        <f ca="1">IF(TOTALCO!I163="", "",TOTALCO!I163)</f>
        <v>59701919.279741652</v>
      </c>
      <c r="J1044" s="12" t="str">
        <f>IF(TOTALCO!J163="", "",TOTALCO!J163)</f>
        <v/>
      </c>
      <c r="K1044" s="12" t="str">
        <f>IF(TOTALCO!K163="", "",TOTALCO!K163)</f>
        <v/>
      </c>
      <c r="L1044" s="12">
        <f ca="1">IF(TOTALCO!L163="", "",TOTALCO!L163)</f>
        <v>166781.88433446438</v>
      </c>
      <c r="M1044" s="12" t="str">
        <f>IF(TOTALCO!M163="", "",TOTALCO!M163)</f>
        <v/>
      </c>
      <c r="N1044" s="12">
        <f ca="1">IF(TOTALCO!N163="", "",TOTALCO!N163)</f>
        <v>59535137.395407185</v>
      </c>
      <c r="O1044" s="12">
        <f ca="1">IF(TOTALCO!O163="", "",TOTALCO!O163)</f>
        <v>20941966.275470253</v>
      </c>
      <c r="P1044" s="12">
        <f ca="1">IF(TOTALCO!P163="", "",TOTALCO!P163)</f>
        <v>38593171.119936928</v>
      </c>
      <c r="Q1044" s="12"/>
    </row>
    <row r="1045" spans="1:17" ht="15" x14ac:dyDescent="0.2">
      <c r="A1045" s="382" t="str">
        <f>IF(TOTALCO!A164="", "",TOTALCO!A164)</f>
        <v/>
      </c>
      <c r="B1045" s="4" t="str">
        <f>IF(TOTALCO!B164="", "",TOTALCO!B164)</f>
        <v/>
      </c>
      <c r="C1045" s="4" t="str">
        <f>IF(TOTALCO!C164="", "",TOTALCO!C164)</f>
        <v/>
      </c>
      <c r="D1045" s="12" t="str">
        <f>IF(TOTALCO!D164="", "",TOTALCO!D164)</f>
        <v/>
      </c>
      <c r="E1045" s="12" t="str">
        <f>IF(TOTALCO!E164="", "",TOTALCO!E164)</f>
        <v/>
      </c>
      <c r="F1045" s="12" t="str">
        <f>IF(TOTALCO!F164="", "",TOTALCO!F164)</f>
        <v/>
      </c>
      <c r="G1045" s="12" t="str">
        <f>IF(TOTALCO!G164="", "",TOTALCO!G164)</f>
        <v/>
      </c>
      <c r="H1045" s="12" t="str">
        <f>IF(TOTALCO!H164="", "",TOTALCO!H164)</f>
        <v/>
      </c>
      <c r="I1045" s="12" t="str">
        <f>IF(TOTALCO!I164="", "",TOTALCO!I164)</f>
        <v/>
      </c>
      <c r="J1045" s="12" t="str">
        <f>IF(TOTALCO!J164="", "",TOTALCO!J164)</f>
        <v/>
      </c>
      <c r="K1045" s="12" t="str">
        <f>IF(TOTALCO!K164="", "",TOTALCO!K164)</f>
        <v/>
      </c>
      <c r="L1045" s="12" t="str">
        <f>IF(TOTALCO!L164="", "",TOTALCO!L164)</f>
        <v/>
      </c>
      <c r="M1045" s="12" t="str">
        <f>IF(TOTALCO!M164="", "",TOTALCO!M164)</f>
        <v/>
      </c>
      <c r="N1045" s="12" t="str">
        <f>IF(TOTALCO!N164="", "",TOTALCO!N164)</f>
        <v/>
      </c>
      <c r="O1045" s="12" t="str">
        <f>IF(TOTALCO!O164="", "",TOTALCO!O164)</f>
        <v/>
      </c>
      <c r="P1045" s="12" t="str">
        <f>IF(TOTALCO!P164="", "",TOTALCO!P164)</f>
        <v/>
      </c>
      <c r="Q1045" s="12"/>
    </row>
    <row r="1046" spans="1:17" ht="15" x14ac:dyDescent="0.2">
      <c r="A1046" s="382" t="str">
        <f>IF(TOTALCO!A165="", "",TOTALCO!A165)</f>
        <v/>
      </c>
      <c r="B1046" s="4" t="str">
        <f>IF(TOTALCO!B165="", "",TOTALCO!B165)</f>
        <v>INTERNALLY DEVELOPED-CON'T</v>
      </c>
      <c r="C1046" s="4" t="str">
        <f>IF(TOTALCO!C165="", "",TOTALCO!C165)</f>
        <v/>
      </c>
      <c r="D1046" s="12" t="str">
        <f>IF(TOTALCO!D165="", "",TOTALCO!D165)</f>
        <v/>
      </c>
      <c r="E1046" s="12" t="str">
        <f>IF(TOTALCO!E165="", "",TOTALCO!E165)</f>
        <v/>
      </c>
      <c r="F1046" s="12" t="str">
        <f>IF(TOTALCO!F165="", "",TOTALCO!F165)</f>
        <v/>
      </c>
      <c r="G1046" s="12" t="str">
        <f>IF(TOTALCO!G165="", "",TOTALCO!G165)</f>
        <v/>
      </c>
      <c r="H1046" s="12" t="str">
        <f>IF(TOTALCO!H165="", "",TOTALCO!H165)</f>
        <v/>
      </c>
      <c r="I1046" s="12" t="str">
        <f>IF(TOTALCO!I165="", "",TOTALCO!I165)</f>
        <v/>
      </c>
      <c r="J1046" s="12" t="str">
        <f>IF(TOTALCO!J165="", "",TOTALCO!J165)</f>
        <v/>
      </c>
      <c r="K1046" s="12" t="str">
        <f>IF(TOTALCO!K165="", "",TOTALCO!K165)</f>
        <v/>
      </c>
      <c r="L1046" s="12" t="str">
        <f>IF(TOTALCO!L165="", "",TOTALCO!L165)</f>
        <v/>
      </c>
      <c r="M1046" s="12" t="str">
        <f>IF(TOTALCO!M165="", "",TOTALCO!M165)</f>
        <v/>
      </c>
      <c r="N1046" s="12" t="str">
        <f>IF(TOTALCO!N165="", "",TOTALCO!N165)</f>
        <v/>
      </c>
      <c r="O1046" s="12" t="str">
        <f>IF(TOTALCO!O165="", "",TOTALCO!O165)</f>
        <v/>
      </c>
      <c r="P1046" s="12" t="str">
        <f>IF(TOTALCO!P165="", "",TOTALCO!P165)</f>
        <v/>
      </c>
      <c r="Q1046" s="12"/>
    </row>
    <row r="1047" spans="1:17" ht="15" x14ac:dyDescent="0.2">
      <c r="A1047" s="382" t="str">
        <f>IF(TOTALCO!A166="", "",TOTALCO!A166)</f>
        <v/>
      </c>
      <c r="B1047" s="4" t="str">
        <f>IF(TOTALCO!B166="", "",TOTALCO!B166)</f>
        <v>-</v>
      </c>
      <c r="C1047" s="4" t="str">
        <f>IF(TOTALCO!C166="", "",TOTALCO!C166)</f>
        <v/>
      </c>
      <c r="D1047" s="12" t="str">
        <f>IF(TOTALCO!D166="", "",TOTALCO!D166)</f>
        <v/>
      </c>
      <c r="E1047" s="12" t="str">
        <f>IF(TOTALCO!E166="", "",TOTALCO!E166)</f>
        <v/>
      </c>
      <c r="F1047" s="12" t="str">
        <f>IF(TOTALCO!F166="", "",TOTALCO!F166)</f>
        <v/>
      </c>
      <c r="G1047" s="12" t="str">
        <f>IF(TOTALCO!G166="", "",TOTALCO!G166)</f>
        <v/>
      </c>
      <c r="H1047" s="12" t="str">
        <f>IF(TOTALCO!H166="", "",TOTALCO!H166)</f>
        <v/>
      </c>
      <c r="I1047" s="12" t="str">
        <f>IF(TOTALCO!I166="", "",TOTALCO!I166)</f>
        <v/>
      </c>
      <c r="J1047" s="12" t="str">
        <f>IF(TOTALCO!J166="", "",TOTALCO!J166)</f>
        <v/>
      </c>
      <c r="K1047" s="12" t="str">
        <f>IF(TOTALCO!K166="", "",TOTALCO!K166)</f>
        <v/>
      </c>
      <c r="L1047" s="12" t="str">
        <f>IF(TOTALCO!L166="", "",TOTALCO!L166)</f>
        <v/>
      </c>
      <c r="M1047" s="12" t="str">
        <f>IF(TOTALCO!M166="", "",TOTALCO!M166)</f>
        <v/>
      </c>
      <c r="N1047" s="12" t="str">
        <f>IF(TOTALCO!N166="", "",TOTALCO!N166)</f>
        <v/>
      </c>
      <c r="O1047" s="12" t="str">
        <f>IF(TOTALCO!O166="", "",TOTALCO!O166)</f>
        <v/>
      </c>
      <c r="P1047" s="12" t="str">
        <f>IF(TOTALCO!P166="", "",TOTALCO!P166)</f>
        <v/>
      </c>
      <c r="Q1047" s="12"/>
    </row>
    <row r="1048" spans="1:17" ht="15" x14ac:dyDescent="0.2">
      <c r="A1048" s="382">
        <f>IF(TOTALCO!A167="", "",TOTALCO!A167)</f>
        <v>1</v>
      </c>
      <c r="B1048" s="4" t="str">
        <f>IF(TOTALCO!B167="", "",TOTALCO!B167)</f>
        <v>TOT ACCT 912-913 SALES EXP</v>
      </c>
      <c r="C1048" s="4" t="str">
        <f>IF(TOTALCO!C167="", "",TOTALCO!C167)</f>
        <v>EXP9123SA</v>
      </c>
      <c r="D1048" s="12">
        <f ca="1">IF(TOTALCO!D167="", "",TOTALCO!D167)</f>
        <v>23966.440000000002</v>
      </c>
      <c r="E1048" s="12" t="str">
        <f>IF(TOTALCO!E167="", "",TOTALCO!E167)</f>
        <v/>
      </c>
      <c r="F1048" s="12">
        <f ca="1">IF(TOTALCO!F167="", "",TOTALCO!F167)</f>
        <v>22671.514794681963</v>
      </c>
      <c r="G1048" s="12" t="str">
        <f>IF(TOTALCO!G167="", "",TOTALCO!G167)</f>
        <v/>
      </c>
      <c r="H1048" s="12">
        <f ca="1">IF(TOTALCO!H167="", "",TOTALCO!H167)</f>
        <v>1294.7475932472189</v>
      </c>
      <c r="I1048" s="12">
        <f ca="1">IF(TOTALCO!I167="", "",TOTALCO!I167)</f>
        <v>0.17761207081823369</v>
      </c>
      <c r="J1048" s="12" t="str">
        <f>IF(TOTALCO!J167="", "",TOTALCO!J167)</f>
        <v/>
      </c>
      <c r="K1048" s="12" t="str">
        <f>IF(TOTALCO!K167="", "",TOTALCO!K167)</f>
        <v/>
      </c>
      <c r="L1048" s="12">
        <f ca="1">IF(TOTALCO!L167="", "",TOTALCO!L167)</f>
        <v>0.17761207081823369</v>
      </c>
      <c r="M1048" s="12" t="str">
        <f>IF(TOTALCO!M167="", "",TOTALCO!M167)</f>
        <v/>
      </c>
      <c r="N1048" s="12">
        <f ca="1">IF(TOTALCO!N167="", "",TOTALCO!N167)</f>
        <v>0</v>
      </c>
      <c r="O1048" s="12">
        <f ca="1">IF(TOTALCO!O167="", "",TOTALCO!O167)</f>
        <v>0</v>
      </c>
      <c r="P1048" s="12">
        <f ca="1">IF(TOTALCO!P167="", "",TOTALCO!P167)</f>
        <v>0</v>
      </c>
      <c r="Q1048" s="12"/>
    </row>
    <row r="1049" spans="1:17" ht="15" x14ac:dyDescent="0.2">
      <c r="A1049" s="382">
        <f>IF(TOTALCO!A168="", "",TOTALCO!A168)</f>
        <v>2</v>
      </c>
      <c r="B1049" s="4" t="str">
        <f>IF(TOTALCO!B168="", "",TOTALCO!B168)</f>
        <v>REVENUE SALE OF ELECT-FERC</v>
      </c>
      <c r="C1049" s="4" t="str">
        <f>IF(TOTALCO!C168="", "",TOTALCO!C168)</f>
        <v>REVFERC</v>
      </c>
      <c r="D1049" s="12">
        <f ca="1">IF(TOTALCO!D168="", "",TOTALCO!D168)</f>
        <v>101135776.83261403</v>
      </c>
      <c r="E1049" s="12" t="str">
        <f>IF(TOTALCO!E168="", "",TOTALCO!E168)</f>
        <v/>
      </c>
      <c r="F1049" s="12">
        <f>IF(TOTALCO!F168="", "",TOTALCO!F168)</f>
        <v>0</v>
      </c>
      <c r="G1049" s="12" t="str">
        <f>IF(TOTALCO!G168="", "",TOTALCO!G168)</f>
        <v/>
      </c>
      <c r="H1049" s="12">
        <f>IF(TOTALCO!H168="", "",TOTALCO!H168)</f>
        <v>0</v>
      </c>
      <c r="I1049" s="12">
        <f ca="1">IF(TOTALCO!I168="", "",TOTALCO!I168)</f>
        <v>101135776.83261403</v>
      </c>
      <c r="J1049" s="12" t="str">
        <f>IF(TOTALCO!J168="", "",TOTALCO!J168)</f>
        <v/>
      </c>
      <c r="K1049" s="12" t="str">
        <f>IF(TOTALCO!K168="", "",TOTALCO!K168)</f>
        <v/>
      </c>
      <c r="L1049" s="12">
        <f>IF(TOTALCO!L168="", "",TOTALCO!L168)</f>
        <v>0</v>
      </c>
      <c r="M1049" s="12" t="str">
        <f>IF(TOTALCO!M168="", "",TOTALCO!M168)</f>
        <v/>
      </c>
      <c r="N1049" s="12">
        <f ca="1">IF(TOTALCO!N168="", "",TOTALCO!N168)</f>
        <v>101135776.83261403</v>
      </c>
      <c r="O1049" s="12">
        <f ca="1">IF(TOTALCO!O168="", "",TOTALCO!O168)</f>
        <v>32764684.980645575</v>
      </c>
      <c r="P1049" s="12">
        <f ca="1">IF(TOTALCO!P168="", "",TOTALCO!P168)</f>
        <v>68371091.851968452</v>
      </c>
      <c r="Q1049" s="12"/>
    </row>
    <row r="1050" spans="1:17" ht="15" x14ac:dyDescent="0.2">
      <c r="A1050" s="382">
        <f>IF(TOTALCO!A169="", "",TOTALCO!A169)</f>
        <v>3</v>
      </c>
      <c r="B1050" s="4" t="str">
        <f>IF(TOTALCO!B169="", "",TOTALCO!B169)</f>
        <v>REVENUE SALE OF ELECT-VA</v>
      </c>
      <c r="C1050" s="4" t="str">
        <f>IF(TOTALCO!C169="", "",TOTALCO!C169)</f>
        <v>REVVA</v>
      </c>
      <c r="D1050" s="12">
        <f ca="1">IF(TOTALCO!D169="", "",TOTALCO!D169)</f>
        <v>74647937.232403412</v>
      </c>
      <c r="E1050" s="12" t="str">
        <f>IF(TOTALCO!E169="", "",TOTALCO!E169)</f>
        <v/>
      </c>
      <c r="F1050" s="12">
        <f>IF(TOTALCO!F169="", "",TOTALCO!F169)</f>
        <v>0</v>
      </c>
      <c r="G1050" s="12" t="str">
        <f>IF(TOTALCO!G169="", "",TOTALCO!G169)</f>
        <v/>
      </c>
      <c r="H1050" s="12">
        <f ca="1">IF(TOTALCO!H169="", "",TOTALCO!H169)</f>
        <v>74647937.232403412</v>
      </c>
      <c r="I1050" s="12">
        <f>IF(TOTALCO!I169="", "",TOTALCO!I169)</f>
        <v>0</v>
      </c>
      <c r="J1050" s="12" t="str">
        <f>IF(TOTALCO!J169="", "",TOTALCO!J169)</f>
        <v/>
      </c>
      <c r="K1050" s="12" t="str">
        <f>IF(TOTALCO!K169="", "",TOTALCO!K169)</f>
        <v/>
      </c>
      <c r="L1050" s="12">
        <f>IF(TOTALCO!L169="", "",TOTALCO!L169)</f>
        <v>0</v>
      </c>
      <c r="M1050" s="12" t="str">
        <f>IF(TOTALCO!M169="", "",TOTALCO!M169)</f>
        <v/>
      </c>
      <c r="N1050" s="12">
        <f>IF(TOTALCO!N169="", "",TOTALCO!N169)</f>
        <v>0</v>
      </c>
      <c r="O1050" s="12">
        <f>IF(TOTALCO!O169="", "",TOTALCO!O169)</f>
        <v>0</v>
      </c>
      <c r="P1050" s="12">
        <f>IF(TOTALCO!P169="", "",TOTALCO!P169)</f>
        <v>0</v>
      </c>
      <c r="Q1050" s="12"/>
    </row>
    <row r="1051" spans="1:17" ht="15" x14ac:dyDescent="0.2">
      <c r="A1051" s="382">
        <f>IF(TOTALCO!A170="", "",TOTALCO!A170)</f>
        <v>4</v>
      </c>
      <c r="B1051" s="4" t="str">
        <f>IF(TOTALCO!B170="", "",TOTALCO!B170)</f>
        <v>REVENUE SALE OF ELECT</v>
      </c>
      <c r="C1051" s="4" t="str">
        <f>IF(TOTALCO!C170="", "",TOTALCO!C170)</f>
        <v>REVENUE</v>
      </c>
      <c r="D1051" s="12">
        <f ca="1">IF(TOTALCO!D170="", "",TOTALCO!D170)</f>
        <v>1495925595.7400002</v>
      </c>
      <c r="E1051" s="12" t="str">
        <f>IF(TOTALCO!E170="", "",TOTALCO!E170)</f>
        <v/>
      </c>
      <c r="F1051" s="12">
        <f ca="1">IF(TOTALCO!F170="", "",TOTALCO!F170)</f>
        <v>1320135670.366627</v>
      </c>
      <c r="G1051" s="12" t="str">
        <f>IF(TOTALCO!G170="", "",TOTALCO!G170)</f>
        <v/>
      </c>
      <c r="H1051" s="12">
        <f ca="1">IF(TOTALCO!H170="", "",TOTALCO!H170)</f>
        <v>74647937.232403412</v>
      </c>
      <c r="I1051" s="12">
        <f ca="1">IF(TOTALCO!I170="", "",TOTALCO!I170)</f>
        <v>101141988.14096963</v>
      </c>
      <c r="J1051" s="12" t="str">
        <f>IF(TOTALCO!J170="", "",TOTALCO!J170)</f>
        <v/>
      </c>
      <c r="K1051" s="12" t="str">
        <f>IF(TOTALCO!K170="", "",TOTALCO!K170)</f>
        <v/>
      </c>
      <c r="L1051" s="12">
        <f ca="1">IF(TOTALCO!L170="", "",TOTALCO!L170)</f>
        <v>6211.3083555943094</v>
      </c>
      <c r="M1051" s="12" t="str">
        <f>IF(TOTALCO!M170="", "",TOTALCO!M170)</f>
        <v/>
      </c>
      <c r="N1051" s="12">
        <f ca="1">IF(TOTALCO!N170="", "",TOTALCO!N170)</f>
        <v>101135776.83261403</v>
      </c>
      <c r="O1051" s="12">
        <f ca="1">IF(TOTALCO!O170="", "",TOTALCO!O170)</f>
        <v>32764684.980645575</v>
      </c>
      <c r="P1051" s="12">
        <f ca="1">IF(TOTALCO!P170="", "",TOTALCO!P170)</f>
        <v>68371091.851968452</v>
      </c>
      <c r="Q1051" s="12"/>
    </row>
    <row r="1052" spans="1:17" ht="15" x14ac:dyDescent="0.2">
      <c r="A1052" s="382">
        <f>IF(TOTALCO!A171="", "",TOTALCO!A171)</f>
        <v>5</v>
      </c>
      <c r="B1052" s="4" t="str">
        <f>IF(TOTALCO!B171="", "",TOTALCO!B171)</f>
        <v>REV SALE OF ELECT-VA NON JUR</v>
      </c>
      <c r="C1052" s="4" t="str">
        <f>IF(TOTALCO!C171="", "",TOTALCO!C171)</f>
        <v>REVNJVA</v>
      </c>
      <c r="D1052" s="12">
        <f>IF(TOTALCO!D171="", "",TOTALCO!D171)</f>
        <v>1</v>
      </c>
      <c r="E1052" s="12" t="str">
        <f>IF(TOTALCO!E171="", "",TOTALCO!E171)</f>
        <v/>
      </c>
      <c r="F1052" s="12">
        <f>IF(TOTALCO!F171="", "",TOTALCO!F171)</f>
        <v>0</v>
      </c>
      <c r="G1052" s="12" t="str">
        <f>IF(TOTALCO!G171="", "",TOTALCO!G171)</f>
        <v/>
      </c>
      <c r="H1052" s="12">
        <f>IF(TOTALCO!H171="", "",TOTALCO!H171)</f>
        <v>1</v>
      </c>
      <c r="I1052" s="12">
        <f>IF(TOTALCO!I171="", "",TOTALCO!I171)</f>
        <v>0</v>
      </c>
      <c r="J1052" s="12" t="str">
        <f>IF(TOTALCO!J171="", "",TOTALCO!J171)</f>
        <v/>
      </c>
      <c r="K1052" s="12" t="str">
        <f>IF(TOTALCO!K171="", "",TOTALCO!K171)</f>
        <v/>
      </c>
      <c r="L1052" s="12">
        <f>IF(TOTALCO!L171="", "",TOTALCO!L171)</f>
        <v>0</v>
      </c>
      <c r="M1052" s="12" t="str">
        <f>IF(TOTALCO!M171="", "",TOTALCO!M171)</f>
        <v/>
      </c>
      <c r="N1052" s="12">
        <f>IF(TOTALCO!N171="", "",TOTALCO!N171)</f>
        <v>0</v>
      </c>
      <c r="O1052" s="12">
        <f>IF(TOTALCO!O171="", "",TOTALCO!O171)</f>
        <v>0</v>
      </c>
      <c r="P1052" s="12">
        <f>IF(TOTALCO!P171="", "",TOTALCO!P171)</f>
        <v>0</v>
      </c>
      <c r="Q1052" s="12"/>
    </row>
    <row r="1053" spans="1:17" ht="15" x14ac:dyDescent="0.2">
      <c r="A1053" s="382">
        <f>IF(TOTALCO!A172="", "",TOTALCO!A172)</f>
        <v>6</v>
      </c>
      <c r="B1053" s="4" t="str">
        <f>IF(TOTALCO!B172="", "",TOTALCO!B172)</f>
        <v>REV SALE OF ELECT-EXCL FERC</v>
      </c>
      <c r="C1053" s="4" t="str">
        <f>IF(TOTALCO!C172="", "",TOTALCO!C172)</f>
        <v>REVENUEX</v>
      </c>
      <c r="D1053" s="12">
        <f ca="1">IF(TOTALCO!D172="", "",TOTALCO!D172)</f>
        <v>1394789818.9073861</v>
      </c>
      <c r="E1053" s="12" t="str">
        <f>IF(TOTALCO!E172="", "",TOTALCO!E172)</f>
        <v/>
      </c>
      <c r="F1053" s="12">
        <f ca="1">IF(TOTALCO!F172="", "",TOTALCO!F172)</f>
        <v>1320135670.366627</v>
      </c>
      <c r="G1053" s="12" t="str">
        <f>IF(TOTALCO!G172="", "",TOTALCO!G172)</f>
        <v/>
      </c>
      <c r="H1053" s="12">
        <f ca="1">IF(TOTALCO!H172="", "",TOTALCO!H172)</f>
        <v>74647937.232403412</v>
      </c>
      <c r="I1053" s="12">
        <f ca="1">IF(TOTALCO!I172="", "",TOTALCO!I172)</f>
        <v>6211.3083555943094</v>
      </c>
      <c r="J1053" s="12" t="str">
        <f>IF(TOTALCO!J172="", "",TOTALCO!J172)</f>
        <v/>
      </c>
      <c r="K1053" s="12" t="str">
        <f>IF(TOTALCO!K172="", "",TOTALCO!K172)</f>
        <v/>
      </c>
      <c r="L1053" s="12">
        <f ca="1">IF(TOTALCO!L172="", "",TOTALCO!L172)</f>
        <v>6211.3083555943094</v>
      </c>
      <c r="M1053" s="12" t="str">
        <f>IF(TOTALCO!M172="", "",TOTALCO!M172)</f>
        <v/>
      </c>
      <c r="N1053" s="12">
        <f>IF(TOTALCO!N172="", "",TOTALCO!N172)</f>
        <v>0</v>
      </c>
      <c r="O1053" s="12">
        <f>IF(TOTALCO!O172="", "",TOTALCO!O172)</f>
        <v>0</v>
      </c>
      <c r="P1053" s="12">
        <f>IF(TOTALCO!P172="", "",TOTALCO!P172)</f>
        <v>0</v>
      </c>
      <c r="Q1053" s="12"/>
    </row>
    <row r="1054" spans="1:17" ht="15" x14ac:dyDescent="0.2">
      <c r="A1054" s="382">
        <f>IF(TOTALCO!A173="", "",TOTALCO!A173)</f>
        <v>7</v>
      </c>
      <c r="B1054" s="4" t="str">
        <f>IF(TOTALCO!B173="", "",TOTALCO!B173)</f>
        <v>KENTUCKY DISTRIBUTION PLANT</v>
      </c>
      <c r="C1054" s="4" t="str">
        <f>IF(TOTALCO!C173="", "",TOTALCO!C173)</f>
        <v>KYDIST</v>
      </c>
      <c r="D1054" s="12">
        <f ca="1">IF(TOTALCO!D173="", "",TOTALCO!D173)</f>
        <v>1353270008.3899999</v>
      </c>
      <c r="E1054" s="12" t="str">
        <f>IF(TOTALCO!E173="", "",TOTALCO!E173)</f>
        <v/>
      </c>
      <c r="F1054" s="12">
        <f ca="1">IF(TOTALCO!F173="", "",TOTALCO!F173)</f>
        <v>1348948019.5461249</v>
      </c>
      <c r="G1054" s="12" t="str">
        <f>IF(TOTALCO!G173="", "",TOTALCO!G173)</f>
        <v/>
      </c>
      <c r="H1054" s="12">
        <f ca="1">IF(TOTALCO!H173="", "",TOTALCO!H173)</f>
        <v>0</v>
      </c>
      <c r="I1054" s="12">
        <f ca="1">IF(TOTALCO!I173="", "",TOTALCO!I173)</f>
        <v>4321988.843875031</v>
      </c>
      <c r="J1054" s="12" t="str">
        <f>IF(TOTALCO!J173="", "",TOTALCO!J173)</f>
        <v/>
      </c>
      <c r="K1054" s="12" t="str">
        <f>IF(TOTALCO!K173="", "",TOTALCO!K173)</f>
        <v/>
      </c>
      <c r="L1054" s="12">
        <f ca="1">IF(TOTALCO!L173="", "",TOTALCO!L173)</f>
        <v>0</v>
      </c>
      <c r="M1054" s="12" t="str">
        <f>IF(TOTALCO!M173="", "",TOTALCO!M173)</f>
        <v/>
      </c>
      <c r="N1054" s="12">
        <f ca="1">IF(TOTALCO!N173="", "",TOTALCO!N173)</f>
        <v>4321988.843875031</v>
      </c>
      <c r="O1054" s="12">
        <f ca="1">IF(TOTALCO!O173="", "",TOTALCO!O173)</f>
        <v>3714063.0443994557</v>
      </c>
      <c r="P1054" s="12">
        <f ca="1">IF(TOTALCO!P173="", "",TOTALCO!P173)</f>
        <v>607925.79947557533</v>
      </c>
      <c r="Q1054" s="12"/>
    </row>
    <row r="1055" spans="1:17" ht="15" x14ac:dyDescent="0.2">
      <c r="A1055" s="382">
        <f>IF(TOTALCO!A174="", "",TOTALCO!A174)</f>
        <v>8</v>
      </c>
      <c r="B1055" s="4" t="str">
        <f>IF(TOTALCO!B174="", "",TOTALCO!B174)</f>
        <v>VIRGINIA DISTRIBUTION PLANT</v>
      </c>
      <c r="C1055" s="4" t="str">
        <f>IF(TOTALCO!C174="", "",TOTALCO!C174)</f>
        <v>VADIST</v>
      </c>
      <c r="D1055" s="12">
        <f ca="1">IF(TOTALCO!D174="", "",TOTALCO!D174)</f>
        <v>80327605.579999998</v>
      </c>
      <c r="E1055" s="12" t="str">
        <f>IF(TOTALCO!E174="", "",TOTALCO!E174)</f>
        <v/>
      </c>
      <c r="F1055" s="12">
        <f ca="1">IF(TOTALCO!F174="", "",TOTALCO!F174)</f>
        <v>0</v>
      </c>
      <c r="G1055" s="12" t="str">
        <f>IF(TOTALCO!G174="", "",TOTALCO!G174)</f>
        <v/>
      </c>
      <c r="H1055" s="12">
        <f ca="1">IF(TOTALCO!H174="", "",TOTALCO!H174)</f>
        <v>80327605.579999998</v>
      </c>
      <c r="I1055" s="12">
        <f ca="1">IF(TOTALCO!I174="", "",TOTALCO!I174)</f>
        <v>0</v>
      </c>
      <c r="J1055" s="12" t="str">
        <f>IF(TOTALCO!J174="", "",TOTALCO!J174)</f>
        <v/>
      </c>
      <c r="K1055" s="12" t="str">
        <f>IF(TOTALCO!K174="", "",TOTALCO!K174)</f>
        <v/>
      </c>
      <c r="L1055" s="12">
        <f ca="1">IF(TOTALCO!L174="", "",TOTALCO!L174)</f>
        <v>0</v>
      </c>
      <c r="M1055" s="12" t="str">
        <f>IF(TOTALCO!M174="", "",TOTALCO!M174)</f>
        <v/>
      </c>
      <c r="N1055" s="12">
        <f ca="1">IF(TOTALCO!N174="", "",TOTALCO!N174)</f>
        <v>0</v>
      </c>
      <c r="O1055" s="12">
        <f ca="1">IF(TOTALCO!O174="", "",TOTALCO!O174)</f>
        <v>0</v>
      </c>
      <c r="P1055" s="12">
        <f ca="1">IF(TOTALCO!P174="", "",TOTALCO!P174)</f>
        <v>0</v>
      </c>
      <c r="Q1055" s="12"/>
    </row>
    <row r="1056" spans="1:17" ht="15" x14ac:dyDescent="0.2">
      <c r="A1056" s="382">
        <f>IF(TOTALCO!A175="", "",TOTALCO!A175)</f>
        <v>9</v>
      </c>
      <c r="B1056" s="4" t="str">
        <f>IF(TOTALCO!B175="", "",TOTALCO!B175)</f>
        <v>TENNESSEE DISTRIBUTION PLT</v>
      </c>
      <c r="C1056" s="4" t="str">
        <f>IF(TOTALCO!C175="", "",TOTALCO!C175)</f>
        <v>TNDIST</v>
      </c>
      <c r="D1056" s="12">
        <f ca="1">IF(TOTALCO!D175="", "",TOTALCO!D175)</f>
        <v>162042.68</v>
      </c>
      <c r="E1056" s="12" t="str">
        <f>IF(TOTALCO!E175="", "",TOTALCO!E175)</f>
        <v/>
      </c>
      <c r="F1056" s="12">
        <f ca="1">IF(TOTALCO!F175="", "",TOTALCO!F175)</f>
        <v>0</v>
      </c>
      <c r="G1056" s="12" t="str">
        <f>IF(TOTALCO!G175="", "",TOTALCO!G175)</f>
        <v/>
      </c>
      <c r="H1056" s="12">
        <f ca="1">IF(TOTALCO!H175="", "",TOTALCO!H175)</f>
        <v>0</v>
      </c>
      <c r="I1056" s="12">
        <f ca="1">IF(TOTALCO!I175="", "",TOTALCO!I175)</f>
        <v>162042.68</v>
      </c>
      <c r="J1056" s="12" t="str">
        <f>IF(TOTALCO!J175="", "",TOTALCO!J175)</f>
        <v/>
      </c>
      <c r="K1056" s="12" t="str">
        <f>IF(TOTALCO!K175="", "",TOTALCO!K175)</f>
        <v/>
      </c>
      <c r="L1056" s="12">
        <f ca="1">IF(TOTALCO!L175="", "",TOTALCO!L175)</f>
        <v>162042.68</v>
      </c>
      <c r="M1056" s="12" t="str">
        <f>IF(TOTALCO!M175="", "",TOTALCO!M175)</f>
        <v/>
      </c>
      <c r="N1056" s="12">
        <f ca="1">IF(TOTALCO!N175="", "",TOTALCO!N175)</f>
        <v>0</v>
      </c>
      <c r="O1056" s="12">
        <f ca="1">IF(TOTALCO!O175="", "",TOTALCO!O175)</f>
        <v>0</v>
      </c>
      <c r="P1056" s="12">
        <f ca="1">IF(TOTALCO!P175="", "",TOTALCO!P175)</f>
        <v>0</v>
      </c>
      <c r="Q1056" s="12"/>
    </row>
    <row r="1057" spans="1:17" ht="15" x14ac:dyDescent="0.2">
      <c r="A1057" s="382">
        <f>IF(TOTALCO!A176="", "",TOTALCO!A176)</f>
        <v>10</v>
      </c>
      <c r="B1057" s="4" t="str">
        <f>IF(TOTALCO!B176="", "",TOTALCO!B176)</f>
        <v>NET ELECTRIC PLANT IN SERVICE</v>
      </c>
      <c r="C1057" s="4" t="str">
        <f>IF(TOTALCO!C176="", "",TOTALCO!C176)</f>
        <v>NETPLANT</v>
      </c>
      <c r="D1057" s="12">
        <f ca="1">IF(TOTALCO!D176="", "",TOTALCO!D176)</f>
        <v>4073283819.250001</v>
      </c>
      <c r="E1057" s="12" t="str">
        <f>IF(TOTALCO!E176="", "",TOTALCO!E176)</f>
        <v/>
      </c>
      <c r="F1057" s="12">
        <f ca="1">IF(TOTALCO!F176="", "",TOTALCO!F176)</f>
        <v>3561520105.9314809</v>
      </c>
      <c r="G1057" s="12" t="str">
        <f>IF(TOTALCO!G176="", "",TOTALCO!G176)</f>
        <v/>
      </c>
      <c r="H1057" s="12">
        <f ca="1">IF(TOTALCO!H176="", "",TOTALCO!H176)</f>
        <v>225955270.45836845</v>
      </c>
      <c r="I1057" s="12">
        <f ca="1">IF(TOTALCO!I176="", "",TOTALCO!I176)</f>
        <v>285808442.86015201</v>
      </c>
      <c r="J1057" s="12" t="str">
        <f>IF(TOTALCO!J176="", "",TOTALCO!J176)</f>
        <v/>
      </c>
      <c r="K1057" s="12" t="str">
        <f>IF(TOTALCO!K176="", "",TOTALCO!K176)</f>
        <v/>
      </c>
      <c r="L1057" s="12">
        <f ca="1">IF(TOTALCO!L176="", "",TOTALCO!L176)</f>
        <v>47886.199905867747</v>
      </c>
      <c r="M1057" s="12" t="str">
        <f>IF(TOTALCO!M176="", "",TOTALCO!M176)</f>
        <v/>
      </c>
      <c r="N1057" s="12">
        <f ca="1">IF(TOTALCO!N176="", "",TOTALCO!N176)</f>
        <v>285760556.66024613</v>
      </c>
      <c r="O1057" s="12">
        <f ca="1">IF(TOTALCO!O176="", "",TOTALCO!O176)</f>
        <v>90684732.211932525</v>
      </c>
      <c r="P1057" s="12">
        <f ca="1">IF(TOTALCO!P176="", "",TOTALCO!P176)</f>
        <v>195075824.44831359</v>
      </c>
      <c r="Q1057" s="12"/>
    </row>
    <row r="1058" spans="1:17" ht="15" x14ac:dyDescent="0.2">
      <c r="A1058" s="382">
        <f>IF(TOTALCO!A177="", "",TOTALCO!A177)</f>
        <v>11</v>
      </c>
      <c r="B1058" s="4" t="str">
        <f>IF(TOTALCO!B177="", "",TOTALCO!B177)</f>
        <v>RATE BASE</v>
      </c>
      <c r="C1058" s="4" t="str">
        <f>IF(TOTALCO!C177="", "",TOTALCO!C177)</f>
        <v>RATEBASE</v>
      </c>
      <c r="D1058" s="12">
        <f ca="1">IF(TOTALCO!D177="", "",TOTALCO!D177)</f>
        <v>4056092315.1598926</v>
      </c>
      <c r="E1058" s="12" t="str">
        <f>IF(TOTALCO!E177="", "",TOTALCO!E177)</f>
        <v/>
      </c>
      <c r="F1058" s="12">
        <f ca="1">IF(TOTALCO!F177="", "",TOTALCO!F177)</f>
        <v>3550375898.9468842</v>
      </c>
      <c r="G1058" s="12" t="str">
        <f>IF(TOTALCO!G177="", "",TOTALCO!G177)</f>
        <v/>
      </c>
      <c r="H1058" s="12">
        <f ca="1">IF(TOTALCO!H177="", "",TOTALCO!H177)</f>
        <v>216540257.81030622</v>
      </c>
      <c r="I1058" s="12">
        <f ca="1">IF(TOTALCO!I177="", "",TOTALCO!I177)</f>
        <v>289176158.40270245</v>
      </c>
      <c r="J1058" s="12" t="str">
        <f>IF(TOTALCO!J177="", "",TOTALCO!J177)</f>
        <v/>
      </c>
      <c r="K1058" s="12" t="str">
        <f>IF(TOTALCO!K177="", "",TOTALCO!K177)</f>
        <v/>
      </c>
      <c r="L1058" s="12">
        <f ca="1">IF(TOTALCO!L177="", "",TOTALCO!L177)</f>
        <v>37845.191210532408</v>
      </c>
      <c r="M1058" s="12" t="str">
        <f>IF(TOTALCO!M177="", "",TOTALCO!M177)</f>
        <v/>
      </c>
      <c r="N1058" s="12">
        <f ca="1">IF(TOTALCO!N177="", "",TOTALCO!N177)</f>
        <v>289138313.21149194</v>
      </c>
      <c r="O1058" s="12">
        <f ca="1">IF(TOTALCO!O177="", "",TOTALCO!O177)</f>
        <v>91830469.28928861</v>
      </c>
      <c r="P1058" s="12">
        <f ca="1">IF(TOTALCO!P177="", "",TOTALCO!P177)</f>
        <v>197307843.92220336</v>
      </c>
      <c r="Q1058" s="12"/>
    </row>
    <row r="1059" spans="1:17" ht="15" x14ac:dyDescent="0.2">
      <c r="A1059" s="382">
        <f>IF(TOTALCO!A178="", "",TOTALCO!A178)</f>
        <v>12</v>
      </c>
      <c r="B1059" s="4" t="str">
        <f>IF(TOTALCO!B178="", "",TOTALCO!B178)</f>
        <v>TOTAL CWIP FERC-AFUDC POST</v>
      </c>
      <c r="C1059" s="4" t="str">
        <f>IF(TOTALCO!C178="", "",TOTALCO!C178)</f>
        <v>AFUDC</v>
      </c>
      <c r="D1059" s="12">
        <f ca="1">IF(TOTALCO!D178="", "",TOTALCO!D178)</f>
        <v>340829.69000000128</v>
      </c>
      <c r="E1059" s="12" t="str">
        <f>IF(TOTALCO!E178="", "",TOTALCO!E178)</f>
        <v/>
      </c>
      <c r="F1059" s="12">
        <f ca="1">IF(TOTALCO!F178="", "",TOTALCO!F178)</f>
        <v>0</v>
      </c>
      <c r="G1059" s="12" t="str">
        <f>IF(TOTALCO!G178="", "",TOTALCO!G178)</f>
        <v/>
      </c>
      <c r="H1059" s="12">
        <f ca="1">IF(TOTALCO!H178="", "",TOTALCO!H178)</f>
        <v>0</v>
      </c>
      <c r="I1059" s="12">
        <f ca="1">IF(TOTALCO!I178="", "",TOTALCO!I178)</f>
        <v>340829.69000000128</v>
      </c>
      <c r="J1059" s="12" t="str">
        <f>IF(TOTALCO!J178="", "",TOTALCO!J178)</f>
        <v/>
      </c>
      <c r="K1059" s="12" t="str">
        <f>IF(TOTALCO!K178="", "",TOTALCO!K178)</f>
        <v/>
      </c>
      <c r="L1059" s="12">
        <f ca="1">IF(TOTALCO!L178="", "",TOTALCO!L178)</f>
        <v>0</v>
      </c>
      <c r="M1059" s="12" t="str">
        <f>IF(TOTALCO!M178="", "",TOTALCO!M178)</f>
        <v/>
      </c>
      <c r="N1059" s="12">
        <f ca="1">IF(TOTALCO!N178="", "",TOTALCO!N178)</f>
        <v>340829.69000000128</v>
      </c>
      <c r="O1059" s="12">
        <f ca="1">IF(TOTALCO!O178="", "",TOTALCO!O178)</f>
        <v>106347.51090341398</v>
      </c>
      <c r="P1059" s="12">
        <f ca="1">IF(TOTALCO!P178="", "",TOTALCO!P178)</f>
        <v>234482.17909658732</v>
      </c>
      <c r="Q1059" s="12"/>
    </row>
    <row r="1060" spans="1:17" ht="15" x14ac:dyDescent="0.2">
      <c r="A1060" s="382">
        <f>IF(TOTALCO!A179="", "",TOTALCO!A179)</f>
        <v>13</v>
      </c>
      <c r="B1060" s="4" t="str">
        <f>IF(TOTALCO!B179="", "",TOTALCO!B179)</f>
        <v>TOTAL 203(E) EXCESS</v>
      </c>
      <c r="C1060" s="4" t="str">
        <f>IF(TOTALCO!C179="", "",TOTALCO!C179)</f>
        <v>DEFTAX</v>
      </c>
      <c r="D1060" s="12">
        <f ca="1">IF(TOTALCO!D179="", "",TOTALCO!D179)</f>
        <v>-1256557</v>
      </c>
      <c r="E1060" s="12" t="str">
        <f>IF(TOTALCO!E179="", "",TOTALCO!E179)</f>
        <v/>
      </c>
      <c r="F1060" s="12">
        <f ca="1">IF(TOTALCO!F179="", "",TOTALCO!F179)</f>
        <v>-1104028.4242857145</v>
      </c>
      <c r="G1060" s="12" t="str">
        <f>IF(TOTALCO!G179="", "",TOTALCO!G179)</f>
        <v/>
      </c>
      <c r="H1060" s="12">
        <f ca="1">IF(TOTALCO!H179="", "",TOTALCO!H179)</f>
        <v>-70030.651345793449</v>
      </c>
      <c r="I1060" s="12">
        <f ca="1">IF(TOTALCO!I179="", "",TOTALCO!I179)</f>
        <v>-82497.924368492197</v>
      </c>
      <c r="J1060" s="12" t="str">
        <f>IF(TOTALCO!J179="", "",TOTALCO!J179)</f>
        <v/>
      </c>
      <c r="K1060" s="12" t="str">
        <f>IF(TOTALCO!K179="", "",TOTALCO!K179)</f>
        <v/>
      </c>
      <c r="L1060" s="12">
        <f ca="1">IF(TOTALCO!L179="", "",TOTALCO!L179)</f>
        <v>-38.956291710910499</v>
      </c>
      <c r="M1060" s="12" t="str">
        <f>IF(TOTALCO!M179="", "",TOTALCO!M179)</f>
        <v/>
      </c>
      <c r="N1060" s="12">
        <f ca="1">IF(TOTALCO!N179="", "",TOTALCO!N179)</f>
        <v>-82458.968076781282</v>
      </c>
      <c r="O1060" s="12">
        <f ca="1">IF(TOTALCO!O179="", "",TOTALCO!O179)</f>
        <v>-26198.727363966747</v>
      </c>
      <c r="P1060" s="12">
        <f ca="1">IF(TOTALCO!P179="", "",TOTALCO!P179)</f>
        <v>-56260.240712814535</v>
      </c>
      <c r="Q1060" s="12"/>
    </row>
    <row r="1061" spans="1:17" ht="15" x14ac:dyDescent="0.2">
      <c r="A1061" s="382">
        <f>IF(TOTALCO!A180="", "",TOTALCO!A180)</f>
        <v>14</v>
      </c>
      <c r="B1061" s="4" t="str">
        <f>IF(TOTALCO!B180="", "",TOTALCO!B180)</f>
        <v>STEAM OPERATING EXP 501-507</v>
      </c>
      <c r="C1061" s="4" t="str">
        <f>IF(TOTALCO!C180="", "",TOTALCO!C180)</f>
        <v>EXP5017STM</v>
      </c>
      <c r="D1061" s="12">
        <f ca="1">IF(TOTALCO!D180="", "",TOTALCO!D180)</f>
        <v>534792106.07999998</v>
      </c>
      <c r="E1061" s="12" t="str">
        <f>IF(TOTALCO!E180="", "",TOTALCO!E180)</f>
        <v/>
      </c>
      <c r="F1061" s="12">
        <f ca="1">IF(TOTALCO!F180="", "",TOTALCO!F180)</f>
        <v>463397849.09036309</v>
      </c>
      <c r="G1061" s="12" t="str">
        <f>IF(TOTALCO!G180="", "",TOTALCO!G180)</f>
        <v/>
      </c>
      <c r="H1061" s="12">
        <f ca="1">IF(TOTALCO!H180="", "",TOTALCO!H180)</f>
        <v>24839290.186724</v>
      </c>
      <c r="I1061" s="12">
        <f ca="1">IF(TOTALCO!I180="", "",TOTALCO!I180)</f>
        <v>46554966.802912913</v>
      </c>
      <c r="J1061" s="12" t="str">
        <f>IF(TOTALCO!J180="", "",TOTALCO!J180)</f>
        <v/>
      </c>
      <c r="K1061" s="12" t="str">
        <f>IF(TOTALCO!K180="", "",TOTALCO!K180)</f>
        <v/>
      </c>
      <c r="L1061" s="12">
        <f ca="1">IF(TOTALCO!L180="", "",TOTALCO!L180)</f>
        <v>2689.5854231370736</v>
      </c>
      <c r="M1061" s="12" t="str">
        <f>IF(TOTALCO!M180="", "",TOTALCO!M180)</f>
        <v/>
      </c>
      <c r="N1061" s="12">
        <f ca="1">IF(TOTALCO!N180="", "",TOTALCO!N180)</f>
        <v>46552277.217489779</v>
      </c>
      <c r="O1061" s="12">
        <f ca="1">IF(TOTALCO!O180="", "",TOTALCO!O180)</f>
        <v>15131037.791955026</v>
      </c>
      <c r="P1061" s="12">
        <f ca="1">IF(TOTALCO!P180="", "",TOTALCO!P180)</f>
        <v>31421239.425534755</v>
      </c>
      <c r="Q1061" s="12"/>
    </row>
    <row r="1062" spans="1:17" ht="15" x14ac:dyDescent="0.2">
      <c r="A1062" s="382">
        <f>IF(TOTALCO!A181="", "",TOTALCO!A181)</f>
        <v>15</v>
      </c>
      <c r="B1062" s="4" t="str">
        <f>IF(TOTALCO!B181="", "",TOTALCO!B181)</f>
        <v>STEAM MAINTENANCE EXP 511-514</v>
      </c>
      <c r="C1062" s="4" t="str">
        <f>IF(TOTALCO!C181="", "",TOTALCO!C181)</f>
        <v>EXP5114STM</v>
      </c>
      <c r="D1062" s="12">
        <f ca="1">IF(TOTALCO!D181="", "",TOTALCO!D181)</f>
        <v>61471225.079999998</v>
      </c>
      <c r="E1062" s="12" t="str">
        <f>IF(TOTALCO!E181="", "",TOTALCO!E181)</f>
        <v/>
      </c>
      <c r="F1062" s="12">
        <f ca="1">IF(TOTALCO!F181="", "",TOTALCO!F181)</f>
        <v>52949729.186260365</v>
      </c>
      <c r="G1062" s="12" t="str">
        <f>IF(TOTALCO!G181="", "",TOTALCO!G181)</f>
        <v/>
      </c>
      <c r="H1062" s="12">
        <f ca="1">IF(TOTALCO!H181="", "",TOTALCO!H181)</f>
        <v>2855156.0926620504</v>
      </c>
      <c r="I1062" s="12">
        <f ca="1">IF(TOTALCO!I181="", "",TOTALCO!I181)</f>
        <v>5666339.8010775829</v>
      </c>
      <c r="J1062" s="12" t="str">
        <f>IF(TOTALCO!J181="", "",TOTALCO!J181)</f>
        <v/>
      </c>
      <c r="K1062" s="12" t="str">
        <f>IF(TOTALCO!K181="", "",TOTALCO!K181)</f>
        <v/>
      </c>
      <c r="L1062" s="12">
        <f ca="1">IF(TOTALCO!L181="", "",TOTALCO!L181)</f>
        <v>314.45428272004301</v>
      </c>
      <c r="M1062" s="12" t="str">
        <f>IF(TOTALCO!M181="", "",TOTALCO!M181)</f>
        <v/>
      </c>
      <c r="N1062" s="12">
        <f ca="1">IF(TOTALCO!N181="", "",TOTALCO!N181)</f>
        <v>5666025.3467948632</v>
      </c>
      <c r="O1062" s="12">
        <f ca="1">IF(TOTALCO!O181="", "",TOTALCO!O181)</f>
        <v>1838709.0984152134</v>
      </c>
      <c r="P1062" s="12">
        <f ca="1">IF(TOTALCO!P181="", "",TOTALCO!P181)</f>
        <v>3827316.2483796496</v>
      </c>
      <c r="Q1062" s="12"/>
    </row>
    <row r="1063" spans="1:17" ht="15" x14ac:dyDescent="0.2">
      <c r="A1063" s="382">
        <f>IF(TOTALCO!A182="", "",TOTALCO!A182)</f>
        <v>16</v>
      </c>
      <c r="B1063" s="4" t="str">
        <f>IF(TOTALCO!B182="", "",TOTALCO!B182)</f>
        <v>HYDRO OPERATING EXP 536-540</v>
      </c>
      <c r="C1063" s="4" t="str">
        <f>IF(TOTALCO!C182="", "",TOTALCO!C182)</f>
        <v>EXP5360HYD</v>
      </c>
      <c r="D1063" s="12">
        <f ca="1">IF(TOTALCO!D182="", "",TOTALCO!D182)</f>
        <v>44637.38</v>
      </c>
      <c r="E1063" s="12" t="str">
        <f>IF(TOTALCO!E182="", "",TOTALCO!E182)</f>
        <v/>
      </c>
      <c r="F1063" s="12">
        <f ca="1">IF(TOTALCO!F182="", "",TOTALCO!F182)</f>
        <v>38552.624130675809</v>
      </c>
      <c r="G1063" s="12" t="str">
        <f>IF(TOTALCO!G182="", "",TOTALCO!G182)</f>
        <v/>
      </c>
      <c r="H1063" s="12">
        <f ca="1">IF(TOTALCO!H182="", "",TOTALCO!H182)</f>
        <v>2264.562175996251</v>
      </c>
      <c r="I1063" s="12">
        <f ca="1">IF(TOTALCO!I182="", "",TOTALCO!I182)</f>
        <v>3820.1936933279358</v>
      </c>
      <c r="J1063" s="12" t="str">
        <f>IF(TOTALCO!J182="", "",TOTALCO!J182)</f>
        <v/>
      </c>
      <c r="K1063" s="12" t="str">
        <f>IF(TOTALCO!K182="", "",TOTALCO!K182)</f>
        <v/>
      </c>
      <c r="L1063" s="12">
        <f ca="1">IF(TOTALCO!L182="", "",TOTALCO!L182)</f>
        <v>0.34087340754491002</v>
      </c>
      <c r="M1063" s="12" t="str">
        <f>IF(TOTALCO!M182="", "",TOTALCO!M182)</f>
        <v/>
      </c>
      <c r="N1063" s="12">
        <f ca="1">IF(TOTALCO!N182="", "",TOTALCO!N182)</f>
        <v>3819.8528199203906</v>
      </c>
      <c r="O1063" s="12">
        <f ca="1">IF(TOTALCO!O182="", "",TOTALCO!O182)</f>
        <v>1191.8909981578154</v>
      </c>
      <c r="P1063" s="12">
        <f ca="1">IF(TOTALCO!P182="", "",TOTALCO!P182)</f>
        <v>2627.9618217625753</v>
      </c>
      <c r="Q1063" s="12"/>
    </row>
    <row r="1064" spans="1:17" ht="15" x14ac:dyDescent="0.2">
      <c r="A1064" s="382">
        <f>IF(TOTALCO!A183="", "",TOTALCO!A183)</f>
        <v>17</v>
      </c>
      <c r="B1064" s="4" t="str">
        <f>IF(TOTALCO!B183="", "",TOTALCO!B183)</f>
        <v>HYDRO MAINTENANCE EXP 542-545</v>
      </c>
      <c r="C1064" s="4" t="str">
        <f>IF(TOTALCO!C183="", "",TOTALCO!C183)</f>
        <v>EXP5425HYD</v>
      </c>
      <c r="D1064" s="12">
        <f ca="1">IF(TOTALCO!D183="", "",TOTALCO!D183)</f>
        <v>311632.33</v>
      </c>
      <c r="E1064" s="12" t="str">
        <f>IF(TOTALCO!E183="", "",TOTALCO!E183)</f>
        <v/>
      </c>
      <c r="F1064" s="12">
        <f ca="1">IF(TOTALCO!F183="", "",TOTALCO!F183)</f>
        <v>269509.95653301617</v>
      </c>
      <c r="G1064" s="12" t="str">
        <f>IF(TOTALCO!G183="", "",TOTALCO!G183)</f>
        <v/>
      </c>
      <c r="H1064" s="12">
        <f ca="1">IF(TOTALCO!H183="", "",TOTALCO!H183)</f>
        <v>15361.818398594227</v>
      </c>
      <c r="I1064" s="12">
        <f ca="1">IF(TOTALCO!I183="", "",TOTALCO!I183)</f>
        <v>26760.555068389607</v>
      </c>
      <c r="J1064" s="12" t="str">
        <f>IF(TOTALCO!J183="", "",TOTALCO!J183)</f>
        <v/>
      </c>
      <c r="K1064" s="12" t="str">
        <f>IF(TOTALCO!K183="", "",TOTALCO!K183)</f>
        <v/>
      </c>
      <c r="L1064" s="12">
        <f ca="1">IF(TOTALCO!L183="", "",TOTALCO!L183)</f>
        <v>2.1154562885264738</v>
      </c>
      <c r="M1064" s="12" t="str">
        <f>IF(TOTALCO!M183="", "",TOTALCO!M183)</f>
        <v/>
      </c>
      <c r="N1064" s="12">
        <f ca="1">IF(TOTALCO!N183="", "",TOTALCO!N183)</f>
        <v>26758.43961210108</v>
      </c>
      <c r="O1064" s="12">
        <f ca="1">IF(TOTALCO!O183="", "",TOTALCO!O183)</f>
        <v>8464.3791838560173</v>
      </c>
      <c r="P1064" s="12">
        <f ca="1">IF(TOTALCO!P183="", "",TOTALCO!P183)</f>
        <v>18294.060428245062</v>
      </c>
      <c r="Q1064" s="12"/>
    </row>
    <row r="1065" spans="1:17" ht="15" x14ac:dyDescent="0.2">
      <c r="A1065" s="382">
        <f>IF(TOTALCO!A184="", "",TOTALCO!A184)</f>
        <v>18</v>
      </c>
      <c r="B1065" s="4" t="str">
        <f>IF(TOTALCO!B184="", "",TOTALCO!B184)</f>
        <v>OTHER PROD OPER EXP 547-549</v>
      </c>
      <c r="C1065" s="4" t="str">
        <f>IF(TOTALCO!C184="", "",TOTALCO!C184)</f>
        <v>EXP5479OTH</v>
      </c>
      <c r="D1065" s="12">
        <f ca="1">IF(TOTALCO!D184="", "",TOTALCO!D184)</f>
        <v>32008989.09</v>
      </c>
      <c r="E1065" s="12" t="str">
        <f>IF(TOTALCO!E184="", "",TOTALCO!E184)</f>
        <v/>
      </c>
      <c r="F1065" s="12">
        <f ca="1">IF(TOTALCO!F184="", "",TOTALCO!F184)</f>
        <v>27768243.948622026</v>
      </c>
      <c r="G1065" s="12" t="str">
        <f>IF(TOTALCO!G184="", "",TOTALCO!G184)</f>
        <v/>
      </c>
      <c r="H1065" s="12">
        <f ca="1">IF(TOTALCO!H184="", "",TOTALCO!H184)</f>
        <v>1469792.1570223963</v>
      </c>
      <c r="I1065" s="12">
        <f ca="1">IF(TOTALCO!I184="", "",TOTALCO!I184)</f>
        <v>2770952.9843555759</v>
      </c>
      <c r="J1065" s="12" t="str">
        <f>IF(TOTALCO!J184="", "",TOTALCO!J184)</f>
        <v/>
      </c>
      <c r="K1065" s="12" t="str">
        <f>IF(TOTALCO!K184="", "",TOTALCO!K184)</f>
        <v/>
      </c>
      <c r="L1065" s="12">
        <f ca="1">IF(TOTALCO!L184="", "",TOTALCO!L184)</f>
        <v>153.53857254838701</v>
      </c>
      <c r="M1065" s="12" t="str">
        <f>IF(TOTALCO!M184="", "",TOTALCO!M184)</f>
        <v/>
      </c>
      <c r="N1065" s="12">
        <f ca="1">IF(TOTALCO!N184="", "",TOTALCO!N184)</f>
        <v>2770799.4457830274</v>
      </c>
      <c r="O1065" s="12">
        <f ca="1">IF(TOTALCO!O184="", "",TOTALCO!O184)</f>
        <v>904128.0857736133</v>
      </c>
      <c r="P1065" s="12">
        <f ca="1">IF(TOTALCO!P184="", "",TOTALCO!P184)</f>
        <v>1866671.3600094139</v>
      </c>
      <c r="Q1065" s="12"/>
    </row>
    <row r="1066" spans="1:17" ht="15" x14ac:dyDescent="0.2">
      <c r="A1066" s="382">
        <f>IF(TOTALCO!A185="", "",TOTALCO!A185)</f>
        <v>19</v>
      </c>
      <c r="B1066" s="4" t="str">
        <f>IF(TOTALCO!B185="", "",TOTALCO!B185)</f>
        <v>OTHER PROD MAINT EXP 552-554</v>
      </c>
      <c r="C1066" s="4" t="str">
        <f>IF(TOTALCO!C185="", "",TOTALCO!C185)</f>
        <v>EXP5524OTH</v>
      </c>
      <c r="D1066" s="12">
        <f ca="1">IF(TOTALCO!D185="", "",TOTALCO!D185)</f>
        <v>2075188.38</v>
      </c>
      <c r="E1066" s="12" t="str">
        <f>IF(TOTALCO!E185="", "",TOTALCO!E185)</f>
        <v/>
      </c>
      <c r="F1066" s="12">
        <f ca="1">IF(TOTALCO!F185="", "",TOTALCO!F185)</f>
        <v>1789011.7405038993</v>
      </c>
      <c r="G1066" s="12" t="str">
        <f>IF(TOTALCO!G185="", "",TOTALCO!G185)</f>
        <v/>
      </c>
      <c r="H1066" s="12">
        <f ca="1">IF(TOTALCO!H185="", "",TOTALCO!H185)</f>
        <v>105066.29651006365</v>
      </c>
      <c r="I1066" s="12">
        <f ca="1">IF(TOTALCO!I185="", "",TOTALCO!I185)</f>
        <v>181110.34298603699</v>
      </c>
      <c r="J1066" s="12" t="str">
        <f>IF(TOTALCO!J185="", "",TOTALCO!J185)</f>
        <v/>
      </c>
      <c r="K1066" s="12" t="str">
        <f>IF(TOTALCO!K185="", "",TOTALCO!K185)</f>
        <v/>
      </c>
      <c r="L1066" s="12">
        <f ca="1">IF(TOTALCO!L185="", "",TOTALCO!L185)</f>
        <v>15.818029041457221</v>
      </c>
      <c r="M1066" s="12" t="str">
        <f>IF(TOTALCO!M185="", "",TOTALCO!M185)</f>
        <v/>
      </c>
      <c r="N1066" s="12">
        <f ca="1">IF(TOTALCO!N185="", "",TOTALCO!N185)</f>
        <v>181094.52495699553</v>
      </c>
      <c r="O1066" s="12">
        <f ca="1">IF(TOTALCO!O185="", "",TOTALCO!O185)</f>
        <v>56506.08656602828</v>
      </c>
      <c r="P1066" s="12">
        <f ca="1">IF(TOTALCO!P185="", "",TOTALCO!P185)</f>
        <v>124588.43839096725</v>
      </c>
      <c r="Q1066" s="12"/>
    </row>
    <row r="1067" spans="1:17" ht="15" x14ac:dyDescent="0.2">
      <c r="A1067" s="382">
        <f>IF(TOTALCO!A186="", "",TOTALCO!A186)</f>
        <v>20</v>
      </c>
      <c r="B1067" s="4" t="str">
        <f>IF(TOTALCO!B186="", "",TOTALCO!B186)</f>
        <v>TOT STEAM OPERATIONS LABOR</v>
      </c>
      <c r="C1067" s="4" t="str">
        <f>IF(TOTALCO!C186="", "",TOTALCO!C186)</f>
        <v>LABSTMOP</v>
      </c>
      <c r="D1067" s="12">
        <f ca="1">IF(TOTALCO!D186="", "",TOTALCO!D186)</f>
        <v>0</v>
      </c>
      <c r="E1067" s="12" t="str">
        <f>IF(TOTALCO!E186="", "",TOTALCO!E186)</f>
        <v/>
      </c>
      <c r="F1067" s="12">
        <f ca="1">IF(TOTALCO!F186="", "",TOTALCO!F186)</f>
        <v>0</v>
      </c>
      <c r="G1067" s="12" t="str">
        <f>IF(TOTALCO!G186="", "",TOTALCO!G186)</f>
        <v/>
      </c>
      <c r="H1067" s="12">
        <f ca="1">IF(TOTALCO!H186="", "",TOTALCO!H186)</f>
        <v>0</v>
      </c>
      <c r="I1067" s="12">
        <f ca="1">IF(TOTALCO!I186="", "",TOTALCO!I186)</f>
        <v>0</v>
      </c>
      <c r="J1067" s="12" t="str">
        <f>IF(TOTALCO!J186="", "",TOTALCO!J186)</f>
        <v/>
      </c>
      <c r="K1067" s="12" t="str">
        <f>IF(TOTALCO!K186="", "",TOTALCO!K186)</f>
        <v/>
      </c>
      <c r="L1067" s="12">
        <f ca="1">IF(TOTALCO!L186="", "",TOTALCO!L186)</f>
        <v>0</v>
      </c>
      <c r="M1067" s="12" t="str">
        <f>IF(TOTALCO!M186="", "",TOTALCO!M186)</f>
        <v/>
      </c>
      <c r="N1067" s="12">
        <f ca="1">IF(TOTALCO!N186="", "",TOTALCO!N186)</f>
        <v>0</v>
      </c>
      <c r="O1067" s="12">
        <f ca="1">IF(TOTALCO!O186="", "",TOTALCO!O186)</f>
        <v>0</v>
      </c>
      <c r="P1067" s="12">
        <f ca="1">IF(TOTALCO!P186="", "",TOTALCO!P186)</f>
        <v>0</v>
      </c>
      <c r="Q1067" s="12"/>
    </row>
    <row r="1068" spans="1:17" ht="15" x14ac:dyDescent="0.2">
      <c r="A1068" s="382">
        <f>IF(TOTALCO!A187="", "",TOTALCO!A187)</f>
        <v>21</v>
      </c>
      <c r="B1068" s="4" t="str">
        <f>IF(TOTALCO!B187="", "",TOTALCO!B187)</f>
        <v>TOT STEAM MAINTENANCE LABOR</v>
      </c>
      <c r="C1068" s="4" t="str">
        <f>IF(TOTALCO!C187="", "",TOTALCO!C187)</f>
        <v>LABSTMMN</v>
      </c>
      <c r="D1068" s="12">
        <f ca="1">IF(TOTALCO!D187="", "",TOTALCO!D187)</f>
        <v>0</v>
      </c>
      <c r="E1068" s="12" t="str">
        <f>IF(TOTALCO!E187="", "",TOTALCO!E187)</f>
        <v/>
      </c>
      <c r="F1068" s="12">
        <f ca="1">IF(TOTALCO!F187="", "",TOTALCO!F187)</f>
        <v>0</v>
      </c>
      <c r="G1068" s="12" t="str">
        <f>IF(TOTALCO!G187="", "",TOTALCO!G187)</f>
        <v/>
      </c>
      <c r="H1068" s="12">
        <f ca="1">IF(TOTALCO!H187="", "",TOTALCO!H187)</f>
        <v>0</v>
      </c>
      <c r="I1068" s="12">
        <f ca="1">IF(TOTALCO!I187="", "",TOTALCO!I187)</f>
        <v>0</v>
      </c>
      <c r="J1068" s="12" t="str">
        <f>IF(TOTALCO!J187="", "",TOTALCO!J187)</f>
        <v/>
      </c>
      <c r="K1068" s="12" t="str">
        <f>IF(TOTALCO!K187="", "",TOTALCO!K187)</f>
        <v/>
      </c>
      <c r="L1068" s="12">
        <f ca="1">IF(TOTALCO!L187="", "",TOTALCO!L187)</f>
        <v>0</v>
      </c>
      <c r="M1068" s="12" t="str">
        <f>IF(TOTALCO!M187="", "",TOTALCO!M187)</f>
        <v/>
      </c>
      <c r="N1068" s="12">
        <f ca="1">IF(TOTALCO!N187="", "",TOTALCO!N187)</f>
        <v>0</v>
      </c>
      <c r="O1068" s="12">
        <f ca="1">IF(TOTALCO!O187="", "",TOTALCO!O187)</f>
        <v>0</v>
      </c>
      <c r="P1068" s="12">
        <f ca="1">IF(TOTALCO!P187="", "",TOTALCO!P187)</f>
        <v>0</v>
      </c>
      <c r="Q1068" s="12"/>
    </row>
    <row r="1069" spans="1:17" ht="15" x14ac:dyDescent="0.2">
      <c r="A1069" s="382">
        <f>IF(TOTALCO!A188="", "",TOTALCO!A188)</f>
        <v>22</v>
      </c>
      <c r="B1069" s="4" t="str">
        <f>IF(TOTALCO!B188="", "",TOTALCO!B188)</f>
        <v>TOT HYDRO OPERATIONS LABOR</v>
      </c>
      <c r="C1069" s="4" t="str">
        <f>IF(TOTALCO!C188="", "",TOTALCO!C188)</f>
        <v>LABHYDOP</v>
      </c>
      <c r="D1069" s="12">
        <f ca="1">IF(TOTALCO!D188="", "",TOTALCO!D188)</f>
        <v>0</v>
      </c>
      <c r="E1069" s="12" t="str">
        <f>IF(TOTALCO!E188="", "",TOTALCO!E188)</f>
        <v/>
      </c>
      <c r="F1069" s="12">
        <f ca="1">IF(TOTALCO!F188="", "",TOTALCO!F188)</f>
        <v>0</v>
      </c>
      <c r="G1069" s="12" t="str">
        <f>IF(TOTALCO!G188="", "",TOTALCO!G188)</f>
        <v/>
      </c>
      <c r="H1069" s="12">
        <f ca="1">IF(TOTALCO!H188="", "",TOTALCO!H188)</f>
        <v>0</v>
      </c>
      <c r="I1069" s="12">
        <f ca="1">IF(TOTALCO!I188="", "",TOTALCO!I188)</f>
        <v>0</v>
      </c>
      <c r="J1069" s="12" t="str">
        <f>IF(TOTALCO!J188="", "",TOTALCO!J188)</f>
        <v/>
      </c>
      <c r="K1069" s="12" t="str">
        <f>IF(TOTALCO!K188="", "",TOTALCO!K188)</f>
        <v/>
      </c>
      <c r="L1069" s="12">
        <f ca="1">IF(TOTALCO!L188="", "",TOTALCO!L188)</f>
        <v>0</v>
      </c>
      <c r="M1069" s="12" t="str">
        <f>IF(TOTALCO!M188="", "",TOTALCO!M188)</f>
        <v/>
      </c>
      <c r="N1069" s="12">
        <f ca="1">IF(TOTALCO!N188="", "",TOTALCO!N188)</f>
        <v>0</v>
      </c>
      <c r="O1069" s="12">
        <f ca="1">IF(TOTALCO!O188="", "",TOTALCO!O188)</f>
        <v>0</v>
      </c>
      <c r="P1069" s="12">
        <f ca="1">IF(TOTALCO!P188="", "",TOTALCO!P188)</f>
        <v>0</v>
      </c>
      <c r="Q1069" s="12"/>
    </row>
    <row r="1070" spans="1:17" ht="15" x14ac:dyDescent="0.2">
      <c r="A1070" s="382">
        <f>IF(TOTALCO!A189="", "",TOTALCO!A189)</f>
        <v>23</v>
      </c>
      <c r="B1070" s="4" t="str">
        <f>IF(TOTALCO!B189="", "",TOTALCO!B189)</f>
        <v>TOT HYDRO MAINTENANCE LABOR</v>
      </c>
      <c r="C1070" s="4" t="str">
        <f>IF(TOTALCO!C189="", "",TOTALCO!C189)</f>
        <v>LABHYDMN</v>
      </c>
      <c r="D1070" s="12">
        <f ca="1">IF(TOTALCO!D189="", "",TOTALCO!D189)</f>
        <v>0</v>
      </c>
      <c r="E1070" s="12" t="str">
        <f>IF(TOTALCO!E189="", "",TOTALCO!E189)</f>
        <v/>
      </c>
      <c r="F1070" s="12">
        <f ca="1">IF(TOTALCO!F189="", "",TOTALCO!F189)</f>
        <v>0</v>
      </c>
      <c r="G1070" s="12" t="str">
        <f>IF(TOTALCO!G189="", "",TOTALCO!G189)</f>
        <v/>
      </c>
      <c r="H1070" s="12">
        <f ca="1">IF(TOTALCO!H189="", "",TOTALCO!H189)</f>
        <v>0</v>
      </c>
      <c r="I1070" s="12">
        <f ca="1">IF(TOTALCO!I189="", "",TOTALCO!I189)</f>
        <v>0</v>
      </c>
      <c r="J1070" s="12" t="str">
        <f>IF(TOTALCO!J189="", "",TOTALCO!J189)</f>
        <v/>
      </c>
      <c r="K1070" s="12" t="str">
        <f>IF(TOTALCO!K189="", "",TOTALCO!K189)</f>
        <v/>
      </c>
      <c r="L1070" s="12">
        <f ca="1">IF(TOTALCO!L189="", "",TOTALCO!L189)</f>
        <v>0</v>
      </c>
      <c r="M1070" s="12" t="str">
        <f>IF(TOTALCO!M189="", "",TOTALCO!M189)</f>
        <v/>
      </c>
      <c r="N1070" s="12">
        <f ca="1">IF(TOTALCO!N189="", "",TOTALCO!N189)</f>
        <v>0</v>
      </c>
      <c r="O1070" s="12">
        <f ca="1">IF(TOTALCO!O189="", "",TOTALCO!O189)</f>
        <v>0</v>
      </c>
      <c r="P1070" s="12">
        <f ca="1">IF(TOTALCO!P189="", "",TOTALCO!P189)</f>
        <v>0</v>
      </c>
      <c r="Q1070" s="12"/>
    </row>
    <row r="1071" spans="1:17" ht="15" x14ac:dyDescent="0.2">
      <c r="A1071" s="382">
        <f>IF(TOTALCO!A190="", "",TOTALCO!A190)</f>
        <v>24</v>
      </c>
      <c r="B1071" s="4" t="str">
        <f>IF(TOTALCO!B190="", "",TOTALCO!B190)</f>
        <v>TOT OTHER OPERATIONS LABOR</v>
      </c>
      <c r="C1071" s="4" t="str">
        <f>IF(TOTALCO!C190="", "",TOTALCO!C190)</f>
        <v>LABOTHOP</v>
      </c>
      <c r="D1071" s="12">
        <f ca="1">IF(TOTALCO!D190="", "",TOTALCO!D190)</f>
        <v>0</v>
      </c>
      <c r="E1071" s="12" t="str">
        <f>IF(TOTALCO!E190="", "",TOTALCO!E190)</f>
        <v/>
      </c>
      <c r="F1071" s="12">
        <f ca="1">IF(TOTALCO!F190="", "",TOTALCO!F190)</f>
        <v>0</v>
      </c>
      <c r="G1071" s="12" t="str">
        <f>IF(TOTALCO!G190="", "",TOTALCO!G190)</f>
        <v/>
      </c>
      <c r="H1071" s="12">
        <f ca="1">IF(TOTALCO!H190="", "",TOTALCO!H190)</f>
        <v>0</v>
      </c>
      <c r="I1071" s="12">
        <f ca="1">IF(TOTALCO!I190="", "",TOTALCO!I190)</f>
        <v>0</v>
      </c>
      <c r="J1071" s="12" t="str">
        <f>IF(TOTALCO!J190="", "",TOTALCO!J190)</f>
        <v/>
      </c>
      <c r="K1071" s="12" t="str">
        <f>IF(TOTALCO!K190="", "",TOTALCO!K190)</f>
        <v/>
      </c>
      <c r="L1071" s="12">
        <f ca="1">IF(TOTALCO!L190="", "",TOTALCO!L190)</f>
        <v>0</v>
      </c>
      <c r="M1071" s="12" t="str">
        <f>IF(TOTALCO!M190="", "",TOTALCO!M190)</f>
        <v/>
      </c>
      <c r="N1071" s="12">
        <f ca="1">IF(TOTALCO!N190="", "",TOTALCO!N190)</f>
        <v>0</v>
      </c>
      <c r="O1071" s="12">
        <f ca="1">IF(TOTALCO!O190="", "",TOTALCO!O190)</f>
        <v>0</v>
      </c>
      <c r="P1071" s="12">
        <f ca="1">IF(TOTALCO!P190="", "",TOTALCO!P190)</f>
        <v>0</v>
      </c>
      <c r="Q1071" s="12"/>
    </row>
    <row r="1072" spans="1:17" ht="15" x14ac:dyDescent="0.2">
      <c r="A1072" s="382">
        <f>IF(TOTALCO!A191="", "",TOTALCO!A191)</f>
        <v>25</v>
      </c>
      <c r="B1072" s="4" t="str">
        <f>IF(TOTALCO!B191="", "",TOTALCO!B191)</f>
        <v>TOT OTHER MAINTENANCE LABOR</v>
      </c>
      <c r="C1072" s="4" t="str">
        <f>IF(TOTALCO!C191="", "",TOTALCO!C191)</f>
        <v>LABOTHMN</v>
      </c>
      <c r="D1072" s="12">
        <f ca="1">IF(TOTALCO!D191="", "",TOTALCO!D191)</f>
        <v>0</v>
      </c>
      <c r="E1072" s="12" t="str">
        <f>IF(TOTALCO!E191="", "",TOTALCO!E191)</f>
        <v/>
      </c>
      <c r="F1072" s="12">
        <f ca="1">IF(TOTALCO!F191="", "",TOTALCO!F191)</f>
        <v>0</v>
      </c>
      <c r="G1072" s="12" t="str">
        <f>IF(TOTALCO!G191="", "",TOTALCO!G191)</f>
        <v/>
      </c>
      <c r="H1072" s="12">
        <f ca="1">IF(TOTALCO!H191="", "",TOTALCO!H191)</f>
        <v>0</v>
      </c>
      <c r="I1072" s="12">
        <f ca="1">IF(TOTALCO!I191="", "",TOTALCO!I191)</f>
        <v>0</v>
      </c>
      <c r="J1072" s="12" t="str">
        <f>IF(TOTALCO!J191="", "",TOTALCO!J191)</f>
        <v/>
      </c>
      <c r="K1072" s="12" t="str">
        <f>IF(TOTALCO!K191="", "",TOTALCO!K191)</f>
        <v/>
      </c>
      <c r="L1072" s="12">
        <f ca="1">IF(TOTALCO!L191="", "",TOTALCO!L191)</f>
        <v>0</v>
      </c>
      <c r="M1072" s="12" t="str">
        <f>IF(TOTALCO!M191="", "",TOTALCO!M191)</f>
        <v/>
      </c>
      <c r="N1072" s="12">
        <f ca="1">IF(TOTALCO!N191="", "",TOTALCO!N191)</f>
        <v>0</v>
      </c>
      <c r="O1072" s="12">
        <f ca="1">IF(TOTALCO!O191="", "",TOTALCO!O191)</f>
        <v>0</v>
      </c>
      <c r="P1072" s="12">
        <f ca="1">IF(TOTALCO!P191="", "",TOTALCO!P191)</f>
        <v>0</v>
      </c>
      <c r="Q1072" s="12"/>
    </row>
    <row r="1073" spans="1:17" ht="15" x14ac:dyDescent="0.2">
      <c r="A1073" s="382">
        <f>IF(TOTALCO!A192="", "",TOTALCO!A192)</f>
        <v>26</v>
      </c>
      <c r="B1073" s="4" t="str">
        <f>IF(TOTALCO!B192="", "",TOTALCO!B192)</f>
        <v>TRANSM OPER EXP 562-567</v>
      </c>
      <c r="C1073" s="4" t="str">
        <f>IF(TOTALCO!C192="", "",TOTALCO!C192)</f>
        <v>EXP5627TX</v>
      </c>
      <c r="D1073" s="12">
        <f ca="1">IF(TOTALCO!D192="", "",TOTALCO!D192)</f>
        <v>15897596.83</v>
      </c>
      <c r="E1073" s="12" t="str">
        <f>IF(TOTALCO!E192="", "",TOTALCO!E192)</f>
        <v/>
      </c>
      <c r="F1073" s="12">
        <f ca="1">IF(TOTALCO!F192="", "",TOTALCO!F192)</f>
        <v>12822591.852505596</v>
      </c>
      <c r="G1073" s="12" t="str">
        <f>IF(TOTALCO!G192="", "",TOTALCO!G192)</f>
        <v/>
      </c>
      <c r="H1073" s="12">
        <f ca="1">IF(TOTALCO!H192="", "",TOTALCO!H192)</f>
        <v>1788132.856144703</v>
      </c>
      <c r="I1073" s="12">
        <f ca="1">IF(TOTALCO!I192="", "",TOTALCO!I192)</f>
        <v>1286872.121349701</v>
      </c>
      <c r="J1073" s="12" t="str">
        <f>IF(TOTALCO!J192="", "",TOTALCO!J192)</f>
        <v/>
      </c>
      <c r="K1073" s="12" t="str">
        <f>IF(TOTALCO!K192="", "",TOTALCO!K192)</f>
        <v/>
      </c>
      <c r="L1073" s="12">
        <f ca="1">IF(TOTALCO!L192="", "",TOTALCO!L192)</f>
        <v>110.44880895057254</v>
      </c>
      <c r="M1073" s="12" t="str">
        <f>IF(TOTALCO!M192="", "",TOTALCO!M192)</f>
        <v/>
      </c>
      <c r="N1073" s="12">
        <f ca="1">IF(TOTALCO!N192="", "",TOTALCO!N192)</f>
        <v>1286761.6725407504</v>
      </c>
      <c r="O1073" s="12">
        <f ca="1">IF(TOTALCO!O192="", "",TOTALCO!O192)</f>
        <v>401502.28989916376</v>
      </c>
      <c r="P1073" s="12">
        <f ca="1">IF(TOTALCO!P192="", "",TOTALCO!P192)</f>
        <v>885259.38264158648</v>
      </c>
      <c r="Q1073" s="12"/>
    </row>
    <row r="1074" spans="1:17" ht="15" x14ac:dyDescent="0.2">
      <c r="A1074" s="382">
        <f>IF(TOTALCO!A193="", "",TOTALCO!A193)</f>
        <v>27</v>
      </c>
      <c r="B1074" s="4" t="str">
        <f>IF(TOTALCO!B193="", "",TOTALCO!B193)</f>
        <v>TRANSM MAINT EXP 569-573</v>
      </c>
      <c r="C1074" s="4" t="str">
        <f>IF(TOTALCO!C193="", "",TOTALCO!C193)</f>
        <v>EXP5693TX</v>
      </c>
      <c r="D1074" s="12">
        <f ca="1">IF(TOTALCO!D193="", "",TOTALCO!D193)</f>
        <v>7296485.7400000012</v>
      </c>
      <c r="E1074" s="12" t="str">
        <f>IF(TOTALCO!E193="", "",TOTALCO!E193)</f>
        <v/>
      </c>
      <c r="F1074" s="12">
        <f ca="1">IF(TOTALCO!F193="", "",TOTALCO!F193)</f>
        <v>5870248.5984464949</v>
      </c>
      <c r="G1074" s="12" t="str">
        <f>IF(TOTALCO!G193="", "",TOTALCO!G193)</f>
        <v/>
      </c>
      <c r="H1074" s="12">
        <f ca="1">IF(TOTALCO!H193="", "",TOTALCO!H193)</f>
        <v>829364.99684751139</v>
      </c>
      <c r="I1074" s="12">
        <f ca="1">IF(TOTALCO!I193="", "",TOTALCO!I193)</f>
        <v>596872.14470599475</v>
      </c>
      <c r="J1074" s="12" t="str">
        <f>IF(TOTALCO!J193="", "",TOTALCO!J193)</f>
        <v/>
      </c>
      <c r="K1074" s="12" t="str">
        <f>IF(TOTALCO!K193="", "",TOTALCO!K193)</f>
        <v/>
      </c>
      <c r="L1074" s="12">
        <f ca="1">IF(TOTALCO!L193="", "",TOTALCO!L193)</f>
        <v>51.227947505311171</v>
      </c>
      <c r="M1074" s="12" t="str">
        <f>IF(TOTALCO!M193="", "",TOTALCO!M193)</f>
        <v/>
      </c>
      <c r="N1074" s="12">
        <f ca="1">IF(TOTALCO!N193="", "",TOTALCO!N193)</f>
        <v>596820.91675848945</v>
      </c>
      <c r="O1074" s="12">
        <f ca="1">IF(TOTALCO!O193="", "",TOTALCO!O193)</f>
        <v>186223.26873095692</v>
      </c>
      <c r="P1074" s="12">
        <f ca="1">IF(TOTALCO!P193="", "",TOTALCO!P193)</f>
        <v>410597.6480275325</v>
      </c>
      <c r="Q1074" s="12"/>
    </row>
    <row r="1075" spans="1:17" ht="15" x14ac:dyDescent="0.2">
      <c r="A1075" s="382">
        <f>IF(TOTALCO!A194="", "",TOTALCO!A194)</f>
        <v>28</v>
      </c>
      <c r="B1075" s="4" t="str">
        <f>IF(TOTALCO!B194="", "",TOTALCO!B194)</f>
        <v>TOT TRANSM OPERATIONS LABOR</v>
      </c>
      <c r="C1075" s="4" t="str">
        <f>IF(TOTALCO!C194="", "",TOTALCO!C194)</f>
        <v>LABTROP</v>
      </c>
      <c r="D1075" s="12">
        <f ca="1">IF(TOTALCO!D194="", "",TOTALCO!D194)</f>
        <v>5806037.21</v>
      </c>
      <c r="E1075" s="12" t="str">
        <f>IF(TOTALCO!E194="", "",TOTALCO!E194)</f>
        <v/>
      </c>
      <c r="F1075" s="12">
        <f ca="1">IF(TOTALCO!F194="", "",TOTALCO!F194)</f>
        <v>4659128.9201877248</v>
      </c>
      <c r="G1075" s="12" t="str">
        <f>IF(TOTALCO!G194="", "",TOTALCO!G194)</f>
        <v/>
      </c>
      <c r="H1075" s="12">
        <f ca="1">IF(TOTALCO!H194="", "",TOTALCO!H194)</f>
        <v>666933.68336240132</v>
      </c>
      <c r="I1075" s="12">
        <f ca="1">IF(TOTALCO!I194="", "",TOTALCO!I194)</f>
        <v>479974.60644987389</v>
      </c>
      <c r="J1075" s="12" t="str">
        <f>IF(TOTALCO!J194="", "",TOTALCO!J194)</f>
        <v/>
      </c>
      <c r="K1075" s="12" t="str">
        <f>IF(TOTALCO!K194="", "",TOTALCO!K194)</f>
        <v/>
      </c>
      <c r="L1075" s="12">
        <f ca="1">IF(TOTALCO!L194="", "",TOTALCO!L194)</f>
        <v>41.194942939091355</v>
      </c>
      <c r="M1075" s="12" t="str">
        <f>IF(TOTALCO!M194="", "",TOTALCO!M194)</f>
        <v/>
      </c>
      <c r="N1075" s="12">
        <f ca="1">IF(TOTALCO!N194="", "",TOTALCO!N194)</f>
        <v>479933.41150693479</v>
      </c>
      <c r="O1075" s="12">
        <f ca="1">IF(TOTALCO!O194="", "",TOTALCO!O194)</f>
        <v>149751.4013909593</v>
      </c>
      <c r="P1075" s="12">
        <f ca="1">IF(TOTALCO!P194="", "",TOTALCO!P194)</f>
        <v>330182.01011597551</v>
      </c>
      <c r="Q1075" s="12"/>
    </row>
    <row r="1076" spans="1:17" ht="15" x14ac:dyDescent="0.2">
      <c r="A1076" s="382">
        <f>IF(TOTALCO!A195="", "",TOTALCO!A195)</f>
        <v>29</v>
      </c>
      <c r="B1076" s="4" t="str">
        <f>IF(TOTALCO!B195="", "",TOTALCO!B195)</f>
        <v>TOT TRANSM MAINTENANCE LABOR</v>
      </c>
      <c r="C1076" s="4" t="str">
        <f>IF(TOTALCO!C195="", "",TOTALCO!C195)</f>
        <v>LABTRMN</v>
      </c>
      <c r="D1076" s="12">
        <f>IF(TOTALCO!D195="", "",TOTALCO!D195)</f>
        <v>0</v>
      </c>
      <c r="E1076" s="12" t="str">
        <f>IF(TOTALCO!E195="", "",TOTALCO!E195)</f>
        <v/>
      </c>
      <c r="F1076" s="12">
        <f>IF(TOTALCO!F195="", "",TOTALCO!F195)</f>
        <v>0</v>
      </c>
      <c r="G1076" s="12" t="str">
        <f>IF(TOTALCO!G195="", "",TOTALCO!G195)</f>
        <v/>
      </c>
      <c r="H1076" s="12">
        <f>IF(TOTALCO!H195="", "",TOTALCO!H195)</f>
        <v>0</v>
      </c>
      <c r="I1076" s="12">
        <f>IF(TOTALCO!I195="", "",TOTALCO!I195)</f>
        <v>0</v>
      </c>
      <c r="J1076" s="12" t="str">
        <f>IF(TOTALCO!J195="", "",TOTALCO!J195)</f>
        <v/>
      </c>
      <c r="K1076" s="12" t="str">
        <f>IF(TOTALCO!K195="", "",TOTALCO!K195)</f>
        <v/>
      </c>
      <c r="L1076" s="12">
        <f>IF(TOTALCO!L195="", "",TOTALCO!L195)</f>
        <v>0</v>
      </c>
      <c r="M1076" s="12" t="str">
        <f>IF(TOTALCO!M195="", "",TOTALCO!M195)</f>
        <v/>
      </c>
      <c r="N1076" s="12">
        <f>IF(TOTALCO!N195="", "",TOTALCO!N195)</f>
        <v>0</v>
      </c>
      <c r="O1076" s="12">
        <f>IF(TOTALCO!O195="", "",TOTALCO!O195)</f>
        <v>0</v>
      </c>
      <c r="P1076" s="12">
        <f>IF(TOTALCO!P195="", "",TOTALCO!P195)</f>
        <v>0</v>
      </c>
      <c r="Q1076" s="12"/>
    </row>
    <row r="1077" spans="1:17" ht="15" x14ac:dyDescent="0.2">
      <c r="A1077" s="382">
        <f>IF(TOTALCO!A196="", "",TOTALCO!A196)</f>
        <v>30</v>
      </c>
      <c r="B1077" s="4" t="str">
        <f>IF(TOTALCO!B196="", "",TOTALCO!B196)</f>
        <v>DISTR OPER EXP 582-589</v>
      </c>
      <c r="C1077" s="4" t="str">
        <f>IF(TOTALCO!C196="", "",TOTALCO!C196)</f>
        <v>EXP5829DIS</v>
      </c>
      <c r="D1077" s="12">
        <f ca="1">IF(TOTALCO!D196="", "",TOTALCO!D196)</f>
        <v>18068319.760000002</v>
      </c>
      <c r="E1077" s="12" t="str">
        <f>IF(TOTALCO!E196="", "",TOTALCO!E196)</f>
        <v/>
      </c>
      <c r="F1077" s="12">
        <f ca="1">IF(TOTALCO!F196="", "",TOTALCO!F196)</f>
        <v>16955464.371824909</v>
      </c>
      <c r="G1077" s="12" t="str">
        <f>IF(TOTALCO!G196="", "",TOTALCO!G196)</f>
        <v/>
      </c>
      <c r="H1077" s="12">
        <f ca="1">IF(TOTALCO!H196="", "",TOTALCO!H196)</f>
        <v>1028083.351331161</v>
      </c>
      <c r="I1077" s="12">
        <f ca="1">IF(TOTALCO!I196="", "",TOTALCO!I196)</f>
        <v>84772.036843931797</v>
      </c>
      <c r="J1077" s="12" t="str">
        <f>IF(TOTALCO!J196="", "",TOTALCO!J196)</f>
        <v/>
      </c>
      <c r="K1077" s="12" t="str">
        <f>IF(TOTALCO!K196="", "",TOTALCO!K196)</f>
        <v/>
      </c>
      <c r="L1077" s="12">
        <f ca="1">IF(TOTALCO!L196="", "",TOTALCO!L196)</f>
        <v>1772.0338904307212</v>
      </c>
      <c r="M1077" s="12" t="str">
        <f>IF(TOTALCO!M196="", "",TOTALCO!M196)</f>
        <v/>
      </c>
      <c r="N1077" s="12">
        <f ca="1">IF(TOTALCO!N196="", "",TOTALCO!N196)</f>
        <v>83000.002953501069</v>
      </c>
      <c r="O1077" s="12">
        <f ca="1">IF(TOTALCO!O196="", "",TOTALCO!O196)</f>
        <v>53717.879509856204</v>
      </c>
      <c r="P1077" s="12">
        <f ca="1">IF(TOTALCO!P196="", "",TOTALCO!P196)</f>
        <v>29282.123443644872</v>
      </c>
      <c r="Q1077" s="12"/>
    </row>
    <row r="1078" spans="1:17" ht="15" x14ac:dyDescent="0.2">
      <c r="A1078" s="382">
        <f>IF(TOTALCO!A197="", "",TOTALCO!A197)</f>
        <v>31</v>
      </c>
      <c r="B1078" s="4" t="str">
        <f>IF(TOTALCO!B197="", "",TOTALCO!B197)</f>
        <v>DISTR MAINT EXP 591-598</v>
      </c>
      <c r="C1078" s="4" t="str">
        <f>IF(TOTALCO!C197="", "",TOTALCO!C197)</f>
        <v>EXP5918DIS</v>
      </c>
      <c r="D1078" s="12">
        <f ca="1">IF(TOTALCO!D197="", "",TOTALCO!D197)</f>
        <v>33827107.82</v>
      </c>
      <c r="E1078" s="12" t="str">
        <f>IF(TOTALCO!E197="", "",TOTALCO!E197)</f>
        <v/>
      </c>
      <c r="F1078" s="12">
        <f ca="1">IF(TOTALCO!F197="", "",TOTALCO!F197)</f>
        <v>31296859.730097093</v>
      </c>
      <c r="G1078" s="12" t="str">
        <f>IF(TOTALCO!G197="", "",TOTALCO!G197)</f>
        <v/>
      </c>
      <c r="H1078" s="12">
        <f ca="1">IF(TOTALCO!H197="", "",TOTALCO!H197)</f>
        <v>2509484.3444370027</v>
      </c>
      <c r="I1078" s="12">
        <f ca="1">IF(TOTALCO!I197="", "",TOTALCO!I197)</f>
        <v>20763.745465904463</v>
      </c>
      <c r="J1078" s="12" t="str">
        <f>IF(TOTALCO!J197="", "",TOTALCO!J197)</f>
        <v/>
      </c>
      <c r="K1078" s="12" t="str">
        <f>IF(TOTALCO!K197="", "",TOTALCO!K197)</f>
        <v/>
      </c>
      <c r="L1078" s="12">
        <f ca="1">IF(TOTALCO!L197="", "",TOTALCO!L197)</f>
        <v>4537.4376116084486</v>
      </c>
      <c r="M1078" s="12" t="str">
        <f>IF(TOTALCO!M197="", "",TOTALCO!M197)</f>
        <v/>
      </c>
      <c r="N1078" s="12">
        <f ca="1">IF(TOTALCO!N197="", "",TOTALCO!N197)</f>
        <v>16226.307854296016</v>
      </c>
      <c r="O1078" s="12">
        <f ca="1">IF(TOTALCO!O197="", "",TOTALCO!O197)</f>
        <v>15922.876358750889</v>
      </c>
      <c r="P1078" s="12">
        <f ca="1">IF(TOTALCO!P197="", "",TOTALCO!P197)</f>
        <v>303.43149554512587</v>
      </c>
      <c r="Q1078" s="12"/>
    </row>
    <row r="1079" spans="1:17" ht="15" x14ac:dyDescent="0.2">
      <c r="A1079" s="382">
        <f>IF(TOTALCO!A198="", "",TOTALCO!A198)</f>
        <v>32</v>
      </c>
      <c r="B1079" s="4" t="str">
        <f>IF(TOTALCO!B198="", "",TOTALCO!B198)</f>
        <v>TOT DISTR OPERATIONS LABOR</v>
      </c>
      <c r="C1079" s="4" t="str">
        <f>IF(TOTALCO!C198="", "",TOTALCO!C198)</f>
        <v>LABDISOP</v>
      </c>
      <c r="D1079" s="12">
        <f ca="1">IF(TOTALCO!D198="", "",TOTALCO!D198)</f>
        <v>19510181.420000006</v>
      </c>
      <c r="E1079" s="12" t="str">
        <f>IF(TOTALCO!E198="", "",TOTALCO!E198)</f>
        <v/>
      </c>
      <c r="F1079" s="12">
        <f ca="1">IF(TOTALCO!F198="", "",TOTALCO!F198)</f>
        <v>18356089.505954929</v>
      </c>
      <c r="G1079" s="12" t="str">
        <f>IF(TOTALCO!G198="", "",TOTALCO!G198)</f>
        <v/>
      </c>
      <c r="H1079" s="12">
        <f ca="1">IF(TOTALCO!H198="", "",TOTALCO!H198)</f>
        <v>1093074.5265645182</v>
      </c>
      <c r="I1079" s="12">
        <f ca="1">IF(TOTALCO!I198="", "",TOTALCO!I198)</f>
        <v>61017.38748055527</v>
      </c>
      <c r="J1079" s="12" t="str">
        <f>IF(TOTALCO!J198="", "",TOTALCO!J198)</f>
        <v/>
      </c>
      <c r="K1079" s="12" t="str">
        <f>IF(TOTALCO!K198="", "",TOTALCO!K198)</f>
        <v/>
      </c>
      <c r="L1079" s="12">
        <f ca="1">IF(TOTALCO!L198="", "",TOTALCO!L198)</f>
        <v>2205.0293226759177</v>
      </c>
      <c r="M1079" s="12" t="str">
        <f>IF(TOTALCO!M198="", "",TOTALCO!M198)</f>
        <v/>
      </c>
      <c r="N1079" s="12">
        <f ca="1">IF(TOTALCO!N198="", "",TOTALCO!N198)</f>
        <v>58812.358157879353</v>
      </c>
      <c r="O1079" s="12">
        <f ca="1">IF(TOTALCO!O198="", "",TOTALCO!O198)</f>
        <v>50539.881956826372</v>
      </c>
      <c r="P1079" s="12">
        <f ca="1">IF(TOTALCO!P198="", "",TOTALCO!P198)</f>
        <v>8272.4762010529794</v>
      </c>
      <c r="Q1079" s="12"/>
    </row>
    <row r="1080" spans="1:17" ht="15" x14ac:dyDescent="0.2">
      <c r="A1080" s="382">
        <f>IF(TOTALCO!A199="", "",TOTALCO!A199)</f>
        <v>33</v>
      </c>
      <c r="B1080" s="4" t="str">
        <f>IF(TOTALCO!B199="", "",TOTALCO!B199)</f>
        <v>TOT DISTR MAINTENANCE LABOR</v>
      </c>
      <c r="C1080" s="4" t="str">
        <f>IF(TOTALCO!C199="", "",TOTALCO!C199)</f>
        <v>LABDISMN</v>
      </c>
      <c r="D1080" s="12">
        <f>IF(TOTALCO!D199="", "",TOTALCO!D199)</f>
        <v>0</v>
      </c>
      <c r="E1080" s="12" t="str">
        <f>IF(TOTALCO!E199="", "",TOTALCO!E199)</f>
        <v/>
      </c>
      <c r="F1080" s="12">
        <f>IF(TOTALCO!F199="", "",TOTALCO!F199)</f>
        <v>0</v>
      </c>
      <c r="G1080" s="12" t="str">
        <f>IF(TOTALCO!G199="", "",TOTALCO!G199)</f>
        <v/>
      </c>
      <c r="H1080" s="12">
        <f>IF(TOTALCO!H199="", "",TOTALCO!H199)</f>
        <v>0</v>
      </c>
      <c r="I1080" s="12">
        <f>IF(TOTALCO!I199="", "",TOTALCO!I199)</f>
        <v>0</v>
      </c>
      <c r="J1080" s="12" t="str">
        <f>IF(TOTALCO!J199="", "",TOTALCO!J199)</f>
        <v/>
      </c>
      <c r="K1080" s="12" t="str">
        <f>IF(TOTALCO!K199="", "",TOTALCO!K199)</f>
        <v/>
      </c>
      <c r="L1080" s="12">
        <f>IF(TOTALCO!L199="", "",TOTALCO!L199)</f>
        <v>0</v>
      </c>
      <c r="M1080" s="12" t="str">
        <f>IF(TOTALCO!M199="", "",TOTALCO!M199)</f>
        <v/>
      </c>
      <c r="N1080" s="12">
        <f>IF(TOTALCO!N199="", "",TOTALCO!N199)</f>
        <v>0</v>
      </c>
      <c r="O1080" s="12">
        <f>IF(TOTALCO!O199="", "",TOTALCO!O199)</f>
        <v>0</v>
      </c>
      <c r="P1080" s="12">
        <f>IF(TOTALCO!P199="", "",TOTALCO!P199)</f>
        <v>0</v>
      </c>
      <c r="Q1080" s="12"/>
    </row>
    <row r="1081" spans="1:17" ht="15" x14ac:dyDescent="0.2">
      <c r="A1081" s="382">
        <f>IF(TOTALCO!A200="", "",TOTALCO!A200)</f>
        <v>34</v>
      </c>
      <c r="B1081" s="4" t="str">
        <f>IF(TOTALCO!B200="", "",TOTALCO!B200)</f>
        <v>CUST ACCT EXP 902, 903 &amp; 905</v>
      </c>
      <c r="C1081" s="4" t="str">
        <f>IF(TOTALCO!C200="", "",TOTALCO!C200)</f>
        <v>EXP9025CA</v>
      </c>
      <c r="D1081" s="12">
        <f ca="1">IF(TOTALCO!D200="", "",TOTALCO!D200)</f>
        <v>19989907.949999999</v>
      </c>
      <c r="E1081" s="12" t="str">
        <f>IF(TOTALCO!E200="", "",TOTALCO!E200)</f>
        <v/>
      </c>
      <c r="F1081" s="12">
        <f ca="1">IF(TOTALCO!F200="", "",TOTALCO!F200)</f>
        <v>18912612.966814157</v>
      </c>
      <c r="G1081" s="12" t="str">
        <f>IF(TOTALCO!G200="", "",TOTALCO!G200)</f>
        <v/>
      </c>
      <c r="H1081" s="12">
        <f ca="1">IF(TOTALCO!H200="", "",TOTALCO!H200)</f>
        <v>1052421.3682906679</v>
      </c>
      <c r="I1081" s="12">
        <f ca="1">IF(TOTALCO!I200="", "",TOTALCO!I200)</f>
        <v>24873.614895177034</v>
      </c>
      <c r="J1081" s="12" t="str">
        <f>IF(TOTALCO!J200="", "",TOTALCO!J200)</f>
        <v/>
      </c>
      <c r="K1081" s="12" t="str">
        <f>IF(TOTALCO!K200="", "",TOTALCO!K200)</f>
        <v/>
      </c>
      <c r="L1081" s="12">
        <f ca="1">IF(TOTALCO!L200="", "",TOTALCO!L200)</f>
        <v>187.22075727552607</v>
      </c>
      <c r="M1081" s="12" t="str">
        <f>IF(TOTALCO!M200="", "",TOTALCO!M200)</f>
        <v/>
      </c>
      <c r="N1081" s="12">
        <f ca="1">IF(TOTALCO!N200="", "",TOTALCO!N200)</f>
        <v>24686.394137901509</v>
      </c>
      <c r="O1081" s="12">
        <f ca="1">IF(TOTALCO!O200="", "",TOTALCO!O200)</f>
        <v>13212.436299158555</v>
      </c>
      <c r="P1081" s="12">
        <f ca="1">IF(TOTALCO!P200="", "",TOTALCO!P200)</f>
        <v>11473.957838742954</v>
      </c>
      <c r="Q1081" s="12"/>
    </row>
    <row r="1082" spans="1:17" ht="15" x14ac:dyDescent="0.2">
      <c r="A1082" s="382">
        <f>IF(TOTALCO!A201="", "",TOTALCO!A201)</f>
        <v>35</v>
      </c>
      <c r="B1082" s="4" t="str">
        <f>IF(TOTALCO!B201="", "",TOTALCO!B201)</f>
        <v>TOTAL CUST ACCOUNTS LABOR</v>
      </c>
      <c r="C1082" s="4" t="str">
        <f>IF(TOTALCO!C201="", "",TOTALCO!C201)</f>
        <v>LABCA</v>
      </c>
      <c r="D1082" s="12">
        <f ca="1">IF(TOTALCO!D201="", "",TOTALCO!D201)</f>
        <v>2455747.42</v>
      </c>
      <c r="E1082" s="12" t="str">
        <f>IF(TOTALCO!E201="", "",TOTALCO!E201)</f>
        <v/>
      </c>
      <c r="F1082" s="12">
        <f ca="1">IF(TOTALCO!F201="", "",TOTALCO!F201)</f>
        <v>2323402.4196050591</v>
      </c>
      <c r="G1082" s="12" t="str">
        <f>IF(TOTALCO!G201="", "",TOTALCO!G201)</f>
        <v/>
      </c>
      <c r="H1082" s="12">
        <f ca="1">IF(TOTALCO!H201="", "",TOTALCO!H201)</f>
        <v>129289.29269695199</v>
      </c>
      <c r="I1082" s="12">
        <f ca="1">IF(TOTALCO!I201="", "",TOTALCO!I201)</f>
        <v>3055.7076979889034</v>
      </c>
      <c r="J1082" s="12" t="str">
        <f>IF(TOTALCO!J201="", "",TOTALCO!J201)</f>
        <v/>
      </c>
      <c r="K1082" s="12" t="str">
        <f>IF(TOTALCO!K201="", "",TOTALCO!K201)</f>
        <v/>
      </c>
      <c r="L1082" s="12">
        <f ca="1">IF(TOTALCO!L201="", "",TOTALCO!L201)</f>
        <v>22.999950414970236</v>
      </c>
      <c r="M1082" s="12" t="str">
        <f>IF(TOTALCO!M201="", "",TOTALCO!M201)</f>
        <v/>
      </c>
      <c r="N1082" s="12">
        <f ca="1">IF(TOTALCO!N201="", "",TOTALCO!N201)</f>
        <v>3032.7077475739334</v>
      </c>
      <c r="O1082" s="12">
        <f ca="1">IF(TOTALCO!O201="", "",TOTALCO!O201)</f>
        <v>1623.1393578564714</v>
      </c>
      <c r="P1082" s="12">
        <f ca="1">IF(TOTALCO!P201="", "",TOTALCO!P201)</f>
        <v>1409.5683897174617</v>
      </c>
      <c r="Q1082" s="12"/>
    </row>
    <row r="1083" spans="1:17" ht="15" x14ac:dyDescent="0.2">
      <c r="A1083" s="382">
        <f>IF(TOTALCO!A202="", "",TOTALCO!A202)</f>
        <v>36</v>
      </c>
      <c r="B1083" s="4" t="str">
        <f>IF(TOTALCO!B202="", "",TOTALCO!B202)</f>
        <v>CUST SERVICES &amp; SALES EXP</v>
      </c>
      <c r="C1083" s="4" t="str">
        <f>IF(TOTALCO!C202="", "",TOTALCO!C202)</f>
        <v>EXP9080CS</v>
      </c>
      <c r="D1083" s="12">
        <f ca="1">IF(TOTALCO!D202="", "",TOTALCO!D202)</f>
        <v>14263008.130000001</v>
      </c>
      <c r="E1083" s="12" t="str">
        <f>IF(TOTALCO!E202="", "",TOTALCO!E202)</f>
        <v/>
      </c>
      <c r="F1083" s="12">
        <f ca="1">IF(TOTALCO!F202="", "",TOTALCO!F202)</f>
        <v>14252968.890397022</v>
      </c>
      <c r="G1083" s="12" t="str">
        <f>IF(TOTALCO!G202="", "",TOTALCO!G202)</f>
        <v/>
      </c>
      <c r="H1083" s="12">
        <f ca="1">IF(TOTALCO!H202="", "",TOTALCO!H202)</f>
        <v>10037.862619868854</v>
      </c>
      <c r="I1083" s="12">
        <f ca="1">IF(TOTALCO!I202="", "",TOTALCO!I202)</f>
        <v>1.3769831091421316</v>
      </c>
      <c r="J1083" s="12" t="str">
        <f>IF(TOTALCO!J202="", "",TOTALCO!J202)</f>
        <v/>
      </c>
      <c r="K1083" s="12" t="str">
        <f>IF(TOTALCO!K202="", "",TOTALCO!K202)</f>
        <v/>
      </c>
      <c r="L1083" s="12">
        <f ca="1">IF(TOTALCO!L202="", "",TOTALCO!L202)</f>
        <v>1.3769831091421316</v>
      </c>
      <c r="M1083" s="12" t="str">
        <f>IF(TOTALCO!M202="", "",TOTALCO!M202)</f>
        <v/>
      </c>
      <c r="N1083" s="12">
        <f ca="1">IF(TOTALCO!N202="", "",TOTALCO!N202)</f>
        <v>0</v>
      </c>
      <c r="O1083" s="12">
        <f ca="1">IF(TOTALCO!O202="", "",TOTALCO!O202)</f>
        <v>0</v>
      </c>
      <c r="P1083" s="12">
        <f ca="1">IF(TOTALCO!P202="", "",TOTALCO!P202)</f>
        <v>0</v>
      </c>
      <c r="Q1083" s="12"/>
    </row>
    <row r="1084" spans="1:17" ht="15" x14ac:dyDescent="0.2">
      <c r="A1084" s="382">
        <f>IF(TOTALCO!A203="", "",TOTALCO!A203)</f>
        <v>37</v>
      </c>
      <c r="B1084" s="4" t="str">
        <f>IF(TOTALCO!B203="", "",TOTALCO!B203)</f>
        <v>TOTAL CUST SERVICES LABOR</v>
      </c>
      <c r="C1084" s="4" t="str">
        <f>IF(TOTALCO!C203="", "",TOTALCO!C203)</f>
        <v>LABCS</v>
      </c>
      <c r="D1084" s="12">
        <f ca="1">IF(TOTALCO!D203="", "",TOTALCO!D203)</f>
        <v>2455747.42</v>
      </c>
      <c r="E1084" s="12" t="str">
        <f>IF(TOTALCO!E203="", "",TOTALCO!E203)</f>
        <v/>
      </c>
      <c r="F1084" s="12">
        <f ca="1">IF(TOTALCO!F203="", "",TOTALCO!F203)</f>
        <v>2323402.4196050591</v>
      </c>
      <c r="G1084" s="12" t="str">
        <f>IF(TOTALCO!G203="", "",TOTALCO!G203)</f>
        <v/>
      </c>
      <c r="H1084" s="12">
        <f ca="1">IF(TOTALCO!H203="", "",TOTALCO!H203)</f>
        <v>129289.29269695199</v>
      </c>
      <c r="I1084" s="12">
        <f ca="1">IF(TOTALCO!I203="", "",TOTALCO!I203)</f>
        <v>3055.7076979889034</v>
      </c>
      <c r="J1084" s="12" t="str">
        <f>IF(TOTALCO!J203="", "",TOTALCO!J203)</f>
        <v/>
      </c>
      <c r="K1084" s="12" t="str">
        <f>IF(TOTALCO!K203="", "",TOTALCO!K203)</f>
        <v/>
      </c>
      <c r="L1084" s="12">
        <f ca="1">IF(TOTALCO!L203="", "",TOTALCO!L203)</f>
        <v>22.999950414970236</v>
      </c>
      <c r="M1084" s="12" t="str">
        <f>IF(TOTALCO!M203="", "",TOTALCO!M203)</f>
        <v/>
      </c>
      <c r="N1084" s="12">
        <f ca="1">IF(TOTALCO!N203="", "",TOTALCO!N203)</f>
        <v>3032.7077475739334</v>
      </c>
      <c r="O1084" s="12">
        <f ca="1">IF(TOTALCO!O203="", "",TOTALCO!O203)</f>
        <v>1623.1393578564714</v>
      </c>
      <c r="P1084" s="12">
        <f ca="1">IF(TOTALCO!P203="", "",TOTALCO!P203)</f>
        <v>1409.5683897174617</v>
      </c>
      <c r="Q1084" s="12"/>
    </row>
    <row r="1085" spans="1:17" ht="15" x14ac:dyDescent="0.2">
      <c r="A1085" s="382">
        <f>IF(TOTALCO!A204="", "",TOTALCO!A204)</f>
        <v>38</v>
      </c>
      <c r="B1085" s="4" t="str">
        <f>IF(TOTALCO!B204="", "",TOTALCO!B204)</f>
        <v>SALES EXPENSE 912-916</v>
      </c>
      <c r="C1085" s="4" t="str">
        <f>IF(TOTALCO!C204="", "",TOTALCO!C204)</f>
        <v>EXP9126SA</v>
      </c>
      <c r="D1085" s="12">
        <f ca="1">IF(TOTALCO!D204="", "",TOTALCO!D204)</f>
        <v>23966.440000000002</v>
      </c>
      <c r="E1085" s="12" t="str">
        <f>IF(TOTALCO!E204="", "",TOTALCO!E204)</f>
        <v/>
      </c>
      <c r="F1085" s="12">
        <f ca="1">IF(TOTALCO!F204="", "",TOTALCO!F204)</f>
        <v>22671.514794681963</v>
      </c>
      <c r="G1085" s="12" t="str">
        <f>IF(TOTALCO!G204="", "",TOTALCO!G204)</f>
        <v/>
      </c>
      <c r="H1085" s="12">
        <f ca="1">IF(TOTALCO!H204="", "",TOTALCO!H204)</f>
        <v>1294.7475932472189</v>
      </c>
      <c r="I1085" s="12">
        <f ca="1">IF(TOTALCO!I204="", "",TOTALCO!I204)</f>
        <v>0.17761207081823369</v>
      </c>
      <c r="J1085" s="12" t="str">
        <f>IF(TOTALCO!J204="", "",TOTALCO!J204)</f>
        <v/>
      </c>
      <c r="K1085" s="12" t="str">
        <f>IF(TOTALCO!K204="", "",TOTALCO!K204)</f>
        <v/>
      </c>
      <c r="L1085" s="12">
        <f ca="1">IF(TOTALCO!L204="", "",TOTALCO!L204)</f>
        <v>0.17761207081823369</v>
      </c>
      <c r="M1085" s="12" t="str">
        <f>IF(TOTALCO!M204="", "",TOTALCO!M204)</f>
        <v/>
      </c>
      <c r="N1085" s="12">
        <f ca="1">IF(TOTALCO!N204="", "",TOTALCO!N204)</f>
        <v>0</v>
      </c>
      <c r="O1085" s="12">
        <f ca="1">IF(TOTALCO!O204="", "",TOTALCO!O204)</f>
        <v>0</v>
      </c>
      <c r="P1085" s="12">
        <f ca="1">IF(TOTALCO!P204="", "",TOTALCO!P204)</f>
        <v>0</v>
      </c>
      <c r="Q1085" s="12"/>
    </row>
    <row r="1086" spans="1:17" ht="15" x14ac:dyDescent="0.2">
      <c r="A1086" s="382">
        <f>IF(TOTALCO!A205="", "",TOTALCO!A205)</f>
        <v>39</v>
      </c>
      <c r="B1086" s="4" t="str">
        <f>IF(TOTALCO!B205="", "",TOTALCO!B205)</f>
        <v>TOTAL SALES EXP LABOR</v>
      </c>
      <c r="C1086" s="4" t="str">
        <f>IF(TOTALCO!C205="", "",TOTALCO!C205)</f>
        <v>LABSA</v>
      </c>
      <c r="D1086" s="12">
        <f ca="1">IF(TOTALCO!D205="", "",TOTALCO!D205)</f>
        <v>1457202.11</v>
      </c>
      <c r="E1086" s="12" t="str">
        <f>IF(TOTALCO!E205="", "",TOTALCO!E205)</f>
        <v/>
      </c>
      <c r="F1086" s="12">
        <f ca="1">IF(TOTALCO!F205="", "",TOTALCO!F205)</f>
        <v>1456176.4356822884</v>
      </c>
      <c r="G1086" s="12" t="str">
        <f>IF(TOTALCO!G205="", "",TOTALCO!G205)</f>
        <v/>
      </c>
      <c r="H1086" s="12">
        <f ca="1">IF(TOTALCO!H205="", "",TOTALCO!H205)</f>
        <v>1025.5336361196496</v>
      </c>
      <c r="I1086" s="12">
        <f ca="1">IF(TOTALCO!I205="", "",TOTALCO!I205)</f>
        <v>0.14068159211490786</v>
      </c>
      <c r="J1086" s="12" t="str">
        <f>IF(TOTALCO!J205="", "",TOTALCO!J205)</f>
        <v/>
      </c>
      <c r="K1086" s="12" t="str">
        <f>IF(TOTALCO!K205="", "",TOTALCO!K205)</f>
        <v/>
      </c>
      <c r="L1086" s="12">
        <f ca="1">IF(TOTALCO!L205="", "",TOTALCO!L205)</f>
        <v>0.14068159211490786</v>
      </c>
      <c r="M1086" s="12" t="str">
        <f>IF(TOTALCO!M205="", "",TOTALCO!M205)</f>
        <v/>
      </c>
      <c r="N1086" s="12">
        <f ca="1">IF(TOTALCO!N205="", "",TOTALCO!N205)</f>
        <v>0</v>
      </c>
      <c r="O1086" s="12">
        <f ca="1">IF(TOTALCO!O205="", "",TOTALCO!O205)</f>
        <v>0</v>
      </c>
      <c r="P1086" s="12">
        <f ca="1">IF(TOTALCO!P205="", "",TOTALCO!P205)</f>
        <v>0</v>
      </c>
      <c r="Q1086" s="12"/>
    </row>
    <row r="1087" spans="1:17" ht="15" x14ac:dyDescent="0.2">
      <c r="A1087" s="382">
        <f>IF(TOTALCO!A206="", "",TOTALCO!A206)</f>
        <v>40</v>
      </c>
      <c r="B1087" s="4" t="str">
        <f>IF(TOTALCO!B206="", "",TOTALCO!B206)</f>
        <v>TOT ADMINISTRATIVE &amp; GEN EXP</v>
      </c>
      <c r="C1087" s="4" t="str">
        <f>IF(TOTALCO!C206="", "",TOTALCO!C206)</f>
        <v>A_GEXP</v>
      </c>
      <c r="D1087" s="12">
        <f ca="1">IF(TOTALCO!D206="", "",TOTALCO!D206)</f>
        <v>103626522.50999999</v>
      </c>
      <c r="E1087" s="12" t="str">
        <f>IF(TOTALCO!E206="", "",TOTALCO!E206)</f>
        <v/>
      </c>
      <c r="F1087" s="12">
        <f ca="1">IF(TOTALCO!F206="", "",TOTALCO!F206)</f>
        <v>93031575.562712044</v>
      </c>
      <c r="G1087" s="12" t="str">
        <f>IF(TOTALCO!G206="", "",TOTALCO!G206)</f>
        <v/>
      </c>
      <c r="H1087" s="12">
        <f ca="1">IF(TOTALCO!H206="", "",TOTALCO!H206)</f>
        <v>5878223.4390048729</v>
      </c>
      <c r="I1087" s="12">
        <f ca="1">IF(TOTALCO!I206="", "",TOTALCO!I206)</f>
        <v>4716723.5082830722</v>
      </c>
      <c r="J1087" s="12" t="str">
        <f>IF(TOTALCO!J206="", "",TOTALCO!J206)</f>
        <v/>
      </c>
      <c r="K1087" s="12" t="str">
        <f>IF(TOTALCO!K206="", "",TOTALCO!K206)</f>
        <v/>
      </c>
      <c r="L1087" s="12">
        <f ca="1">IF(TOTALCO!L206="", "",TOTALCO!L206)</f>
        <v>3118.0683717124462</v>
      </c>
      <c r="M1087" s="12" t="str">
        <f>IF(TOTALCO!M206="", "",TOTALCO!M206)</f>
        <v/>
      </c>
      <c r="N1087" s="12">
        <f ca="1">IF(TOTALCO!N206="", "",TOTALCO!N206)</f>
        <v>4713605.4399113599</v>
      </c>
      <c r="O1087" s="12">
        <f ca="1">IF(TOTALCO!O206="", "",TOTALCO!O206)</f>
        <v>1529124.9274605478</v>
      </c>
      <c r="P1087" s="12">
        <f ca="1">IF(TOTALCO!P206="", "",TOTALCO!P206)</f>
        <v>3184480.5124508124</v>
      </c>
      <c r="Q1087" s="12"/>
    </row>
    <row r="1088" spans="1:17" ht="15" x14ac:dyDescent="0.2">
      <c r="A1088" s="382" t="str">
        <f>IF(TOTALCO!A207="", "",TOTALCO!A207)</f>
        <v/>
      </c>
      <c r="B1088" s="4" t="str">
        <f>IF(TOTALCO!B207="", "",TOTALCO!B207)</f>
        <v/>
      </c>
      <c r="C1088" s="4" t="str">
        <f>IF(TOTALCO!C207="", "",TOTALCO!C207)</f>
        <v/>
      </c>
      <c r="D1088" s="12" t="str">
        <f>IF(TOTALCO!D207="", "",TOTALCO!D207)</f>
        <v/>
      </c>
      <c r="E1088" s="12" t="str">
        <f>IF(TOTALCO!E207="", "",TOTALCO!E207)</f>
        <v/>
      </c>
      <c r="F1088" s="12" t="str">
        <f>IF(TOTALCO!F207="", "",TOTALCO!F207)</f>
        <v/>
      </c>
      <c r="G1088" s="12" t="str">
        <f>IF(TOTALCO!G207="", "",TOTALCO!G207)</f>
        <v/>
      </c>
      <c r="H1088" s="12" t="str">
        <f>IF(TOTALCO!H207="", "",TOTALCO!H207)</f>
        <v/>
      </c>
      <c r="I1088" s="12" t="str">
        <f>IF(TOTALCO!I207="", "",TOTALCO!I207)</f>
        <v/>
      </c>
      <c r="J1088" s="12" t="str">
        <f>IF(TOTALCO!J207="", "",TOTALCO!J207)</f>
        <v/>
      </c>
      <c r="K1088" s="12" t="str">
        <f>IF(TOTALCO!K207="", "",TOTALCO!K207)</f>
        <v/>
      </c>
      <c r="L1088" s="12" t="str">
        <f>IF(TOTALCO!L207="", "",TOTALCO!L207)</f>
        <v/>
      </c>
      <c r="M1088" s="12" t="str">
        <f>IF(TOTALCO!M207="", "",TOTALCO!M207)</f>
        <v/>
      </c>
      <c r="N1088" s="12" t="str">
        <f>IF(TOTALCO!N207="", "",TOTALCO!N207)</f>
        <v/>
      </c>
      <c r="O1088" s="12" t="str">
        <f>IF(TOTALCO!O207="", "",TOTALCO!O207)</f>
        <v/>
      </c>
      <c r="P1088" s="12" t="str">
        <f>IF(TOTALCO!P207="", "",TOTALCO!P207)</f>
        <v/>
      </c>
      <c r="Q1088" s="12"/>
    </row>
    <row r="1089" spans="1:17" ht="15" x14ac:dyDescent="0.2">
      <c r="A1089" s="382" t="str">
        <f>IF(TOTALCO!A208="", "",TOTALCO!A208)</f>
        <v/>
      </c>
      <c r="B1089" s="4" t="str">
        <f>IF(TOTALCO!B208="", "",TOTALCO!B208)</f>
        <v>INTERNALLY DEVELOPED-CON'T</v>
      </c>
      <c r="C1089" s="4" t="str">
        <f>IF(TOTALCO!C208="", "",TOTALCO!C208)</f>
        <v/>
      </c>
      <c r="D1089" s="12" t="str">
        <f>IF(TOTALCO!D208="", "",TOTALCO!D208)</f>
        <v/>
      </c>
      <c r="E1089" s="12" t="str">
        <f>IF(TOTALCO!E208="", "",TOTALCO!E208)</f>
        <v/>
      </c>
      <c r="F1089" s="12" t="str">
        <f>IF(TOTALCO!F208="", "",TOTALCO!F208)</f>
        <v/>
      </c>
      <c r="G1089" s="12" t="str">
        <f>IF(TOTALCO!G208="", "",TOTALCO!G208)</f>
        <v/>
      </c>
      <c r="H1089" s="12" t="str">
        <f>IF(TOTALCO!H208="", "",TOTALCO!H208)</f>
        <v/>
      </c>
      <c r="I1089" s="12" t="str">
        <f>IF(TOTALCO!I208="", "",TOTALCO!I208)</f>
        <v/>
      </c>
      <c r="J1089" s="12" t="str">
        <f>IF(TOTALCO!J208="", "",TOTALCO!J208)</f>
        <v/>
      </c>
      <c r="K1089" s="12" t="str">
        <f>IF(TOTALCO!K208="", "",TOTALCO!K208)</f>
        <v/>
      </c>
      <c r="L1089" s="12" t="str">
        <f>IF(TOTALCO!L208="", "",TOTALCO!L208)</f>
        <v/>
      </c>
      <c r="M1089" s="12" t="str">
        <f>IF(TOTALCO!M208="", "",TOTALCO!M208)</f>
        <v/>
      </c>
      <c r="N1089" s="12" t="str">
        <f>IF(TOTALCO!N208="", "",TOTALCO!N208)</f>
        <v/>
      </c>
      <c r="O1089" s="12" t="str">
        <f>IF(TOTALCO!O208="", "",TOTALCO!O208)</f>
        <v/>
      </c>
      <c r="P1089" s="12" t="str">
        <f>IF(TOTALCO!P208="", "",TOTALCO!P208)</f>
        <v/>
      </c>
      <c r="Q1089" s="12"/>
    </row>
    <row r="1090" spans="1:17" ht="15" x14ac:dyDescent="0.2">
      <c r="A1090" s="382" t="str">
        <f>IF(TOTALCO!A209="", "",TOTALCO!A209)</f>
        <v/>
      </c>
      <c r="B1090" s="4" t="str">
        <f>IF(TOTALCO!B209="", "",TOTALCO!B209)</f>
        <v>-</v>
      </c>
      <c r="C1090" s="4" t="str">
        <f>IF(TOTALCO!C209="", "",TOTALCO!C209)</f>
        <v/>
      </c>
      <c r="D1090" s="12" t="str">
        <f>IF(TOTALCO!D209="", "",TOTALCO!D209)</f>
        <v/>
      </c>
      <c r="E1090" s="12" t="str">
        <f>IF(TOTALCO!E209="", "",TOTALCO!E209)</f>
        <v/>
      </c>
      <c r="F1090" s="12" t="str">
        <f>IF(TOTALCO!F209="", "",TOTALCO!F209)</f>
        <v/>
      </c>
      <c r="G1090" s="12" t="str">
        <f>IF(TOTALCO!G209="", "",TOTALCO!G209)</f>
        <v/>
      </c>
      <c r="H1090" s="12" t="str">
        <f>IF(TOTALCO!H209="", "",TOTALCO!H209)</f>
        <v/>
      </c>
      <c r="I1090" s="12" t="str">
        <f>IF(TOTALCO!I209="", "",TOTALCO!I209)</f>
        <v/>
      </c>
      <c r="J1090" s="12" t="str">
        <f>IF(TOTALCO!J209="", "",TOTALCO!J209)</f>
        <v/>
      </c>
      <c r="K1090" s="12" t="str">
        <f>IF(TOTALCO!K209="", "",TOTALCO!K209)</f>
        <v/>
      </c>
      <c r="L1090" s="12" t="str">
        <f>IF(TOTALCO!L209="", "",TOTALCO!L209)</f>
        <v/>
      </c>
      <c r="M1090" s="12" t="str">
        <f>IF(TOTALCO!M209="", "",TOTALCO!M209)</f>
        <v/>
      </c>
      <c r="N1090" s="12" t="str">
        <f>IF(TOTALCO!N209="", "",TOTALCO!N209)</f>
        <v/>
      </c>
      <c r="O1090" s="12" t="str">
        <f>IF(TOTALCO!O209="", "",TOTALCO!O209)</f>
        <v/>
      </c>
      <c r="P1090" s="12" t="str">
        <f>IF(TOTALCO!P209="", "",TOTALCO!P209)</f>
        <v/>
      </c>
      <c r="Q1090" s="12"/>
    </row>
    <row r="1091" spans="1:17" ht="15" x14ac:dyDescent="0.2">
      <c r="A1091" s="382">
        <f>IF(TOTALCO!A210="", "",TOTALCO!A210)</f>
        <v>1</v>
      </c>
      <c r="B1091" s="4" t="str">
        <f>IF(TOTALCO!B210="", "",TOTALCO!B210)</f>
        <v>ACCT 930-EPRI &amp; ADVERTISING</v>
      </c>
      <c r="C1091" s="4" t="str">
        <f>IF(TOTALCO!C210="", "",TOTALCO!C210)</f>
        <v>EXP930A</v>
      </c>
      <c r="D1091" s="12">
        <f ca="1">IF(TOTALCO!D210="", "",TOTALCO!D210)</f>
        <v>1396664.09</v>
      </c>
      <c r="E1091" s="12" t="str">
        <f>IF(TOTALCO!E210="", "",TOTALCO!E210)</f>
        <v/>
      </c>
      <c r="F1091" s="12">
        <f ca="1">IF(TOTALCO!F210="", "",TOTALCO!F210)</f>
        <v>1326517.9832373534</v>
      </c>
      <c r="G1091" s="12" t="str">
        <f>IF(TOTALCO!G210="", "",TOTALCO!G210)</f>
        <v/>
      </c>
      <c r="H1091" s="12">
        <f ca="1">IF(TOTALCO!H210="", "",TOTALCO!H210)</f>
        <v>70138.814736388886</v>
      </c>
      <c r="I1091" s="12">
        <f ca="1">IF(TOTALCO!I210="", "",TOTALCO!I210)</f>
        <v>7.2920262577298507</v>
      </c>
      <c r="J1091" s="12" t="str">
        <f>IF(TOTALCO!J210="", "",TOTALCO!J210)</f>
        <v/>
      </c>
      <c r="K1091" s="12" t="str">
        <f>IF(TOTALCO!K210="", "",TOTALCO!K210)</f>
        <v/>
      </c>
      <c r="L1091" s="12">
        <f ca="1">IF(TOTALCO!L210="", "",TOTALCO!L210)</f>
        <v>7.2920262577298507</v>
      </c>
      <c r="M1091" s="12" t="str">
        <f>IF(TOTALCO!M210="", "",TOTALCO!M210)</f>
        <v/>
      </c>
      <c r="N1091" s="12">
        <f ca="1">IF(TOTALCO!N210="", "",TOTALCO!N210)</f>
        <v>0</v>
      </c>
      <c r="O1091" s="12">
        <f ca="1">IF(TOTALCO!O210="", "",TOTALCO!O210)</f>
        <v>0</v>
      </c>
      <c r="P1091" s="12">
        <f ca="1">IF(TOTALCO!P210="", "",TOTALCO!P210)</f>
        <v>0</v>
      </c>
      <c r="Q1091" s="12"/>
    </row>
    <row r="1092" spans="1:17" ht="15" x14ac:dyDescent="0.2">
      <c r="A1092" s="382">
        <f>IF(TOTALCO!A211="", "",TOTALCO!A211)</f>
        <v>2</v>
      </c>
      <c r="B1092" s="4" t="str">
        <f>IF(TOTALCO!B211="", "",TOTALCO!B211)</f>
        <v>TOTAL CUSTOMER SERVICES EXP</v>
      </c>
      <c r="C1092" s="4" t="str">
        <f>IF(TOTALCO!C211="", "",TOTALCO!C211)</f>
        <v>CUSTSER</v>
      </c>
      <c r="D1092" s="12">
        <f ca="1">IF(TOTALCO!D211="", "",TOTALCO!D211)</f>
        <v>14444732.700000001</v>
      </c>
      <c r="E1092" s="12" t="str">
        <f>IF(TOTALCO!E211="", "",TOTALCO!E211)</f>
        <v/>
      </c>
      <c r="F1092" s="12">
        <f ca="1">IF(TOTALCO!F211="", "",TOTALCO!F211)</f>
        <v>14435843.606793078</v>
      </c>
      <c r="G1092" s="12" t="str">
        <f>IF(TOTALCO!G211="", "",TOTALCO!G211)</f>
        <v/>
      </c>
      <c r="H1092" s="12">
        <f ca="1">IF(TOTALCO!H211="", "",TOTALCO!H211)</f>
        <v>8887.8739780085671</v>
      </c>
      <c r="I1092" s="12">
        <f ca="1">IF(TOTALCO!I211="", "",TOTALCO!I211)</f>
        <v>1.2192289142986477</v>
      </c>
      <c r="J1092" s="12" t="str">
        <f>IF(TOTALCO!J211="", "",TOTALCO!J211)</f>
        <v/>
      </c>
      <c r="K1092" s="12" t="str">
        <f>IF(TOTALCO!K211="", "",TOTALCO!K211)</f>
        <v/>
      </c>
      <c r="L1092" s="12">
        <f ca="1">IF(TOTALCO!L211="", "",TOTALCO!L211)</f>
        <v>1.2192289142986477</v>
      </c>
      <c r="M1092" s="12" t="str">
        <f>IF(TOTALCO!M211="", "",TOTALCO!M211)</f>
        <v/>
      </c>
      <c r="N1092" s="12">
        <f ca="1">IF(TOTALCO!N211="", "",TOTALCO!N211)</f>
        <v>0</v>
      </c>
      <c r="O1092" s="12">
        <f ca="1">IF(TOTALCO!O211="", "",TOTALCO!O211)</f>
        <v>0</v>
      </c>
      <c r="P1092" s="12">
        <f ca="1">IF(TOTALCO!P211="", "",TOTALCO!P211)</f>
        <v>0</v>
      </c>
      <c r="Q1092" s="12"/>
    </row>
    <row r="1093" spans="1:17" ht="15" x14ac:dyDescent="0.2">
      <c r="A1093" s="382">
        <f>IF(TOTALCO!A212="", "",TOTALCO!A212)</f>
        <v>3</v>
      </c>
      <c r="B1093" s="4" t="str">
        <f>IF(TOTALCO!B212="", "",TOTALCO!B212)</f>
        <v>DISTRIBUTION PLANT EXCL VA</v>
      </c>
      <c r="C1093" s="4" t="str">
        <f>IF(TOTALCO!C212="", "",TOTALCO!C212)</f>
        <v>DPLTXVA</v>
      </c>
      <c r="D1093" s="12">
        <f ca="1">IF(TOTALCO!D212="", "",TOTALCO!D212)</f>
        <v>1353432051.0699999</v>
      </c>
      <c r="E1093" s="12" t="str">
        <f>IF(TOTALCO!E212="", "",TOTALCO!E212)</f>
        <v/>
      </c>
      <c r="F1093" s="12">
        <f ca="1">IF(TOTALCO!F212="", "",TOTALCO!F212)</f>
        <v>1348948019.5461249</v>
      </c>
      <c r="G1093" s="12" t="str">
        <f>IF(TOTALCO!G212="", "",TOTALCO!G212)</f>
        <v/>
      </c>
      <c r="H1093" s="12">
        <f ca="1">IF(TOTALCO!H212="", "",TOTALCO!H212)</f>
        <v>0</v>
      </c>
      <c r="I1093" s="12">
        <f ca="1">IF(TOTALCO!I212="", "",TOTALCO!I212)</f>
        <v>4484031.5238750307</v>
      </c>
      <c r="J1093" s="12" t="str">
        <f>IF(TOTALCO!J212="", "",TOTALCO!J212)</f>
        <v/>
      </c>
      <c r="K1093" s="12" t="str">
        <f>IF(TOTALCO!K212="", "",TOTALCO!K212)</f>
        <v/>
      </c>
      <c r="L1093" s="12">
        <f ca="1">IF(TOTALCO!L212="", "",TOTALCO!L212)</f>
        <v>162042.68</v>
      </c>
      <c r="M1093" s="12" t="str">
        <f>IF(TOTALCO!M212="", "",TOTALCO!M212)</f>
        <v/>
      </c>
      <c r="N1093" s="12">
        <f ca="1">IF(TOTALCO!N212="", "",TOTALCO!N212)</f>
        <v>4321988.843875031</v>
      </c>
      <c r="O1093" s="12">
        <f ca="1">IF(TOTALCO!O212="", "",TOTALCO!O212)</f>
        <v>3714063.0443994557</v>
      </c>
      <c r="P1093" s="12">
        <f ca="1">IF(TOTALCO!P212="", "",TOTALCO!P212)</f>
        <v>607925.79947557533</v>
      </c>
      <c r="Q1093" s="12"/>
    </row>
    <row r="1094" spans="1:17" ht="15" x14ac:dyDescent="0.2">
      <c r="A1094" s="382">
        <f>IF(TOTALCO!A213="", "",TOTALCO!A213)</f>
        <v>4</v>
      </c>
      <c r="B1094" s="4" t="str">
        <f>IF(TOTALCO!B213="", "",TOTALCO!B213)</f>
        <v>ACCT 926 DIR ASSIGN COMP.KY RET</v>
      </c>
      <c r="C1094" s="4" t="str">
        <f>IF(TOTALCO!C213="", "",TOTALCO!C213)</f>
        <v>LABPTDKY</v>
      </c>
      <c r="D1094" s="12">
        <f ca="1">IF(TOTALCO!D213="", "",TOTALCO!D213)</f>
        <v>64434373.699271724</v>
      </c>
      <c r="E1094" s="12" t="str">
        <f>IF(TOTALCO!E213="", "",TOTALCO!E213)</f>
        <v/>
      </c>
      <c r="F1094" s="12">
        <f ca="1">IF(TOTALCO!F213="", "",TOTALCO!F213)</f>
        <v>64434373.699271724</v>
      </c>
      <c r="G1094" s="12" t="str">
        <f>IF(TOTALCO!G213="", "",TOTALCO!G213)</f>
        <v/>
      </c>
      <c r="H1094" s="12">
        <f>IF(TOTALCO!H213="", "",TOTALCO!H213)</f>
        <v>0</v>
      </c>
      <c r="I1094" s="12">
        <f>IF(TOTALCO!I213="", "",TOTALCO!I213)</f>
        <v>0</v>
      </c>
      <c r="J1094" s="12" t="str">
        <f>IF(TOTALCO!J213="", "",TOTALCO!J213)</f>
        <v/>
      </c>
      <c r="K1094" s="12" t="str">
        <f>IF(TOTALCO!K213="", "",TOTALCO!K213)</f>
        <v/>
      </c>
      <c r="L1094" s="12">
        <f>IF(TOTALCO!L213="", "",TOTALCO!L213)</f>
        <v>0</v>
      </c>
      <c r="M1094" s="12" t="str">
        <f>IF(TOTALCO!M213="", "",TOTALCO!M213)</f>
        <v/>
      </c>
      <c r="N1094" s="12">
        <f>IF(TOTALCO!N213="", "",TOTALCO!N213)</f>
        <v>0</v>
      </c>
      <c r="O1094" s="12">
        <f>IF(TOTALCO!O213="", "",TOTALCO!O213)</f>
        <v>0</v>
      </c>
      <c r="P1094" s="12">
        <f>IF(TOTALCO!P213="", "",TOTALCO!P213)</f>
        <v>0</v>
      </c>
      <c r="Q1094" s="12"/>
    </row>
    <row r="1095" spans="1:17" ht="15" x14ac:dyDescent="0.2">
      <c r="A1095" s="382">
        <f>IF(TOTALCO!A214="", "",TOTALCO!A214)</f>
        <v>5</v>
      </c>
      <c r="B1095" s="4" t="str">
        <f>IF(TOTALCO!B214="", "",TOTALCO!B214)</f>
        <v>ACCT 926 DIR ASSIGN COMP.VAJ</v>
      </c>
      <c r="C1095" s="4" t="str">
        <f>IF(TOTALCO!C214="", "",TOTALCO!C214)</f>
        <v>LABPTDVAJ</v>
      </c>
      <c r="D1095" s="12">
        <f ca="1">IF(TOTALCO!D214="", "",TOTALCO!D214)</f>
        <v>4125280.2933688816</v>
      </c>
      <c r="E1095" s="12" t="str">
        <f>IF(TOTALCO!E214="", "",TOTALCO!E214)</f>
        <v/>
      </c>
      <c r="F1095" s="12">
        <f>IF(TOTALCO!F214="", "",TOTALCO!F214)</f>
        <v>0</v>
      </c>
      <c r="G1095" s="12" t="str">
        <f>IF(TOTALCO!G214="", "",TOTALCO!G214)</f>
        <v/>
      </c>
      <c r="H1095" s="12">
        <f ca="1">IF(TOTALCO!H214="", "",TOTALCO!H214)</f>
        <v>4125280.2933688816</v>
      </c>
      <c r="I1095" s="12">
        <f>IF(TOTALCO!I214="", "",TOTALCO!I214)</f>
        <v>0</v>
      </c>
      <c r="J1095" s="12" t="str">
        <f>IF(TOTALCO!J214="", "",TOTALCO!J214)</f>
        <v/>
      </c>
      <c r="K1095" s="12" t="str">
        <f>IF(TOTALCO!K214="", "",TOTALCO!K214)</f>
        <v/>
      </c>
      <c r="L1095" s="12">
        <f>IF(TOTALCO!L214="", "",TOTALCO!L214)</f>
        <v>0</v>
      </c>
      <c r="M1095" s="12" t="str">
        <f>IF(TOTALCO!M214="", "",TOTALCO!M214)</f>
        <v/>
      </c>
      <c r="N1095" s="12">
        <f>IF(TOTALCO!N214="", "",TOTALCO!N214)</f>
        <v>0</v>
      </c>
      <c r="O1095" s="12">
        <f>IF(TOTALCO!O214="", "",TOTALCO!O214)</f>
        <v>0</v>
      </c>
      <c r="P1095" s="12">
        <f>IF(TOTALCO!P214="", "",TOTALCO!P214)</f>
        <v>0</v>
      </c>
      <c r="Q1095" s="12"/>
    </row>
    <row r="1096" spans="1:17" ht="15" x14ac:dyDescent="0.2">
      <c r="A1096" s="382">
        <f>IF(TOTALCO!A215="", "",TOTALCO!A215)</f>
        <v>6</v>
      </c>
      <c r="B1096" s="4" t="str">
        <f>IF(TOTALCO!B215="", "",TOTALCO!B215)</f>
        <v>ACCT 926 DIR ASSIGN COMP.VANJ</v>
      </c>
      <c r="C1096" s="4" t="str">
        <f>IF(TOTALCO!C215="", "",TOTALCO!C215)</f>
        <v>LABPTDVNJ</v>
      </c>
      <c r="D1096" s="12">
        <f>IF(TOTALCO!D215="", "",TOTALCO!D215)</f>
        <v>0</v>
      </c>
      <c r="E1096" s="12" t="str">
        <f>IF(TOTALCO!E215="", "",TOTALCO!E215)</f>
        <v/>
      </c>
      <c r="F1096" s="12">
        <f>IF(TOTALCO!F215="", "",TOTALCO!F215)</f>
        <v>0</v>
      </c>
      <c r="G1096" s="12" t="str">
        <f>IF(TOTALCO!G215="", "",TOTALCO!G215)</f>
        <v/>
      </c>
      <c r="H1096" s="12">
        <f>IF(TOTALCO!H215="", "",TOTALCO!H215)</f>
        <v>0</v>
      </c>
      <c r="I1096" s="12">
        <f>IF(TOTALCO!I215="", "",TOTALCO!I215)</f>
        <v>0</v>
      </c>
      <c r="J1096" s="12" t="str">
        <f>IF(TOTALCO!J215="", "",TOTALCO!J215)</f>
        <v/>
      </c>
      <c r="K1096" s="12" t="str">
        <f>IF(TOTALCO!K215="", "",TOTALCO!K215)</f>
        <v/>
      </c>
      <c r="L1096" s="12">
        <f>IF(TOTALCO!L215="", "",TOTALCO!L215)</f>
        <v>0</v>
      </c>
      <c r="M1096" s="12" t="str">
        <f>IF(TOTALCO!M215="", "",TOTALCO!M215)</f>
        <v/>
      </c>
      <c r="N1096" s="12">
        <f>IF(TOTALCO!N215="", "",TOTALCO!N215)</f>
        <v>0</v>
      </c>
      <c r="O1096" s="12">
        <f>IF(TOTALCO!O215="", "",TOTALCO!O215)</f>
        <v>0</v>
      </c>
      <c r="P1096" s="12">
        <f>IF(TOTALCO!P215="", "",TOTALCO!P215)</f>
        <v>0</v>
      </c>
      <c r="Q1096" s="12"/>
    </row>
    <row r="1097" spans="1:17" ht="15" x14ac:dyDescent="0.2">
      <c r="A1097" s="382">
        <f>IF(TOTALCO!A216="", "",TOTALCO!A216)</f>
        <v>7</v>
      </c>
      <c r="B1097" s="4" t="str">
        <f>IF(TOTALCO!B216="", "",TOTALCO!B216)</f>
        <v>ACCT 926 DIR ASSIGN COMP.FERC</v>
      </c>
      <c r="C1097" s="4" t="str">
        <f>IF(TOTALCO!C216="", "",TOTALCO!C216)</f>
        <v>LABPTDFER</v>
      </c>
      <c r="D1097" s="12">
        <f ca="1">IF(TOTALCO!D216="", "",TOTALCO!D216)</f>
        <v>4823306.2092908984</v>
      </c>
      <c r="E1097" s="12" t="str">
        <f>IF(TOTALCO!E216="", "",TOTALCO!E216)</f>
        <v/>
      </c>
      <c r="F1097" s="12">
        <f>IF(TOTALCO!F216="", "",TOTALCO!F216)</f>
        <v>0</v>
      </c>
      <c r="G1097" s="12" t="str">
        <f>IF(TOTALCO!G216="", "",TOTALCO!G216)</f>
        <v/>
      </c>
      <c r="H1097" s="12">
        <f>IF(TOTALCO!H216="", "",TOTALCO!H216)</f>
        <v>0</v>
      </c>
      <c r="I1097" s="12">
        <f ca="1">IF(TOTALCO!I216="", "",TOTALCO!I216)</f>
        <v>4823306.2092908984</v>
      </c>
      <c r="J1097" s="12" t="str">
        <f>IF(TOTALCO!J216="", "",TOTALCO!J216)</f>
        <v/>
      </c>
      <c r="K1097" s="12" t="str">
        <f>IF(TOTALCO!K216="", "",TOTALCO!K216)</f>
        <v/>
      </c>
      <c r="L1097" s="12">
        <f>IF(TOTALCO!L216="", "",TOTALCO!L216)</f>
        <v>0</v>
      </c>
      <c r="M1097" s="12" t="str">
        <f>IF(TOTALCO!M216="", "",TOTALCO!M216)</f>
        <v/>
      </c>
      <c r="N1097" s="12">
        <f ca="1">IF(TOTALCO!N216="", "",TOTALCO!N216)</f>
        <v>4823306.2092908984</v>
      </c>
      <c r="O1097" s="12">
        <f ca="1">IF(TOTALCO!O216="", "",TOTALCO!O216)</f>
        <v>1563830.0073313776</v>
      </c>
      <c r="P1097" s="12">
        <f ca="1">IF(TOTALCO!P216="", "",TOTALCO!P216)</f>
        <v>3259476.2019595206</v>
      </c>
      <c r="Q1097" s="12"/>
    </row>
    <row r="1098" spans="1:17" ht="15" x14ac:dyDescent="0.2">
      <c r="A1098" s="382">
        <f>IF(TOTALCO!A217="", "",TOTALCO!A217)</f>
        <v>8</v>
      </c>
      <c r="B1098" s="4" t="str">
        <f>IF(TOTALCO!B217="", "",TOTALCO!B217)</f>
        <v>203(E) EXCESS DEFERRED TAXES</v>
      </c>
      <c r="C1098" s="4" t="str">
        <f>IF(TOTALCO!C217="", "",TOTALCO!C217)</f>
        <v>TOT203E</v>
      </c>
      <c r="D1098" s="12">
        <f ca="1">IF(TOTALCO!D217="", "",TOTALCO!D217)</f>
        <v>-1256557</v>
      </c>
      <c r="E1098" s="12" t="str">
        <f>IF(TOTALCO!E217="", "",TOTALCO!E217)</f>
        <v/>
      </c>
      <c r="F1098" s="12">
        <f ca="1">IF(TOTALCO!F217="", "",TOTALCO!F217)</f>
        <v>-1104028.4242857145</v>
      </c>
      <c r="G1098" s="12" t="str">
        <f>IF(TOTALCO!G217="", "",TOTALCO!G217)</f>
        <v/>
      </c>
      <c r="H1098" s="12">
        <f ca="1">IF(TOTALCO!H217="", "",TOTALCO!H217)</f>
        <v>-70030.651345793449</v>
      </c>
      <c r="I1098" s="12">
        <f ca="1">IF(TOTALCO!I217="", "",TOTALCO!I217)</f>
        <v>-82497.924368492197</v>
      </c>
      <c r="J1098" s="12" t="str">
        <f>IF(TOTALCO!J217="", "",TOTALCO!J217)</f>
        <v/>
      </c>
      <c r="K1098" s="12" t="str">
        <f>IF(TOTALCO!K217="", "",TOTALCO!K217)</f>
        <v/>
      </c>
      <c r="L1098" s="12">
        <f ca="1">IF(TOTALCO!L217="", "",TOTALCO!L217)</f>
        <v>-38.956291710910499</v>
      </c>
      <c r="M1098" s="12" t="str">
        <f>IF(TOTALCO!M217="", "",TOTALCO!M217)</f>
        <v/>
      </c>
      <c r="N1098" s="12">
        <f ca="1">IF(TOTALCO!N217="", "",TOTALCO!N217)</f>
        <v>-82458.968076781282</v>
      </c>
      <c r="O1098" s="12">
        <f ca="1">IF(TOTALCO!O217="", "",TOTALCO!O217)</f>
        <v>-26198.727363966747</v>
      </c>
      <c r="P1098" s="12">
        <f ca="1">IF(TOTALCO!P217="", "",TOTALCO!P217)</f>
        <v>-56260.240712814535</v>
      </c>
      <c r="Q1098" s="12"/>
    </row>
    <row r="1099" spans="1:17" ht="15" x14ac:dyDescent="0.2">
      <c r="A1099" s="382">
        <f>IF(TOTALCO!A218="", "",TOTALCO!A218)</f>
        <v>9</v>
      </c>
      <c r="B1099" s="4" t="str">
        <f>IF(TOTALCO!B218="", "",TOTALCO!B218)</f>
        <v>RATE BASE-KY</v>
      </c>
      <c r="C1099" s="4" t="str">
        <f>IF(TOTALCO!C218="", "",TOTALCO!C218)</f>
        <v>KYRATEBASE</v>
      </c>
      <c r="D1099" s="12">
        <f ca="1">IF(TOTALCO!D218="", "",TOTALCO!D218)</f>
        <v>3839514212.1583762</v>
      </c>
      <c r="E1099" s="12" t="str">
        <f>IF(TOTALCO!E218="", "",TOTALCO!E218)</f>
        <v/>
      </c>
      <c r="F1099" s="12">
        <f ca="1">IF(TOTALCO!F218="", "",TOTALCO!F218)</f>
        <v>3550375898.9468842</v>
      </c>
      <c r="G1099" s="12" t="str">
        <f>IF(TOTALCO!G218="", "",TOTALCO!G218)</f>
        <v/>
      </c>
      <c r="H1099" s="12">
        <f>IF(TOTALCO!H218="", "",TOTALCO!H218)</f>
        <v>0</v>
      </c>
      <c r="I1099" s="12">
        <f ca="1">IF(TOTALCO!I218="", "",TOTALCO!I218)</f>
        <v>289138313.21149194</v>
      </c>
      <c r="J1099" s="12" t="str">
        <f>IF(TOTALCO!J218="", "",TOTALCO!J218)</f>
        <v/>
      </c>
      <c r="K1099" s="12" t="str">
        <f>IF(TOTALCO!K218="", "",TOTALCO!K218)</f>
        <v/>
      </c>
      <c r="L1099" s="12">
        <f>IF(TOTALCO!L218="", "",TOTALCO!L218)</f>
        <v>0</v>
      </c>
      <c r="M1099" s="12" t="str">
        <f>IF(TOTALCO!M218="", "",TOTALCO!M218)</f>
        <v/>
      </c>
      <c r="N1099" s="12">
        <f ca="1">IF(TOTALCO!N218="", "",TOTALCO!N218)</f>
        <v>289138313.21149194</v>
      </c>
      <c r="O1099" s="12">
        <f ca="1">IF(TOTALCO!O218="", "",TOTALCO!O218)</f>
        <v>91830469.28928861</v>
      </c>
      <c r="P1099" s="12">
        <f ca="1">IF(TOTALCO!P218="", "",TOTALCO!P218)</f>
        <v>197307843.92220336</v>
      </c>
      <c r="Q1099" s="12"/>
    </row>
    <row r="1100" spans="1:17" ht="15" x14ac:dyDescent="0.2">
      <c r="A1100" s="382">
        <f>IF(TOTALCO!A219="", "",TOTALCO!A219)</f>
        <v>10</v>
      </c>
      <c r="B1100" s="4" t="str">
        <f>IF(TOTALCO!B219="", "",TOTALCO!B219)</f>
        <v/>
      </c>
      <c r="C1100" s="4" t="str">
        <f>IF(TOTALCO!C219="", "",TOTALCO!C219)</f>
        <v/>
      </c>
      <c r="D1100" s="12" t="str">
        <f>IF(TOTALCO!D219="", "",TOTALCO!D219)</f>
        <v/>
      </c>
      <c r="E1100" s="12" t="str">
        <f>IF(TOTALCO!E219="", "",TOTALCO!E219)</f>
        <v/>
      </c>
      <c r="F1100" s="12" t="str">
        <f>IF(TOTALCO!F219="", "",TOTALCO!F219)</f>
        <v/>
      </c>
      <c r="G1100" s="12" t="str">
        <f>IF(TOTALCO!G219="", "",TOTALCO!G219)</f>
        <v/>
      </c>
      <c r="H1100" s="12" t="str">
        <f>IF(TOTALCO!H219="", "",TOTALCO!H219)</f>
        <v/>
      </c>
      <c r="I1100" s="12" t="str">
        <f>IF(TOTALCO!I219="", "",TOTALCO!I219)</f>
        <v/>
      </c>
      <c r="J1100" s="12" t="str">
        <f>IF(TOTALCO!J219="", "",TOTALCO!J219)</f>
        <v/>
      </c>
      <c r="K1100" s="12" t="str">
        <f>IF(TOTALCO!K219="", "",TOTALCO!K219)</f>
        <v/>
      </c>
      <c r="L1100" s="12" t="str">
        <f>IF(TOTALCO!L219="", "",TOTALCO!L219)</f>
        <v/>
      </c>
      <c r="M1100" s="12" t="str">
        <f>IF(TOTALCO!M219="", "",TOTALCO!M219)</f>
        <v/>
      </c>
      <c r="N1100" s="12" t="str">
        <f>IF(TOTALCO!N219="", "",TOTALCO!N219)</f>
        <v/>
      </c>
      <c r="O1100" s="12" t="str">
        <f>IF(TOTALCO!O219="", "",TOTALCO!O219)</f>
        <v/>
      </c>
      <c r="P1100" s="12" t="str">
        <f>IF(TOTALCO!P219="", "",TOTALCO!P219)</f>
        <v/>
      </c>
      <c r="Q1100" s="12"/>
    </row>
    <row r="1101" spans="1:17" ht="15" x14ac:dyDescent="0.2">
      <c r="A1101" s="382">
        <f>IF(TOTALCO!A220="", "",TOTALCO!A220)</f>
        <v>11</v>
      </c>
      <c r="B1101" s="4" t="str">
        <f>IF(TOTALCO!B220="", "",TOTALCO!B220)</f>
        <v/>
      </c>
      <c r="C1101" s="4" t="str">
        <f>IF(TOTALCO!C220="", "",TOTALCO!C220)</f>
        <v/>
      </c>
      <c r="D1101" s="12" t="str">
        <f>IF(TOTALCO!D220="", "",TOTALCO!D220)</f>
        <v/>
      </c>
      <c r="E1101" s="12" t="str">
        <f>IF(TOTALCO!E220="", "",TOTALCO!E220)</f>
        <v/>
      </c>
      <c r="F1101" s="12" t="str">
        <f>IF(TOTALCO!F220="", "",TOTALCO!F220)</f>
        <v/>
      </c>
      <c r="G1101" s="12" t="str">
        <f>IF(TOTALCO!G220="", "",TOTALCO!G220)</f>
        <v/>
      </c>
      <c r="H1101" s="12" t="str">
        <f>IF(TOTALCO!H220="", "",TOTALCO!H220)</f>
        <v/>
      </c>
      <c r="I1101" s="12" t="str">
        <f>IF(TOTALCO!I220="", "",TOTALCO!I220)</f>
        <v/>
      </c>
      <c r="J1101" s="12" t="str">
        <f>IF(TOTALCO!J220="", "",TOTALCO!J220)</f>
        <v/>
      </c>
      <c r="K1101" s="12" t="str">
        <f>IF(TOTALCO!K220="", "",TOTALCO!K220)</f>
        <v/>
      </c>
      <c r="L1101" s="12" t="str">
        <f>IF(TOTALCO!L220="", "",TOTALCO!L220)</f>
        <v/>
      </c>
      <c r="M1101" s="12" t="str">
        <f>IF(TOTALCO!M220="", "",TOTALCO!M220)</f>
        <v/>
      </c>
      <c r="N1101" s="12" t="str">
        <f>IF(TOTALCO!N220="", "",TOTALCO!N220)</f>
        <v/>
      </c>
      <c r="O1101" s="12" t="str">
        <f>IF(TOTALCO!O220="", "",TOTALCO!O220)</f>
        <v/>
      </c>
      <c r="P1101" s="12" t="str">
        <f>IF(TOTALCO!P220="", "",TOTALCO!P220)</f>
        <v/>
      </c>
      <c r="Q1101" s="12"/>
    </row>
    <row r="1102" spans="1:17" ht="15" x14ac:dyDescent="0.2">
      <c r="A1102" s="382">
        <f>IF(TOTALCO!A221="", "",TOTALCO!A221)</f>
        <v>12</v>
      </c>
      <c r="B1102" s="4" t="str">
        <f>IF(TOTALCO!B221="", "",TOTALCO!B221)</f>
        <v/>
      </c>
      <c r="C1102" s="4" t="str">
        <f>IF(TOTALCO!C221="", "",TOTALCO!C221)</f>
        <v/>
      </c>
      <c r="D1102" s="12" t="str">
        <f>IF(TOTALCO!D221="", "",TOTALCO!D221)</f>
        <v/>
      </c>
      <c r="E1102" s="12" t="str">
        <f>IF(TOTALCO!E221="", "",TOTALCO!E221)</f>
        <v/>
      </c>
      <c r="F1102" s="12" t="str">
        <f>IF(TOTALCO!F221="", "",TOTALCO!F221)</f>
        <v/>
      </c>
      <c r="G1102" s="12" t="str">
        <f>IF(TOTALCO!G221="", "",TOTALCO!G221)</f>
        <v/>
      </c>
      <c r="H1102" s="12" t="str">
        <f>IF(TOTALCO!H221="", "",TOTALCO!H221)</f>
        <v/>
      </c>
      <c r="I1102" s="12" t="str">
        <f>IF(TOTALCO!I221="", "",TOTALCO!I221)</f>
        <v/>
      </c>
      <c r="J1102" s="12" t="str">
        <f>IF(TOTALCO!J221="", "",TOTALCO!J221)</f>
        <v/>
      </c>
      <c r="K1102" s="12" t="str">
        <f>IF(TOTALCO!K221="", "",TOTALCO!K221)</f>
        <v/>
      </c>
      <c r="L1102" s="12" t="str">
        <f>IF(TOTALCO!L221="", "",TOTALCO!L221)</f>
        <v/>
      </c>
      <c r="M1102" s="12" t="str">
        <f>IF(TOTALCO!M221="", "",TOTALCO!M221)</f>
        <v/>
      </c>
      <c r="N1102" s="12" t="str">
        <f>IF(TOTALCO!N221="", "",TOTALCO!N221)</f>
        <v/>
      </c>
      <c r="O1102" s="12" t="str">
        <f>IF(TOTALCO!O221="", "",TOTALCO!O221)</f>
        <v/>
      </c>
      <c r="P1102" s="12" t="str">
        <f>IF(TOTALCO!P221="", "",TOTALCO!P221)</f>
        <v/>
      </c>
      <c r="Q1102" s="12"/>
    </row>
    <row r="1103" spans="1:17" ht="15" x14ac:dyDescent="0.2">
      <c r="A1103" s="382">
        <f>IF(TOTALCO!A222="", "",TOTALCO!A222)</f>
        <v>13</v>
      </c>
      <c r="B1103" s="4" t="str">
        <f>IF(TOTALCO!B222="", "",TOTALCO!B222)</f>
        <v/>
      </c>
      <c r="C1103" s="4" t="str">
        <f>IF(TOTALCO!C222="", "",TOTALCO!C222)</f>
        <v/>
      </c>
      <c r="D1103" s="12" t="str">
        <f>IF(TOTALCO!D222="", "",TOTALCO!D222)</f>
        <v/>
      </c>
      <c r="E1103" s="12" t="str">
        <f>IF(TOTALCO!E222="", "",TOTALCO!E222)</f>
        <v/>
      </c>
      <c r="F1103" s="12" t="str">
        <f>IF(TOTALCO!F222="", "",TOTALCO!F222)</f>
        <v/>
      </c>
      <c r="G1103" s="12" t="str">
        <f>IF(TOTALCO!G222="", "",TOTALCO!G222)</f>
        <v/>
      </c>
      <c r="H1103" s="12" t="str">
        <f>IF(TOTALCO!H222="", "",TOTALCO!H222)</f>
        <v/>
      </c>
      <c r="I1103" s="12" t="str">
        <f>IF(TOTALCO!I222="", "",TOTALCO!I222)</f>
        <v/>
      </c>
      <c r="J1103" s="12" t="str">
        <f>IF(TOTALCO!J222="", "",TOTALCO!J222)</f>
        <v/>
      </c>
      <c r="K1103" s="12" t="str">
        <f>IF(TOTALCO!K222="", "",TOTALCO!K222)</f>
        <v/>
      </c>
      <c r="L1103" s="12" t="str">
        <f>IF(TOTALCO!L222="", "",TOTALCO!L222)</f>
        <v/>
      </c>
      <c r="M1103" s="12" t="str">
        <f>IF(TOTALCO!M222="", "",TOTALCO!M222)</f>
        <v/>
      </c>
      <c r="N1103" s="12" t="str">
        <f>IF(TOTALCO!N222="", "",TOTALCO!N222)</f>
        <v/>
      </c>
      <c r="O1103" s="12" t="str">
        <f>IF(TOTALCO!O222="", "",TOTALCO!O222)</f>
        <v/>
      </c>
      <c r="P1103" s="12" t="str">
        <f>IF(TOTALCO!P222="", "",TOTALCO!P222)</f>
        <v/>
      </c>
      <c r="Q1103" s="12"/>
    </row>
    <row r="1104" spans="1:17" ht="15" x14ac:dyDescent="0.2">
      <c r="A1104" s="382">
        <f>IF(TOTALCO!A223="", "",TOTALCO!A223)</f>
        <v>14</v>
      </c>
      <c r="B1104" s="4" t="str">
        <f>IF(TOTALCO!B223="", "",TOTALCO!B223)</f>
        <v/>
      </c>
      <c r="C1104" s="4" t="str">
        <f>IF(TOTALCO!C223="", "",TOTALCO!C223)</f>
        <v/>
      </c>
      <c r="D1104" s="12" t="str">
        <f>IF(TOTALCO!D223="", "",TOTALCO!D223)</f>
        <v/>
      </c>
      <c r="E1104" s="12" t="str">
        <f>IF(TOTALCO!E223="", "",TOTALCO!E223)</f>
        <v/>
      </c>
      <c r="F1104" s="12" t="str">
        <f>IF(TOTALCO!F223="", "",TOTALCO!F223)</f>
        <v/>
      </c>
      <c r="G1104" s="12" t="str">
        <f>IF(TOTALCO!G223="", "",TOTALCO!G223)</f>
        <v/>
      </c>
      <c r="H1104" s="12" t="str">
        <f>IF(TOTALCO!H223="", "",TOTALCO!H223)</f>
        <v/>
      </c>
      <c r="I1104" s="12" t="str">
        <f>IF(TOTALCO!I223="", "",TOTALCO!I223)</f>
        <v/>
      </c>
      <c r="J1104" s="12" t="str">
        <f>IF(TOTALCO!J223="", "",TOTALCO!J223)</f>
        <v/>
      </c>
      <c r="K1104" s="12" t="str">
        <f>IF(TOTALCO!K223="", "",TOTALCO!K223)</f>
        <v/>
      </c>
      <c r="L1104" s="12" t="str">
        <f>IF(TOTALCO!L223="", "",TOTALCO!L223)</f>
        <v/>
      </c>
      <c r="M1104" s="12" t="str">
        <f>IF(TOTALCO!M223="", "",TOTALCO!M223)</f>
        <v/>
      </c>
      <c r="N1104" s="12" t="str">
        <f>IF(TOTALCO!N223="", "",TOTALCO!N223)</f>
        <v/>
      </c>
      <c r="O1104" s="12" t="str">
        <f>IF(TOTALCO!O223="", "",TOTALCO!O223)</f>
        <v/>
      </c>
      <c r="P1104" s="12" t="str">
        <f>IF(TOTALCO!P223="", "",TOTALCO!P223)</f>
        <v/>
      </c>
      <c r="Q1104" s="12"/>
    </row>
    <row r="1105" spans="1:17" ht="15" x14ac:dyDescent="0.2">
      <c r="A1105" s="382">
        <f>IF(TOTALCO!A224="", "",TOTALCO!A224)</f>
        <v>15</v>
      </c>
      <c r="B1105" s="4" t="str">
        <f>IF(TOTALCO!B224="", "",TOTALCO!B224)</f>
        <v/>
      </c>
      <c r="C1105" s="4" t="str">
        <f>IF(TOTALCO!C224="", "",TOTALCO!C224)</f>
        <v/>
      </c>
      <c r="D1105" s="12" t="str">
        <f>IF(TOTALCO!D224="", "",TOTALCO!D224)</f>
        <v/>
      </c>
      <c r="E1105" s="12" t="str">
        <f>IF(TOTALCO!E224="", "",TOTALCO!E224)</f>
        <v/>
      </c>
      <c r="F1105" s="12" t="str">
        <f>IF(TOTALCO!F224="", "",TOTALCO!F224)</f>
        <v/>
      </c>
      <c r="G1105" s="12" t="str">
        <f>IF(TOTALCO!G224="", "",TOTALCO!G224)</f>
        <v/>
      </c>
      <c r="H1105" s="12" t="str">
        <f>IF(TOTALCO!H224="", "",TOTALCO!H224)</f>
        <v/>
      </c>
      <c r="I1105" s="12" t="str">
        <f>IF(TOTALCO!I224="", "",TOTALCO!I224)</f>
        <v/>
      </c>
      <c r="J1105" s="12" t="str">
        <f>IF(TOTALCO!J224="", "",TOTALCO!J224)</f>
        <v/>
      </c>
      <c r="K1105" s="12" t="str">
        <f>IF(TOTALCO!K224="", "",TOTALCO!K224)</f>
        <v/>
      </c>
      <c r="L1105" s="12" t="str">
        <f>IF(TOTALCO!L224="", "",TOTALCO!L224)</f>
        <v/>
      </c>
      <c r="M1105" s="12" t="str">
        <f>IF(TOTALCO!M224="", "",TOTALCO!M224)</f>
        <v/>
      </c>
      <c r="N1105" s="12" t="str">
        <f>IF(TOTALCO!N224="", "",TOTALCO!N224)</f>
        <v/>
      </c>
      <c r="O1105" s="12" t="str">
        <f>IF(TOTALCO!O224="", "",TOTALCO!O224)</f>
        <v/>
      </c>
      <c r="P1105" s="12" t="str">
        <f>IF(TOTALCO!P224="", "",TOTALCO!P224)</f>
        <v/>
      </c>
      <c r="Q1105" s="12"/>
    </row>
    <row r="1106" spans="1:17" ht="15" x14ac:dyDescent="0.2">
      <c r="A1106" s="382">
        <f>IF(TOTALCO!A225="", "",TOTALCO!A225)</f>
        <v>16</v>
      </c>
      <c r="B1106" s="4" t="str">
        <f>IF(TOTALCO!B225="", "",TOTALCO!B225)</f>
        <v/>
      </c>
      <c r="C1106" s="4" t="str">
        <f>IF(TOTALCO!C225="", "",TOTALCO!C225)</f>
        <v/>
      </c>
      <c r="D1106" s="12" t="str">
        <f>IF(TOTALCO!D225="", "",TOTALCO!D225)</f>
        <v/>
      </c>
      <c r="E1106" s="12" t="str">
        <f>IF(TOTALCO!E225="", "",TOTALCO!E225)</f>
        <v/>
      </c>
      <c r="F1106" s="12" t="str">
        <f>IF(TOTALCO!F225="", "",TOTALCO!F225)</f>
        <v/>
      </c>
      <c r="G1106" s="12" t="str">
        <f>IF(TOTALCO!G225="", "",TOTALCO!G225)</f>
        <v/>
      </c>
      <c r="H1106" s="12" t="str">
        <f>IF(TOTALCO!H225="", "",TOTALCO!H225)</f>
        <v/>
      </c>
      <c r="I1106" s="12" t="str">
        <f>IF(TOTALCO!I225="", "",TOTALCO!I225)</f>
        <v/>
      </c>
      <c r="J1106" s="12" t="str">
        <f>IF(TOTALCO!J225="", "",TOTALCO!J225)</f>
        <v/>
      </c>
      <c r="K1106" s="12" t="str">
        <f>IF(TOTALCO!K225="", "",TOTALCO!K225)</f>
        <v/>
      </c>
      <c r="L1106" s="12" t="str">
        <f>IF(TOTALCO!L225="", "",TOTALCO!L225)</f>
        <v/>
      </c>
      <c r="M1106" s="12" t="str">
        <f>IF(TOTALCO!M225="", "",TOTALCO!M225)</f>
        <v/>
      </c>
      <c r="N1106" s="12" t="str">
        <f>IF(TOTALCO!N225="", "",TOTALCO!N225)</f>
        <v/>
      </c>
      <c r="O1106" s="12" t="str">
        <f>IF(TOTALCO!O225="", "",TOTALCO!O225)</f>
        <v/>
      </c>
      <c r="P1106" s="12" t="str">
        <f>IF(TOTALCO!P225="", "",TOTALCO!P225)</f>
        <v/>
      </c>
      <c r="Q1106" s="12"/>
    </row>
    <row r="1107" spans="1:17" ht="15" x14ac:dyDescent="0.2">
      <c r="A1107" s="382">
        <f>IF(TOTALCO!A226="", "",TOTALCO!A226)</f>
        <v>17</v>
      </c>
      <c r="B1107" s="4" t="str">
        <f>IF(TOTALCO!B226="", "",TOTALCO!B226)</f>
        <v/>
      </c>
      <c r="C1107" s="4" t="str">
        <f>IF(TOTALCO!C226="", "",TOTALCO!C226)</f>
        <v/>
      </c>
      <c r="D1107" s="12" t="str">
        <f>IF(TOTALCO!D226="", "",TOTALCO!D226)</f>
        <v/>
      </c>
      <c r="E1107" s="12" t="str">
        <f>IF(TOTALCO!E226="", "",TOTALCO!E226)</f>
        <v/>
      </c>
      <c r="F1107" s="12" t="str">
        <f>IF(TOTALCO!F226="", "",TOTALCO!F226)</f>
        <v/>
      </c>
      <c r="G1107" s="12" t="str">
        <f>IF(TOTALCO!G226="", "",TOTALCO!G226)</f>
        <v/>
      </c>
      <c r="H1107" s="12" t="str">
        <f>IF(TOTALCO!H226="", "",TOTALCO!H226)</f>
        <v/>
      </c>
      <c r="I1107" s="12" t="str">
        <f>IF(TOTALCO!I226="", "",TOTALCO!I226)</f>
        <v/>
      </c>
      <c r="J1107" s="12" t="str">
        <f>IF(TOTALCO!J226="", "",TOTALCO!J226)</f>
        <v/>
      </c>
      <c r="K1107" s="12" t="str">
        <f>IF(TOTALCO!K226="", "",TOTALCO!K226)</f>
        <v/>
      </c>
      <c r="L1107" s="12" t="str">
        <f>IF(TOTALCO!L226="", "",TOTALCO!L226)</f>
        <v/>
      </c>
      <c r="M1107" s="12" t="str">
        <f>IF(TOTALCO!M226="", "",TOTALCO!M226)</f>
        <v/>
      </c>
      <c r="N1107" s="12" t="str">
        <f>IF(TOTALCO!N226="", "",TOTALCO!N226)</f>
        <v/>
      </c>
      <c r="O1107" s="12" t="str">
        <f>IF(TOTALCO!O226="", "",TOTALCO!O226)</f>
        <v/>
      </c>
      <c r="P1107" s="12" t="str">
        <f>IF(TOTALCO!P226="", "",TOTALCO!P226)</f>
        <v/>
      </c>
      <c r="Q1107" s="12"/>
    </row>
    <row r="1108" spans="1:17" ht="15" x14ac:dyDescent="0.2">
      <c r="A1108" s="382">
        <f>IF(TOTALCO!A227="", "",TOTALCO!A227)</f>
        <v>18</v>
      </c>
      <c r="B1108" s="4" t="str">
        <f>IF(TOTALCO!B227="", "",TOTALCO!B227)</f>
        <v/>
      </c>
      <c r="C1108" s="4" t="str">
        <f>IF(TOTALCO!C227="", "",TOTALCO!C227)</f>
        <v/>
      </c>
      <c r="D1108" s="12" t="str">
        <f>IF(TOTALCO!D227="", "",TOTALCO!D227)</f>
        <v/>
      </c>
      <c r="E1108" s="12" t="str">
        <f>IF(TOTALCO!E227="", "",TOTALCO!E227)</f>
        <v/>
      </c>
      <c r="F1108" s="12" t="str">
        <f>IF(TOTALCO!F227="", "",TOTALCO!F227)</f>
        <v/>
      </c>
      <c r="G1108" s="12" t="str">
        <f>IF(TOTALCO!G227="", "",TOTALCO!G227)</f>
        <v/>
      </c>
      <c r="H1108" s="12" t="str">
        <f>IF(TOTALCO!H227="", "",TOTALCO!H227)</f>
        <v/>
      </c>
      <c r="I1108" s="12" t="str">
        <f>IF(TOTALCO!I227="", "",TOTALCO!I227)</f>
        <v/>
      </c>
      <c r="J1108" s="12" t="str">
        <f>IF(TOTALCO!J227="", "",TOTALCO!J227)</f>
        <v/>
      </c>
      <c r="K1108" s="12" t="str">
        <f>IF(TOTALCO!K227="", "",TOTALCO!K227)</f>
        <v/>
      </c>
      <c r="L1108" s="12" t="str">
        <f>IF(TOTALCO!L227="", "",TOTALCO!L227)</f>
        <v/>
      </c>
      <c r="M1108" s="12" t="str">
        <f>IF(TOTALCO!M227="", "",TOTALCO!M227)</f>
        <v/>
      </c>
      <c r="N1108" s="12" t="str">
        <f>IF(TOTALCO!N227="", "",TOTALCO!N227)</f>
        <v/>
      </c>
      <c r="O1108" s="12" t="str">
        <f>IF(TOTALCO!O227="", "",TOTALCO!O227)</f>
        <v/>
      </c>
      <c r="P1108" s="12" t="str">
        <f>IF(TOTALCO!P227="", "",TOTALCO!P227)</f>
        <v/>
      </c>
      <c r="Q1108" s="12"/>
    </row>
    <row r="1109" spans="1:17" ht="15" x14ac:dyDescent="0.2">
      <c r="A1109" s="382">
        <f>IF(TOTALCO!A228="", "",TOTALCO!A228)</f>
        <v>19</v>
      </c>
      <c r="B1109" s="4" t="str">
        <f>IF(TOTALCO!B228="", "",TOTALCO!B228)</f>
        <v/>
      </c>
      <c r="C1109" s="4" t="str">
        <f>IF(TOTALCO!C228="", "",TOTALCO!C228)</f>
        <v/>
      </c>
      <c r="D1109" s="12" t="str">
        <f>IF(TOTALCO!D228="", "",TOTALCO!D228)</f>
        <v/>
      </c>
      <c r="E1109" s="12" t="str">
        <f>IF(TOTALCO!E228="", "",TOTALCO!E228)</f>
        <v/>
      </c>
      <c r="F1109" s="12" t="str">
        <f>IF(TOTALCO!F228="", "",TOTALCO!F228)</f>
        <v/>
      </c>
      <c r="G1109" s="12" t="str">
        <f>IF(TOTALCO!G228="", "",TOTALCO!G228)</f>
        <v/>
      </c>
      <c r="H1109" s="12" t="str">
        <f>IF(TOTALCO!H228="", "",TOTALCO!H228)</f>
        <v/>
      </c>
      <c r="I1109" s="12" t="str">
        <f>IF(TOTALCO!I228="", "",TOTALCO!I228)</f>
        <v/>
      </c>
      <c r="J1109" s="12" t="str">
        <f>IF(TOTALCO!J228="", "",TOTALCO!J228)</f>
        <v/>
      </c>
      <c r="K1109" s="12" t="str">
        <f>IF(TOTALCO!K228="", "",TOTALCO!K228)</f>
        <v/>
      </c>
      <c r="L1109" s="12" t="str">
        <f>IF(TOTALCO!L228="", "",TOTALCO!L228)</f>
        <v/>
      </c>
      <c r="M1109" s="12" t="str">
        <f>IF(TOTALCO!M228="", "",TOTALCO!M228)</f>
        <v/>
      </c>
      <c r="N1109" s="12" t="str">
        <f>IF(TOTALCO!N228="", "",TOTALCO!N228)</f>
        <v/>
      </c>
      <c r="O1109" s="12" t="str">
        <f>IF(TOTALCO!O228="", "",TOTALCO!O228)</f>
        <v/>
      </c>
      <c r="P1109" s="12" t="str">
        <f>IF(TOTALCO!P228="", "",TOTALCO!P228)</f>
        <v/>
      </c>
      <c r="Q1109" s="12"/>
    </row>
    <row r="1110" spans="1:17" ht="15" x14ac:dyDescent="0.2">
      <c r="A1110" s="382">
        <f>IF(TOTALCO!A229="", "",TOTALCO!A229)</f>
        <v>20</v>
      </c>
      <c r="B1110" s="4" t="str">
        <f>IF(TOTALCO!B229="", "",TOTALCO!B229)</f>
        <v/>
      </c>
      <c r="C1110" s="4" t="str">
        <f>IF(TOTALCO!C229="", "",TOTALCO!C229)</f>
        <v/>
      </c>
      <c r="D1110" s="12" t="str">
        <f>IF(TOTALCO!D229="", "",TOTALCO!D229)</f>
        <v/>
      </c>
      <c r="E1110" s="12" t="str">
        <f>IF(TOTALCO!E229="", "",TOTALCO!E229)</f>
        <v/>
      </c>
      <c r="F1110" s="12" t="str">
        <f>IF(TOTALCO!F229="", "",TOTALCO!F229)</f>
        <v/>
      </c>
      <c r="G1110" s="12" t="str">
        <f>IF(TOTALCO!G229="", "",TOTALCO!G229)</f>
        <v/>
      </c>
      <c r="H1110" s="12" t="str">
        <f>IF(TOTALCO!H229="", "",TOTALCO!H229)</f>
        <v/>
      </c>
      <c r="I1110" s="12" t="str">
        <f>IF(TOTALCO!I229="", "",TOTALCO!I229)</f>
        <v/>
      </c>
      <c r="J1110" s="12" t="str">
        <f>IF(TOTALCO!J229="", "",TOTALCO!J229)</f>
        <v/>
      </c>
      <c r="K1110" s="12" t="str">
        <f>IF(TOTALCO!K229="", "",TOTALCO!K229)</f>
        <v/>
      </c>
      <c r="L1110" s="12" t="str">
        <f>IF(TOTALCO!L229="", "",TOTALCO!L229)</f>
        <v/>
      </c>
      <c r="M1110" s="12" t="str">
        <f>IF(TOTALCO!M229="", "",TOTALCO!M229)</f>
        <v/>
      </c>
      <c r="N1110" s="12" t="str">
        <f>IF(TOTALCO!N229="", "",TOTALCO!N229)</f>
        <v/>
      </c>
      <c r="O1110" s="12" t="str">
        <f>IF(TOTALCO!O229="", "",TOTALCO!O229)</f>
        <v/>
      </c>
      <c r="P1110" s="12" t="str">
        <f>IF(TOTALCO!P229="", "",TOTALCO!P229)</f>
        <v/>
      </c>
      <c r="Q1110" s="12"/>
    </row>
    <row r="1111" spans="1:17" ht="15" x14ac:dyDescent="0.2">
      <c r="A1111" s="382">
        <f>IF(TOTALCO!A230="", "",TOTALCO!A230)</f>
        <v>21</v>
      </c>
      <c r="B1111" s="4" t="str">
        <f>IF(TOTALCO!B230="", "",TOTALCO!B230)</f>
        <v/>
      </c>
      <c r="C1111" s="4" t="str">
        <f>IF(TOTALCO!C230="", "",TOTALCO!C230)</f>
        <v/>
      </c>
      <c r="D1111" s="12" t="str">
        <f>IF(TOTALCO!D230="", "",TOTALCO!D230)</f>
        <v/>
      </c>
      <c r="E1111" s="12" t="str">
        <f>IF(TOTALCO!E230="", "",TOTALCO!E230)</f>
        <v/>
      </c>
      <c r="F1111" s="12" t="str">
        <f>IF(TOTALCO!F230="", "",TOTALCO!F230)</f>
        <v/>
      </c>
      <c r="G1111" s="12" t="str">
        <f>IF(TOTALCO!G230="", "",TOTALCO!G230)</f>
        <v/>
      </c>
      <c r="H1111" s="12" t="str">
        <f>IF(TOTALCO!H230="", "",TOTALCO!H230)</f>
        <v/>
      </c>
      <c r="I1111" s="12" t="str">
        <f>IF(TOTALCO!I230="", "",TOTALCO!I230)</f>
        <v/>
      </c>
      <c r="J1111" s="12" t="str">
        <f>IF(TOTALCO!J230="", "",TOTALCO!J230)</f>
        <v/>
      </c>
      <c r="K1111" s="12" t="str">
        <f>IF(TOTALCO!K230="", "",TOTALCO!K230)</f>
        <v/>
      </c>
      <c r="L1111" s="12" t="str">
        <f>IF(TOTALCO!L230="", "",TOTALCO!L230)</f>
        <v/>
      </c>
      <c r="M1111" s="12" t="str">
        <f>IF(TOTALCO!M230="", "",TOTALCO!M230)</f>
        <v/>
      </c>
      <c r="N1111" s="12" t="str">
        <f>IF(TOTALCO!N230="", "",TOTALCO!N230)</f>
        <v/>
      </c>
      <c r="O1111" s="12" t="str">
        <f>IF(TOTALCO!O230="", "",TOTALCO!O230)</f>
        <v/>
      </c>
      <c r="P1111" s="12" t="str">
        <f>IF(TOTALCO!P230="", "",TOTALCO!P230)</f>
        <v/>
      </c>
      <c r="Q1111" s="12"/>
    </row>
    <row r="1112" spans="1:17" ht="15" x14ac:dyDescent="0.2">
      <c r="A1112" s="382">
        <f>IF(TOTALCO!A231="", "",TOTALCO!A231)</f>
        <v>22</v>
      </c>
      <c r="B1112" s="4" t="str">
        <f>IF(TOTALCO!B231="", "",TOTALCO!B231)</f>
        <v/>
      </c>
      <c r="C1112" s="4" t="str">
        <f>IF(TOTALCO!C231="", "",TOTALCO!C231)</f>
        <v/>
      </c>
      <c r="D1112" s="12" t="str">
        <f>IF(TOTALCO!D231="", "",TOTALCO!D231)</f>
        <v/>
      </c>
      <c r="E1112" s="12" t="str">
        <f>IF(TOTALCO!E231="", "",TOTALCO!E231)</f>
        <v/>
      </c>
      <c r="F1112" s="12" t="str">
        <f>IF(TOTALCO!F231="", "",TOTALCO!F231)</f>
        <v/>
      </c>
      <c r="G1112" s="12" t="str">
        <f>IF(TOTALCO!G231="", "",TOTALCO!G231)</f>
        <v/>
      </c>
      <c r="H1112" s="12" t="str">
        <f>IF(TOTALCO!H231="", "",TOTALCO!H231)</f>
        <v/>
      </c>
      <c r="I1112" s="12" t="str">
        <f>IF(TOTALCO!I231="", "",TOTALCO!I231)</f>
        <v/>
      </c>
      <c r="J1112" s="12" t="str">
        <f>IF(TOTALCO!J231="", "",TOTALCO!J231)</f>
        <v/>
      </c>
      <c r="K1112" s="12" t="str">
        <f>IF(TOTALCO!K231="", "",TOTALCO!K231)</f>
        <v/>
      </c>
      <c r="L1112" s="12" t="str">
        <f>IF(TOTALCO!L231="", "",TOTALCO!L231)</f>
        <v/>
      </c>
      <c r="M1112" s="12" t="str">
        <f>IF(TOTALCO!M231="", "",TOTALCO!M231)</f>
        <v/>
      </c>
      <c r="N1112" s="12" t="str">
        <f>IF(TOTALCO!N231="", "",TOTALCO!N231)</f>
        <v/>
      </c>
      <c r="O1112" s="12" t="str">
        <f>IF(TOTALCO!O231="", "",TOTALCO!O231)</f>
        <v/>
      </c>
      <c r="P1112" s="12" t="str">
        <f>IF(TOTALCO!P231="", "",TOTALCO!P231)</f>
        <v/>
      </c>
      <c r="Q1112" s="12"/>
    </row>
    <row r="1113" spans="1:17" ht="15" x14ac:dyDescent="0.2">
      <c r="A1113" s="382">
        <f>IF(TOTALCO!A232="", "",TOTALCO!A232)</f>
        <v>23</v>
      </c>
      <c r="B1113" s="4" t="str">
        <f>IF(TOTALCO!B232="", "",TOTALCO!B232)</f>
        <v/>
      </c>
      <c r="C1113" s="4" t="str">
        <f>IF(TOTALCO!C232="", "",TOTALCO!C232)</f>
        <v/>
      </c>
      <c r="D1113" s="12" t="str">
        <f>IF(TOTALCO!D232="", "",TOTALCO!D232)</f>
        <v/>
      </c>
      <c r="E1113" s="12" t="str">
        <f>IF(TOTALCO!E232="", "",TOTALCO!E232)</f>
        <v/>
      </c>
      <c r="F1113" s="12" t="str">
        <f>IF(TOTALCO!F232="", "",TOTALCO!F232)</f>
        <v/>
      </c>
      <c r="G1113" s="12" t="str">
        <f>IF(TOTALCO!G232="", "",TOTALCO!G232)</f>
        <v/>
      </c>
      <c r="H1113" s="12" t="str">
        <f>IF(TOTALCO!H232="", "",TOTALCO!H232)</f>
        <v/>
      </c>
      <c r="I1113" s="12" t="str">
        <f>IF(TOTALCO!I232="", "",TOTALCO!I232)</f>
        <v/>
      </c>
      <c r="J1113" s="12" t="str">
        <f>IF(TOTALCO!J232="", "",TOTALCO!J232)</f>
        <v/>
      </c>
      <c r="K1113" s="12" t="str">
        <f>IF(TOTALCO!K232="", "",TOTALCO!K232)</f>
        <v/>
      </c>
      <c r="L1113" s="12" t="str">
        <f>IF(TOTALCO!L232="", "",TOTALCO!L232)</f>
        <v/>
      </c>
      <c r="M1113" s="12" t="str">
        <f>IF(TOTALCO!M232="", "",TOTALCO!M232)</f>
        <v/>
      </c>
      <c r="N1113" s="12" t="str">
        <f>IF(TOTALCO!N232="", "",TOTALCO!N232)</f>
        <v/>
      </c>
      <c r="O1113" s="12" t="str">
        <f>IF(TOTALCO!O232="", "",TOTALCO!O232)</f>
        <v/>
      </c>
      <c r="P1113" s="12" t="str">
        <f>IF(TOTALCO!P232="", "",TOTALCO!P232)</f>
        <v/>
      </c>
      <c r="Q1113" s="12"/>
    </row>
    <row r="1114" spans="1:17" ht="15" x14ac:dyDescent="0.2">
      <c r="A1114" s="382">
        <f>IF(TOTALCO!A233="", "",TOTALCO!A233)</f>
        <v>24</v>
      </c>
      <c r="B1114" s="4" t="str">
        <f>IF(TOTALCO!B233="", "",TOTALCO!B233)</f>
        <v/>
      </c>
      <c r="C1114" s="4" t="str">
        <f>IF(TOTALCO!C233="", "",TOTALCO!C233)</f>
        <v/>
      </c>
      <c r="D1114" s="12" t="str">
        <f>IF(TOTALCO!D233="", "",TOTALCO!D233)</f>
        <v/>
      </c>
      <c r="E1114" s="12" t="str">
        <f>IF(TOTALCO!E233="", "",TOTALCO!E233)</f>
        <v/>
      </c>
      <c r="F1114" s="12" t="str">
        <f>IF(TOTALCO!F233="", "",TOTALCO!F233)</f>
        <v/>
      </c>
      <c r="G1114" s="12" t="str">
        <f>IF(TOTALCO!G233="", "",TOTALCO!G233)</f>
        <v/>
      </c>
      <c r="H1114" s="12" t="str">
        <f>IF(TOTALCO!H233="", "",TOTALCO!H233)</f>
        <v/>
      </c>
      <c r="I1114" s="12" t="str">
        <f>IF(TOTALCO!I233="", "",TOTALCO!I233)</f>
        <v/>
      </c>
      <c r="J1114" s="12" t="str">
        <f>IF(TOTALCO!J233="", "",TOTALCO!J233)</f>
        <v/>
      </c>
      <c r="K1114" s="12" t="str">
        <f>IF(TOTALCO!K233="", "",TOTALCO!K233)</f>
        <v/>
      </c>
      <c r="L1114" s="12" t="str">
        <f>IF(TOTALCO!L233="", "",TOTALCO!L233)</f>
        <v/>
      </c>
      <c r="M1114" s="12" t="str">
        <f>IF(TOTALCO!M233="", "",TOTALCO!M233)</f>
        <v/>
      </c>
      <c r="N1114" s="12" t="str">
        <f>IF(TOTALCO!N233="", "",TOTALCO!N233)</f>
        <v/>
      </c>
      <c r="O1114" s="12" t="str">
        <f>IF(TOTALCO!O233="", "",TOTALCO!O233)</f>
        <v/>
      </c>
      <c r="P1114" s="12" t="str">
        <f>IF(TOTALCO!P233="", "",TOTALCO!P233)</f>
        <v/>
      </c>
      <c r="Q1114" s="12"/>
    </row>
    <row r="1115" spans="1:17" ht="15" x14ac:dyDescent="0.2">
      <c r="A1115" s="382">
        <f>IF(TOTALCO!A234="", "",TOTALCO!A234)</f>
        <v>25</v>
      </c>
      <c r="B1115" s="4" t="str">
        <f>IF(TOTALCO!B234="", "",TOTALCO!B234)</f>
        <v/>
      </c>
      <c r="C1115" s="4" t="str">
        <f>IF(TOTALCO!C234="", "",TOTALCO!C234)</f>
        <v/>
      </c>
      <c r="D1115" s="12" t="str">
        <f>IF(TOTALCO!D234="", "",TOTALCO!D234)</f>
        <v/>
      </c>
      <c r="E1115" s="12" t="str">
        <f>IF(TOTALCO!E234="", "",TOTALCO!E234)</f>
        <v/>
      </c>
      <c r="F1115" s="12" t="str">
        <f>IF(TOTALCO!F234="", "",TOTALCO!F234)</f>
        <v/>
      </c>
      <c r="G1115" s="12" t="str">
        <f>IF(TOTALCO!G234="", "",TOTALCO!G234)</f>
        <v/>
      </c>
      <c r="H1115" s="12" t="str">
        <f>IF(TOTALCO!H234="", "",TOTALCO!H234)</f>
        <v/>
      </c>
      <c r="I1115" s="12" t="str">
        <f>IF(TOTALCO!I234="", "",TOTALCO!I234)</f>
        <v/>
      </c>
      <c r="J1115" s="12" t="str">
        <f>IF(TOTALCO!J234="", "",TOTALCO!J234)</f>
        <v/>
      </c>
      <c r="K1115" s="12" t="str">
        <f>IF(TOTALCO!K234="", "",TOTALCO!K234)</f>
        <v/>
      </c>
      <c r="L1115" s="12" t="str">
        <f>IF(TOTALCO!L234="", "",TOTALCO!L234)</f>
        <v/>
      </c>
      <c r="M1115" s="12" t="str">
        <f>IF(TOTALCO!M234="", "",TOTALCO!M234)</f>
        <v/>
      </c>
      <c r="N1115" s="12" t="str">
        <f>IF(TOTALCO!N234="", "",TOTALCO!N234)</f>
        <v/>
      </c>
      <c r="O1115" s="12" t="str">
        <f>IF(TOTALCO!O234="", "",TOTALCO!O234)</f>
        <v/>
      </c>
      <c r="P1115" s="12" t="str">
        <f>IF(TOTALCO!P234="", "",TOTALCO!P234)</f>
        <v/>
      </c>
      <c r="Q1115" s="12"/>
    </row>
    <row r="1116" spans="1:17" ht="15" x14ac:dyDescent="0.2">
      <c r="A1116" s="382">
        <f>IF(TOTALCO!A235="", "",TOTALCO!A235)</f>
        <v>26</v>
      </c>
      <c r="B1116" s="4" t="str">
        <f>IF(TOTALCO!B235="", "",TOTALCO!B235)</f>
        <v/>
      </c>
      <c r="C1116" s="4" t="str">
        <f>IF(TOTALCO!C235="", "",TOTALCO!C235)</f>
        <v/>
      </c>
      <c r="D1116" s="12" t="str">
        <f>IF(TOTALCO!D235="", "",TOTALCO!D235)</f>
        <v/>
      </c>
      <c r="E1116" s="12" t="str">
        <f>IF(TOTALCO!E235="", "",TOTALCO!E235)</f>
        <v/>
      </c>
      <c r="F1116" s="12" t="str">
        <f>IF(TOTALCO!F235="", "",TOTALCO!F235)</f>
        <v/>
      </c>
      <c r="G1116" s="12" t="str">
        <f>IF(TOTALCO!G235="", "",TOTALCO!G235)</f>
        <v/>
      </c>
      <c r="H1116" s="12" t="str">
        <f>IF(TOTALCO!H235="", "",TOTALCO!H235)</f>
        <v/>
      </c>
      <c r="I1116" s="12" t="str">
        <f>IF(TOTALCO!I235="", "",TOTALCO!I235)</f>
        <v/>
      </c>
      <c r="J1116" s="12" t="str">
        <f>IF(TOTALCO!J235="", "",TOTALCO!J235)</f>
        <v/>
      </c>
      <c r="K1116" s="12" t="str">
        <f>IF(TOTALCO!K235="", "",TOTALCO!K235)</f>
        <v/>
      </c>
      <c r="L1116" s="12" t="str">
        <f>IF(TOTALCO!L235="", "",TOTALCO!L235)</f>
        <v/>
      </c>
      <c r="M1116" s="12" t="str">
        <f>IF(TOTALCO!M235="", "",TOTALCO!M235)</f>
        <v/>
      </c>
      <c r="N1116" s="12" t="str">
        <f>IF(TOTALCO!N235="", "",TOTALCO!N235)</f>
        <v/>
      </c>
      <c r="O1116" s="12" t="str">
        <f>IF(TOTALCO!O235="", "",TOTALCO!O235)</f>
        <v/>
      </c>
      <c r="P1116" s="12" t="str">
        <f>IF(TOTALCO!P235="", "",TOTALCO!P235)</f>
        <v/>
      </c>
      <c r="Q1116" s="12"/>
    </row>
    <row r="1117" spans="1:17" ht="15" x14ac:dyDescent="0.2">
      <c r="A1117" s="382">
        <f>IF(TOTALCO!A236="", "",TOTALCO!A236)</f>
        <v>27</v>
      </c>
      <c r="B1117" s="4" t="str">
        <f>IF(TOTALCO!B236="", "",TOTALCO!B236)</f>
        <v/>
      </c>
      <c r="C1117" s="4" t="str">
        <f>IF(TOTALCO!C236="", "",TOTALCO!C236)</f>
        <v/>
      </c>
      <c r="D1117" s="12" t="str">
        <f>IF(TOTALCO!D236="", "",TOTALCO!D236)</f>
        <v/>
      </c>
      <c r="E1117" s="12" t="str">
        <f>IF(TOTALCO!E236="", "",TOTALCO!E236)</f>
        <v/>
      </c>
      <c r="F1117" s="12" t="str">
        <f>IF(TOTALCO!F236="", "",TOTALCO!F236)</f>
        <v/>
      </c>
      <c r="G1117" s="12" t="str">
        <f>IF(TOTALCO!G236="", "",TOTALCO!G236)</f>
        <v/>
      </c>
      <c r="H1117" s="12" t="str">
        <f>IF(TOTALCO!H236="", "",TOTALCO!H236)</f>
        <v/>
      </c>
      <c r="I1117" s="12" t="str">
        <f>IF(TOTALCO!I236="", "",TOTALCO!I236)</f>
        <v/>
      </c>
      <c r="J1117" s="12" t="str">
        <f>IF(TOTALCO!J236="", "",TOTALCO!J236)</f>
        <v/>
      </c>
      <c r="K1117" s="12" t="str">
        <f>IF(TOTALCO!K236="", "",TOTALCO!K236)</f>
        <v/>
      </c>
      <c r="L1117" s="12" t="str">
        <f>IF(TOTALCO!L236="", "",TOTALCO!L236)</f>
        <v/>
      </c>
      <c r="M1117" s="12" t="str">
        <f>IF(TOTALCO!M236="", "",TOTALCO!M236)</f>
        <v/>
      </c>
      <c r="N1117" s="12" t="str">
        <f>IF(TOTALCO!N236="", "",TOTALCO!N236)</f>
        <v/>
      </c>
      <c r="O1117" s="12" t="str">
        <f>IF(TOTALCO!O236="", "",TOTALCO!O236)</f>
        <v/>
      </c>
      <c r="P1117" s="12" t="str">
        <f>IF(TOTALCO!P236="", "",TOTALCO!P236)</f>
        <v/>
      </c>
      <c r="Q1117" s="12"/>
    </row>
    <row r="1118" spans="1:17" ht="15" x14ac:dyDescent="0.2">
      <c r="A1118" s="382">
        <f>IF(TOTALCO!A237="", "",TOTALCO!A237)</f>
        <v>28</v>
      </c>
      <c r="B1118" s="4" t="str">
        <f>IF(TOTALCO!B237="", "",TOTALCO!B237)</f>
        <v/>
      </c>
      <c r="C1118" s="4" t="str">
        <f>IF(TOTALCO!C237="", "",TOTALCO!C237)</f>
        <v/>
      </c>
      <c r="D1118" s="12" t="str">
        <f>IF(TOTALCO!D237="", "",TOTALCO!D237)</f>
        <v/>
      </c>
      <c r="E1118" s="12" t="str">
        <f>IF(TOTALCO!E237="", "",TOTALCO!E237)</f>
        <v/>
      </c>
      <c r="F1118" s="12" t="str">
        <f>IF(TOTALCO!F237="", "",TOTALCO!F237)</f>
        <v/>
      </c>
      <c r="G1118" s="12" t="str">
        <f>IF(TOTALCO!G237="", "",TOTALCO!G237)</f>
        <v/>
      </c>
      <c r="H1118" s="12" t="str">
        <f>IF(TOTALCO!H237="", "",TOTALCO!H237)</f>
        <v/>
      </c>
      <c r="I1118" s="12" t="str">
        <f>IF(TOTALCO!I237="", "",TOTALCO!I237)</f>
        <v/>
      </c>
      <c r="J1118" s="12" t="str">
        <f>IF(TOTALCO!J237="", "",TOTALCO!J237)</f>
        <v/>
      </c>
      <c r="K1118" s="12" t="str">
        <f>IF(TOTALCO!K237="", "",TOTALCO!K237)</f>
        <v/>
      </c>
      <c r="L1118" s="12" t="str">
        <f>IF(TOTALCO!L237="", "",TOTALCO!L237)</f>
        <v/>
      </c>
      <c r="M1118" s="12" t="str">
        <f>IF(TOTALCO!M237="", "",TOTALCO!M237)</f>
        <v/>
      </c>
      <c r="N1118" s="12" t="str">
        <f>IF(TOTALCO!N237="", "",TOTALCO!N237)</f>
        <v/>
      </c>
      <c r="O1118" s="12" t="str">
        <f>IF(TOTALCO!O237="", "",TOTALCO!O237)</f>
        <v/>
      </c>
      <c r="P1118" s="12" t="str">
        <f>IF(TOTALCO!P237="", "",TOTALCO!P237)</f>
        <v/>
      </c>
      <c r="Q1118" s="12"/>
    </row>
    <row r="1119" spans="1:17" ht="15" x14ac:dyDescent="0.2">
      <c r="A1119" s="382">
        <f>IF(TOTALCO!A238="", "",TOTALCO!A238)</f>
        <v>29</v>
      </c>
      <c r="B1119" s="4" t="str">
        <f>IF(TOTALCO!B238="", "",TOTALCO!B238)</f>
        <v/>
      </c>
      <c r="C1119" s="4" t="str">
        <f>IF(TOTALCO!C238="", "",TOTALCO!C238)</f>
        <v/>
      </c>
      <c r="D1119" s="12" t="str">
        <f>IF(TOTALCO!D238="", "",TOTALCO!D238)</f>
        <v/>
      </c>
      <c r="E1119" s="12" t="str">
        <f>IF(TOTALCO!E238="", "",TOTALCO!E238)</f>
        <v/>
      </c>
      <c r="F1119" s="12" t="str">
        <f>IF(TOTALCO!F238="", "",TOTALCO!F238)</f>
        <v/>
      </c>
      <c r="G1119" s="12" t="str">
        <f>IF(TOTALCO!G238="", "",TOTALCO!G238)</f>
        <v/>
      </c>
      <c r="H1119" s="12" t="str">
        <f>IF(TOTALCO!H238="", "",TOTALCO!H238)</f>
        <v/>
      </c>
      <c r="I1119" s="12" t="str">
        <f>IF(TOTALCO!I238="", "",TOTALCO!I238)</f>
        <v/>
      </c>
      <c r="J1119" s="12" t="str">
        <f>IF(TOTALCO!J238="", "",TOTALCO!J238)</f>
        <v/>
      </c>
      <c r="K1119" s="12" t="str">
        <f>IF(TOTALCO!K238="", "",TOTALCO!K238)</f>
        <v/>
      </c>
      <c r="L1119" s="12" t="str">
        <f>IF(TOTALCO!L238="", "",TOTALCO!L238)</f>
        <v/>
      </c>
      <c r="M1119" s="12" t="str">
        <f>IF(TOTALCO!M238="", "",TOTALCO!M238)</f>
        <v/>
      </c>
      <c r="N1119" s="12" t="str">
        <f>IF(TOTALCO!N238="", "",TOTALCO!N238)</f>
        <v/>
      </c>
      <c r="O1119" s="12" t="str">
        <f>IF(TOTALCO!O238="", "",TOTALCO!O238)</f>
        <v/>
      </c>
      <c r="P1119" s="12" t="str">
        <f>IF(TOTALCO!P238="", "",TOTALCO!P238)</f>
        <v/>
      </c>
      <c r="Q1119" s="12"/>
    </row>
    <row r="1120" spans="1:17" ht="15" x14ac:dyDescent="0.2">
      <c r="A1120" s="382">
        <f>IF(TOTALCO!A239="", "",TOTALCO!A239)</f>
        <v>30</v>
      </c>
      <c r="B1120" s="4" t="str">
        <f>IF(TOTALCO!B239="", "",TOTALCO!B239)</f>
        <v/>
      </c>
      <c r="C1120" s="4" t="str">
        <f>IF(TOTALCO!C239="", "",TOTALCO!C239)</f>
        <v/>
      </c>
      <c r="D1120" s="12" t="str">
        <f>IF(TOTALCO!D239="", "",TOTALCO!D239)</f>
        <v/>
      </c>
      <c r="E1120" s="12" t="str">
        <f>IF(TOTALCO!E239="", "",TOTALCO!E239)</f>
        <v/>
      </c>
      <c r="F1120" s="12" t="str">
        <f>IF(TOTALCO!F239="", "",TOTALCO!F239)</f>
        <v/>
      </c>
      <c r="G1120" s="12" t="str">
        <f>IF(TOTALCO!G239="", "",TOTALCO!G239)</f>
        <v/>
      </c>
      <c r="H1120" s="12" t="str">
        <f>IF(TOTALCO!H239="", "",TOTALCO!H239)</f>
        <v/>
      </c>
      <c r="I1120" s="12" t="str">
        <f>IF(TOTALCO!I239="", "",TOTALCO!I239)</f>
        <v/>
      </c>
      <c r="J1120" s="12" t="str">
        <f>IF(TOTALCO!J239="", "",TOTALCO!J239)</f>
        <v/>
      </c>
      <c r="K1120" s="12" t="str">
        <f>IF(TOTALCO!K239="", "",TOTALCO!K239)</f>
        <v/>
      </c>
      <c r="L1120" s="12" t="str">
        <f>IF(TOTALCO!L239="", "",TOTALCO!L239)</f>
        <v/>
      </c>
      <c r="M1120" s="12" t="str">
        <f>IF(TOTALCO!M239="", "",TOTALCO!M239)</f>
        <v/>
      </c>
      <c r="N1120" s="12" t="str">
        <f>IF(TOTALCO!N239="", "",TOTALCO!N239)</f>
        <v/>
      </c>
      <c r="O1120" s="12" t="str">
        <f>IF(TOTALCO!O239="", "",TOTALCO!O239)</f>
        <v/>
      </c>
      <c r="P1120" s="12" t="str">
        <f>IF(TOTALCO!P239="", "",TOTALCO!P239)</f>
        <v/>
      </c>
      <c r="Q1120" s="12"/>
    </row>
    <row r="1121" spans="1:17" ht="15" x14ac:dyDescent="0.2">
      <c r="A1121" s="382" t="str">
        <f>IF(TOTALCO!A250="", "",TOTALCO!A250)</f>
        <v/>
      </c>
      <c r="B1121" s="4" t="str">
        <f>IF(TOTALCO!B250="", "",TOTALCO!B250)</f>
        <v/>
      </c>
      <c r="C1121" s="4" t="str">
        <f>IF(TOTALCO!C250="", "",TOTALCO!C250)</f>
        <v/>
      </c>
      <c r="D1121" s="12" t="str">
        <f>IF(TOTALCO!D250="", "",TOTALCO!D250)</f>
        <v/>
      </c>
      <c r="E1121" s="12" t="str">
        <f>IF(TOTALCO!E250="", "",TOTALCO!E250)</f>
        <v/>
      </c>
      <c r="F1121" s="12" t="str">
        <f>IF(TOTALCO!F250="", "",TOTALCO!F250)</f>
        <v/>
      </c>
      <c r="G1121" s="12" t="str">
        <f>IF(TOTALCO!G250="", "",TOTALCO!G250)</f>
        <v/>
      </c>
      <c r="H1121" s="12" t="str">
        <f>IF(TOTALCO!H250="", "",TOTALCO!H250)</f>
        <v/>
      </c>
      <c r="I1121" s="12" t="str">
        <f>IF(TOTALCO!I250="", "",TOTALCO!I250)</f>
        <v/>
      </c>
      <c r="J1121" s="12" t="str">
        <f>IF(TOTALCO!J250="", "",TOTALCO!J250)</f>
        <v/>
      </c>
      <c r="K1121" s="12" t="str">
        <f>IF(TOTALCO!K250="", "",TOTALCO!K250)</f>
        <v/>
      </c>
      <c r="L1121" s="12" t="str">
        <f>IF(TOTALCO!L250="", "",TOTALCO!L250)</f>
        <v/>
      </c>
      <c r="M1121" s="12" t="str">
        <f>IF(TOTALCO!M250="", "",TOTALCO!M250)</f>
        <v/>
      </c>
      <c r="N1121" s="12" t="str">
        <f>IF(TOTALCO!N250="", "",TOTALCO!N250)</f>
        <v/>
      </c>
      <c r="O1121" s="12" t="str">
        <f>IF(TOTALCO!O250="", "",TOTALCO!O250)</f>
        <v/>
      </c>
      <c r="P1121" s="12" t="str">
        <f>IF(TOTALCO!P250="", "",TOTALCO!P250)</f>
        <v/>
      </c>
      <c r="Q1121" s="12"/>
    </row>
    <row r="1122" spans="1:17" ht="15" x14ac:dyDescent="0.2">
      <c r="A1122" s="382" t="str">
        <f>IF(TOTALCO!A251="", "",TOTALCO!A251)</f>
        <v/>
      </c>
      <c r="B1122" s="4" t="str">
        <f>IF(TOTALCO!B251="", "",TOTALCO!B251)</f>
        <v>REVENUES FROM ELECTRIC SALES</v>
      </c>
      <c r="C1122" s="4" t="str">
        <f>IF(TOTALCO!C251="", "",TOTALCO!C251)</f>
        <v/>
      </c>
      <c r="D1122" s="12" t="str">
        <f>IF(TOTALCO!D251="", "",TOTALCO!D251)</f>
        <v/>
      </c>
      <c r="E1122" s="12" t="str">
        <f>IF(TOTALCO!E251="", "",TOTALCO!E251)</f>
        <v/>
      </c>
      <c r="F1122" s="12" t="str">
        <f>IF(TOTALCO!F251="", "",TOTALCO!F251)</f>
        <v/>
      </c>
      <c r="G1122" s="12" t="str">
        <f>IF(TOTALCO!G251="", "",TOTALCO!G251)</f>
        <v/>
      </c>
      <c r="H1122" s="12" t="str">
        <f>IF(TOTALCO!H251="", "",TOTALCO!H251)</f>
        <v/>
      </c>
      <c r="I1122" s="12" t="str">
        <f>IF(TOTALCO!I251="", "",TOTALCO!I251)</f>
        <v/>
      </c>
      <c r="J1122" s="12" t="str">
        <f>IF(TOTALCO!J251="", "",TOTALCO!J251)</f>
        <v/>
      </c>
      <c r="K1122" s="12" t="str">
        <f>IF(TOTALCO!K251="", "",TOTALCO!K251)</f>
        <v/>
      </c>
      <c r="L1122" s="12" t="str">
        <f>IF(TOTALCO!L251="", "",TOTALCO!L251)</f>
        <v/>
      </c>
      <c r="M1122" s="12" t="str">
        <f>IF(TOTALCO!M251="", "",TOTALCO!M251)</f>
        <v/>
      </c>
      <c r="N1122" s="12" t="str">
        <f>IF(TOTALCO!N251="", "",TOTALCO!N251)</f>
        <v/>
      </c>
      <c r="O1122" s="12" t="str">
        <f>IF(TOTALCO!O251="", "",TOTALCO!O251)</f>
        <v/>
      </c>
      <c r="P1122" s="12" t="str">
        <f>IF(TOTALCO!P251="", "",TOTALCO!P251)</f>
        <v/>
      </c>
      <c r="Q1122" s="12"/>
    </row>
    <row r="1123" spans="1:17" ht="15" x14ac:dyDescent="0.2">
      <c r="A1123" s="382" t="str">
        <f>IF(TOTALCO!A252="", "",TOTALCO!A252)</f>
        <v/>
      </c>
      <c r="B1123" s="4" t="str">
        <f>IF(TOTALCO!B252="", "",TOTALCO!B252)</f>
        <v>-</v>
      </c>
      <c r="C1123" s="4" t="str">
        <f>IF(TOTALCO!C252="", "",TOTALCO!C252)</f>
        <v/>
      </c>
      <c r="D1123" s="12" t="str">
        <f>IF(TOTALCO!D252="", "",TOTALCO!D252)</f>
        <v/>
      </c>
      <c r="E1123" s="12" t="str">
        <f>IF(TOTALCO!E252="", "",TOTALCO!E252)</f>
        <v/>
      </c>
      <c r="F1123" s="12" t="str">
        <f>IF(TOTALCO!F252="", "",TOTALCO!F252)</f>
        <v/>
      </c>
      <c r="G1123" s="12" t="str">
        <f>IF(TOTALCO!G252="", "",TOTALCO!G252)</f>
        <v/>
      </c>
      <c r="H1123" s="12" t="str">
        <f>IF(TOTALCO!H252="", "",TOTALCO!H252)</f>
        <v/>
      </c>
      <c r="I1123" s="12" t="str">
        <f>IF(TOTALCO!I252="", "",TOTALCO!I252)</f>
        <v/>
      </c>
      <c r="J1123" s="12" t="str">
        <f>IF(TOTALCO!J252="", "",TOTALCO!J252)</f>
        <v/>
      </c>
      <c r="K1123" s="12" t="str">
        <f>IF(TOTALCO!K252="", "",TOTALCO!K252)</f>
        <v/>
      </c>
      <c r="L1123" s="12" t="str">
        <f>IF(TOTALCO!L252="", "",TOTALCO!L252)</f>
        <v/>
      </c>
      <c r="M1123" s="12" t="str">
        <f>IF(TOTALCO!M252="", "",TOTALCO!M252)</f>
        <v/>
      </c>
      <c r="N1123" s="12" t="str">
        <f>IF(TOTALCO!N252="", "",TOTALCO!N252)</f>
        <v/>
      </c>
      <c r="O1123" s="12" t="str">
        <f>IF(TOTALCO!O252="", "",TOTALCO!O252)</f>
        <v/>
      </c>
      <c r="P1123" s="12" t="str">
        <f>IF(TOTALCO!P252="", "",TOTALCO!P252)</f>
        <v/>
      </c>
      <c r="Q1123" s="12"/>
    </row>
    <row r="1124" spans="1:17" ht="15" x14ac:dyDescent="0.2">
      <c r="A1124" s="382">
        <f>IF(TOTALCO!A253="", "",TOTALCO!A253)</f>
        <v>1</v>
      </c>
      <c r="B1124" s="4" t="str">
        <f>IF(TOTALCO!B253="", "",TOTALCO!B253)</f>
        <v>440-RESIDENTIAL</v>
      </c>
      <c r="C1124" s="4" t="str">
        <f>IF(TOTALCO!C253="", "",TOTALCO!C253)</f>
        <v/>
      </c>
      <c r="D1124" s="12">
        <f>IF(TOTALCO!D253="", "",TOTALCO!D253)</f>
        <v>509303762.84999996</v>
      </c>
      <c r="E1124" s="12" t="str">
        <f>IF(TOTALCO!E253="", "",TOTALCO!E253)</f>
        <v/>
      </c>
      <c r="F1124" s="12">
        <f>IF(TOTALCO!F253="", "",TOTALCO!F253)</f>
        <v>476589863.13999999</v>
      </c>
      <c r="G1124" s="12" t="str">
        <f>IF(TOTALCO!G253="", "",TOTALCO!G253)</f>
        <v/>
      </c>
      <c r="H1124" s="12">
        <f>IF(TOTALCO!H253="", "",TOTALCO!H253)</f>
        <v>32707844.710000001</v>
      </c>
      <c r="I1124" s="12">
        <f>IF(TOTALCO!I253="", "",TOTALCO!I253)</f>
        <v>6055</v>
      </c>
      <c r="J1124" s="12" t="str">
        <f>IF(TOTALCO!J253="", "",TOTALCO!J253)</f>
        <v/>
      </c>
      <c r="K1124" s="12" t="str">
        <f>IF(TOTALCO!K253="", "",TOTALCO!K253)</f>
        <v/>
      </c>
      <c r="L1124" s="12">
        <f>IF(TOTALCO!L253="", "",TOTALCO!L253)</f>
        <v>6055</v>
      </c>
      <c r="M1124" s="12" t="str">
        <f>IF(TOTALCO!M253="", "",TOTALCO!M253)</f>
        <v/>
      </c>
      <c r="N1124" s="12">
        <f>IF(TOTALCO!N253="", "",TOTALCO!N253)</f>
        <v>0</v>
      </c>
      <c r="O1124" s="12">
        <f>IF(TOTALCO!O253="", "",TOTALCO!O253)</f>
        <v>0</v>
      </c>
      <c r="P1124" s="12">
        <f>IF(TOTALCO!P253="", "",TOTALCO!P253)</f>
        <v>0</v>
      </c>
      <c r="Q1124" s="12"/>
    </row>
    <row r="1125" spans="1:17" ht="15" x14ac:dyDescent="0.2">
      <c r="A1125" s="382">
        <f>IF(TOTALCO!A254="", "",TOTALCO!A254)</f>
        <v>2</v>
      </c>
      <c r="B1125" s="4" t="str">
        <f>IF(TOTALCO!B254="", "",TOTALCO!B254)</f>
        <v>442-SMALL COMMERCIAL</v>
      </c>
      <c r="C1125" s="4" t="str">
        <f>IF(TOTALCO!C254="", "",TOTALCO!C254)</f>
        <v/>
      </c>
      <c r="D1125" s="12">
        <f>IF(TOTALCO!D254="", "",TOTALCO!D254)</f>
        <v>181449246.41</v>
      </c>
      <c r="E1125" s="12" t="str">
        <f>IF(TOTALCO!E254="", "",TOTALCO!E254)</f>
        <v/>
      </c>
      <c r="F1125" s="12">
        <f>IF(TOTALCO!F254="", "",TOTALCO!F254)</f>
        <v>175113848.34</v>
      </c>
      <c r="G1125" s="12" t="str">
        <f>IF(TOTALCO!G254="", "",TOTALCO!G254)</f>
        <v/>
      </c>
      <c r="H1125" s="12">
        <f>IF(TOTALCO!H254="", "",TOTALCO!H254)</f>
        <v>6335398.0700000003</v>
      </c>
      <c r="I1125" s="12">
        <f>IF(TOTALCO!I254="", "",TOTALCO!I254)</f>
        <v>0</v>
      </c>
      <c r="J1125" s="12" t="str">
        <f>IF(TOTALCO!J254="", "",TOTALCO!J254)</f>
        <v/>
      </c>
      <c r="K1125" s="12" t="str">
        <f>IF(TOTALCO!K254="", "",TOTALCO!K254)</f>
        <v/>
      </c>
      <c r="L1125" s="12">
        <f>IF(TOTALCO!L254="", "",TOTALCO!L254)</f>
        <v>0</v>
      </c>
      <c r="M1125" s="12" t="str">
        <f>IF(TOTALCO!M254="", "",TOTALCO!M254)</f>
        <v/>
      </c>
      <c r="N1125" s="12">
        <f>IF(TOTALCO!N254="", "",TOTALCO!N254)</f>
        <v>0</v>
      </c>
      <c r="O1125" s="12">
        <f>IF(TOTALCO!O254="", "",TOTALCO!O254)</f>
        <v>0</v>
      </c>
      <c r="P1125" s="12">
        <f>IF(TOTALCO!P254="", "",TOTALCO!P254)</f>
        <v>0</v>
      </c>
      <c r="Q1125" s="12"/>
    </row>
    <row r="1126" spans="1:17" ht="15" x14ac:dyDescent="0.2">
      <c r="A1126" s="382">
        <f>IF(TOTALCO!A255="", "",TOTALCO!A255)</f>
        <v>3</v>
      </c>
      <c r="B1126" s="4" t="str">
        <f>IF(TOTALCO!B255="", "",TOTALCO!B255)</f>
        <v>442-LARGE COMMERCIAL</v>
      </c>
      <c r="C1126" s="4" t="str">
        <f>IF(TOTALCO!C255="", "",TOTALCO!C255)</f>
        <v/>
      </c>
      <c r="D1126" s="12">
        <f>IF(TOTALCO!D255="", "",TOTALCO!D255)</f>
        <v>159939302.09999999</v>
      </c>
      <c r="E1126" s="12" t="str">
        <f>IF(TOTALCO!E255="", "",TOTALCO!E255)</f>
        <v/>
      </c>
      <c r="F1126" s="12">
        <f>IF(TOTALCO!F255="", "",TOTALCO!F255)</f>
        <v>149946898.97</v>
      </c>
      <c r="G1126" s="12" t="str">
        <f>IF(TOTALCO!G255="", "",TOTALCO!G255)</f>
        <v/>
      </c>
      <c r="H1126" s="12">
        <f>IF(TOTALCO!H255="", "",TOTALCO!H255)</f>
        <v>9992403.1300000008</v>
      </c>
      <c r="I1126" s="12">
        <f>IF(TOTALCO!I255="", "",TOTALCO!I255)</f>
        <v>0</v>
      </c>
      <c r="J1126" s="12" t="str">
        <f>IF(TOTALCO!J255="", "",TOTALCO!J255)</f>
        <v/>
      </c>
      <c r="K1126" s="12" t="str">
        <f>IF(TOTALCO!K255="", "",TOTALCO!K255)</f>
        <v/>
      </c>
      <c r="L1126" s="12">
        <f>IF(TOTALCO!L255="", "",TOTALCO!L255)</f>
        <v>0</v>
      </c>
      <c r="M1126" s="12" t="str">
        <f>IF(TOTALCO!M255="", "",TOTALCO!M255)</f>
        <v/>
      </c>
      <c r="N1126" s="12">
        <f>IF(TOTALCO!N255="", "",TOTALCO!N255)</f>
        <v>0</v>
      </c>
      <c r="O1126" s="12">
        <f>IF(TOTALCO!O255="", "",TOTALCO!O255)</f>
        <v>0</v>
      </c>
      <c r="P1126" s="12">
        <f>IF(TOTALCO!P255="", "",TOTALCO!P255)</f>
        <v>0</v>
      </c>
      <c r="Q1126" s="12"/>
    </row>
    <row r="1127" spans="1:17" ht="15" x14ac:dyDescent="0.2">
      <c r="A1127" s="382">
        <f>IF(TOTALCO!A256="", "",TOTALCO!A256)</f>
        <v>4</v>
      </c>
      <c r="B1127" s="4" t="str">
        <f>IF(TOTALCO!B256="", "",TOTALCO!B256)</f>
        <v>442-INDUSTRIAL</v>
      </c>
      <c r="C1127" s="4" t="str">
        <f>IF(TOTALCO!C256="", "",TOTALCO!C256)</f>
        <v/>
      </c>
      <c r="D1127" s="12">
        <f>IF(TOTALCO!D256="", "",TOTALCO!D256)</f>
        <v>342664408.80000001</v>
      </c>
      <c r="E1127" s="12" t="str">
        <f>IF(TOTALCO!E256="", "",TOTALCO!E256)</f>
        <v/>
      </c>
      <c r="F1127" s="12">
        <f>IF(TOTALCO!F256="", "",TOTALCO!F256)</f>
        <v>339425792.10000002</v>
      </c>
      <c r="G1127" s="12" t="str">
        <f>IF(TOTALCO!G256="", "",TOTALCO!G256)</f>
        <v/>
      </c>
      <c r="H1127" s="12">
        <f>IF(TOTALCO!H256="", "",TOTALCO!H256)</f>
        <v>3238616.7</v>
      </c>
      <c r="I1127" s="12">
        <f>IF(TOTALCO!I256="", "",TOTALCO!I256)</f>
        <v>0</v>
      </c>
      <c r="J1127" s="12" t="str">
        <f>IF(TOTALCO!J256="", "",TOTALCO!J256)</f>
        <v/>
      </c>
      <c r="K1127" s="12" t="str">
        <f>IF(TOTALCO!K256="", "",TOTALCO!K256)</f>
        <v/>
      </c>
      <c r="L1127" s="12">
        <f>IF(TOTALCO!L256="", "",TOTALCO!L256)</f>
        <v>0</v>
      </c>
      <c r="M1127" s="12" t="str">
        <f>IF(TOTALCO!M256="", "",TOTALCO!M256)</f>
        <v/>
      </c>
      <c r="N1127" s="12">
        <f>IF(TOTALCO!N256="", "",TOTALCO!N256)</f>
        <v>0</v>
      </c>
      <c r="O1127" s="12">
        <f>IF(TOTALCO!O256="", "",TOTALCO!O256)</f>
        <v>0</v>
      </c>
      <c r="P1127" s="12">
        <f>IF(TOTALCO!P256="", "",TOTALCO!P256)</f>
        <v>0</v>
      </c>
      <c r="Q1127" s="12"/>
    </row>
    <row r="1128" spans="1:17" ht="15" x14ac:dyDescent="0.2">
      <c r="A1128" s="382">
        <f>IF(TOTALCO!A257="", "",TOTALCO!A257)</f>
        <v>5</v>
      </c>
      <c r="B1128" s="4" t="str">
        <f>IF(TOTALCO!B257="", "",TOTALCO!B257)</f>
        <v>442-MINE POWER</v>
      </c>
      <c r="C1128" s="4" t="str">
        <f>IF(TOTALCO!C257="", "",TOTALCO!C257)</f>
        <v/>
      </c>
      <c r="D1128" s="12">
        <f>IF(TOTALCO!D257="", "",TOTALCO!D257)</f>
        <v>43926568.659999996</v>
      </c>
      <c r="E1128" s="12" t="str">
        <f>IF(TOTALCO!E257="", "",TOTALCO!E257)</f>
        <v/>
      </c>
      <c r="F1128" s="12">
        <f>IF(TOTALCO!F257="", "",TOTALCO!F257)</f>
        <v>29838195.829999998</v>
      </c>
      <c r="G1128" s="12" t="str">
        <f>IF(TOTALCO!G257="", "",TOTALCO!G257)</f>
        <v/>
      </c>
      <c r="H1128" s="12">
        <f>IF(TOTALCO!H257="", "",TOTALCO!H257)</f>
        <v>14088372.83</v>
      </c>
      <c r="I1128" s="12">
        <f>IF(TOTALCO!I257="", "",TOTALCO!I257)</f>
        <v>0</v>
      </c>
      <c r="J1128" s="12" t="str">
        <f>IF(TOTALCO!J257="", "",TOTALCO!J257)</f>
        <v/>
      </c>
      <c r="K1128" s="12" t="str">
        <f>IF(TOTALCO!K257="", "",TOTALCO!K257)</f>
        <v/>
      </c>
      <c r="L1128" s="12">
        <f>IF(TOTALCO!L257="", "",TOTALCO!L257)</f>
        <v>0</v>
      </c>
      <c r="M1128" s="12" t="str">
        <f>IF(TOTALCO!M257="", "",TOTALCO!M257)</f>
        <v/>
      </c>
      <c r="N1128" s="12">
        <f>IF(TOTALCO!N257="", "",TOTALCO!N257)</f>
        <v>0</v>
      </c>
      <c r="O1128" s="12">
        <f>IF(TOTALCO!O257="", "",TOTALCO!O257)</f>
        <v>0</v>
      </c>
      <c r="P1128" s="12">
        <f>IF(TOTALCO!P257="", "",TOTALCO!P257)</f>
        <v>0</v>
      </c>
      <c r="Q1128" s="12"/>
    </row>
    <row r="1129" spans="1:17" ht="15" x14ac:dyDescent="0.2">
      <c r="A1129" s="382">
        <f>IF(TOTALCO!A258="", "",TOTALCO!A258)</f>
        <v>6</v>
      </c>
      <c r="B1129" s="4" t="str">
        <f>IF(TOTALCO!B258="", "",TOTALCO!B258)</f>
        <v>444-PUBLIC ST &amp; HWY LIGHTING</v>
      </c>
      <c r="C1129" s="4" t="str">
        <f>IF(TOTALCO!C258="", "",TOTALCO!C258)</f>
        <v/>
      </c>
      <c r="D1129" s="12">
        <f>IF(TOTALCO!D258="", "",TOTALCO!D258)</f>
        <v>10746104.729999999</v>
      </c>
      <c r="E1129" s="12" t="str">
        <f>IF(TOTALCO!E258="", "",TOTALCO!E258)</f>
        <v/>
      </c>
      <c r="F1129" s="12">
        <f>IF(TOTALCO!F258="", "",TOTALCO!F258)</f>
        <v>10423249.619999999</v>
      </c>
      <c r="G1129" s="12" t="str">
        <f>IF(TOTALCO!G258="", "",TOTALCO!G258)</f>
        <v/>
      </c>
      <c r="H1129" s="12">
        <f>IF(TOTALCO!H258="", "",TOTALCO!H258)</f>
        <v>322855.11</v>
      </c>
      <c r="I1129" s="12">
        <f>IF(TOTALCO!I258="", "",TOTALCO!I258)</f>
        <v>0</v>
      </c>
      <c r="J1129" s="12" t="str">
        <f>IF(TOTALCO!J258="", "",TOTALCO!J258)</f>
        <v/>
      </c>
      <c r="K1129" s="12" t="str">
        <f>IF(TOTALCO!K258="", "",TOTALCO!K258)</f>
        <v/>
      </c>
      <c r="L1129" s="12">
        <f>IF(TOTALCO!L258="", "",TOTALCO!L258)</f>
        <v>0</v>
      </c>
      <c r="M1129" s="12" t="str">
        <f>IF(TOTALCO!M258="", "",TOTALCO!M258)</f>
        <v/>
      </c>
      <c r="N1129" s="12">
        <f>IF(TOTALCO!N258="", "",TOTALCO!N258)</f>
        <v>0</v>
      </c>
      <c r="O1129" s="12">
        <f>IF(TOTALCO!O258="", "",TOTALCO!O258)</f>
        <v>0</v>
      </c>
      <c r="P1129" s="12">
        <f>IF(TOTALCO!P258="", "",TOTALCO!P258)</f>
        <v>0</v>
      </c>
      <c r="Q1129" s="12"/>
    </row>
    <row r="1130" spans="1:17" ht="15" x14ac:dyDescent="0.2">
      <c r="A1130" s="382">
        <f>IF(TOTALCO!A259="", "",TOTALCO!A259)</f>
        <v>7</v>
      </c>
      <c r="B1130" s="4" t="str">
        <f>IF(TOTALCO!B259="", "",TOTALCO!B259)</f>
        <v>445-OTHER PUBLIC AUTHORITIES</v>
      </c>
      <c r="C1130" s="4" t="str">
        <f>IF(TOTALCO!C259="", "",TOTALCO!C259)</f>
        <v/>
      </c>
      <c r="D1130" s="12">
        <f>IF(TOTALCO!D259="", "",TOTALCO!D259)</f>
        <v>111947307.06</v>
      </c>
      <c r="E1130" s="12" t="str">
        <f>IF(TOTALCO!E259="", "",TOTALCO!E259)</f>
        <v/>
      </c>
      <c r="F1130" s="12">
        <f>IF(TOTALCO!F259="", "",TOTALCO!F259)</f>
        <v>105659336.56</v>
      </c>
      <c r="G1130" s="12" t="str">
        <f>IF(TOTALCO!G259="", "",TOTALCO!G259)</f>
        <v/>
      </c>
      <c r="H1130" s="12">
        <f>IF(TOTALCO!H259="", "",TOTALCO!H259)</f>
        <v>6287970.5</v>
      </c>
      <c r="I1130" s="12">
        <f>IF(TOTALCO!I259="", "",TOTALCO!I259)</f>
        <v>0</v>
      </c>
      <c r="J1130" s="12" t="str">
        <f>IF(TOTALCO!J259="", "",TOTALCO!J259)</f>
        <v/>
      </c>
      <c r="K1130" s="12" t="str">
        <f>IF(TOTALCO!K259="", "",TOTALCO!K259)</f>
        <v/>
      </c>
      <c r="L1130" s="12">
        <f>IF(TOTALCO!L259="", "",TOTALCO!L259)</f>
        <v>0</v>
      </c>
      <c r="M1130" s="12" t="str">
        <f>IF(TOTALCO!M259="", "",TOTALCO!M259)</f>
        <v/>
      </c>
      <c r="N1130" s="12">
        <f>IF(TOTALCO!N259="", "",TOTALCO!N259)</f>
        <v>0</v>
      </c>
      <c r="O1130" s="12">
        <f>IF(TOTALCO!O259="", "",TOTALCO!O259)</f>
        <v>0</v>
      </c>
      <c r="P1130" s="12">
        <f>IF(TOTALCO!P259="", "",TOTALCO!P259)</f>
        <v>0</v>
      </c>
      <c r="Q1130" s="12"/>
    </row>
    <row r="1131" spans="1:17" ht="15" x14ac:dyDescent="0.2">
      <c r="A1131" s="382">
        <f>IF(TOTALCO!A260="", "",TOTALCO!A260)</f>
        <v>8</v>
      </c>
      <c r="B1131" s="4" t="str">
        <f>IF(TOTALCO!B260="", "",TOTALCO!B260)</f>
        <v>445-MUNICIPAL PUMPING</v>
      </c>
      <c r="C1131" s="4" t="str">
        <f>IF(TOTALCO!C260="", "",TOTALCO!C260)</f>
        <v/>
      </c>
      <c r="D1131" s="12">
        <f>IF(TOTALCO!D260="", "",TOTALCO!D260)</f>
        <v>4874900.92</v>
      </c>
      <c r="E1131" s="12" t="str">
        <f>IF(TOTALCO!E260="", "",TOTALCO!E260)</f>
        <v/>
      </c>
      <c r="F1131" s="12">
        <f>IF(TOTALCO!F260="", "",TOTALCO!F260)</f>
        <v>4703886.5199999996</v>
      </c>
      <c r="G1131" s="12" t="str">
        <f>IF(TOTALCO!G260="", "",TOTALCO!G260)</f>
        <v/>
      </c>
      <c r="H1131" s="12">
        <f>IF(TOTALCO!H260="", "",TOTALCO!H260)</f>
        <v>171014.39999999999</v>
      </c>
      <c r="I1131" s="12">
        <f>IF(TOTALCO!I260="", "",TOTALCO!I260)</f>
        <v>0</v>
      </c>
      <c r="J1131" s="12" t="str">
        <f>IF(TOTALCO!J260="", "",TOTALCO!J260)</f>
        <v/>
      </c>
      <c r="K1131" s="12" t="str">
        <f>IF(TOTALCO!K260="", "",TOTALCO!K260)</f>
        <v/>
      </c>
      <c r="L1131" s="12">
        <f>IF(TOTALCO!L260="", "",TOTALCO!L260)</f>
        <v>0</v>
      </c>
      <c r="M1131" s="12" t="str">
        <f>IF(TOTALCO!M260="", "",TOTALCO!M260)</f>
        <v/>
      </c>
      <c r="N1131" s="12">
        <f>IF(TOTALCO!N260="", "",TOTALCO!N260)</f>
        <v>0</v>
      </c>
      <c r="O1131" s="12">
        <f>IF(TOTALCO!O260="", "",TOTALCO!O260)</f>
        <v>0</v>
      </c>
      <c r="P1131" s="12">
        <f>IF(TOTALCO!P260="", "",TOTALCO!P260)</f>
        <v>0</v>
      </c>
      <c r="Q1131" s="12"/>
    </row>
    <row r="1132" spans="1:17" ht="15" x14ac:dyDescent="0.2">
      <c r="A1132" s="382">
        <f>IF(TOTALCO!A261="", "",TOTALCO!A261)</f>
        <v>9</v>
      </c>
      <c r="B1132" s="4" t="str">
        <f>IF(TOTALCO!B261="", "",TOTALCO!B261)</f>
        <v>447-SALES FOR RESALE-MUNICIPAL WHOLESALE</v>
      </c>
      <c r="C1132" s="4" t="str">
        <f>IF(TOTALCO!C261="", "",TOTALCO!C261)</f>
        <v/>
      </c>
      <c r="D1132" s="12">
        <f>IF(TOTALCO!D261="", "",TOTALCO!D261)</f>
        <v>98298884.889999986</v>
      </c>
      <c r="E1132" s="12" t="str">
        <f>IF(TOTALCO!E261="", "",TOTALCO!E261)</f>
        <v/>
      </c>
      <c r="F1132" s="12">
        <f>IF(TOTALCO!F261="", "",TOTALCO!F261)</f>
        <v>0</v>
      </c>
      <c r="G1132" s="12" t="str">
        <f>IF(TOTALCO!G261="", "",TOTALCO!G261)</f>
        <v/>
      </c>
      <c r="H1132" s="12">
        <f>IF(TOTALCO!H261="", "",TOTALCO!H261)</f>
        <v>0</v>
      </c>
      <c r="I1132" s="12">
        <f>IF(TOTALCO!I261="", "",TOTALCO!I261)</f>
        <v>98298884.889999986</v>
      </c>
      <c r="J1132" s="12" t="str">
        <f>IF(TOTALCO!J261="", "",TOTALCO!J261)</f>
        <v/>
      </c>
      <c r="K1132" s="12" t="str">
        <f>IF(TOTALCO!K261="", "",TOTALCO!K261)</f>
        <v/>
      </c>
      <c r="L1132" s="12">
        <f>IF(TOTALCO!L261="", "",TOTALCO!L261)</f>
        <v>0</v>
      </c>
      <c r="M1132" s="12" t="str">
        <f>IF(TOTALCO!M261="", "",TOTALCO!M261)</f>
        <v/>
      </c>
      <c r="N1132" s="12">
        <f>IF(TOTALCO!N261="", "",TOTALCO!N261)</f>
        <v>98298884.889999986</v>
      </c>
      <c r="O1132" s="12">
        <f>IF(TOTALCO!O261="", "",TOTALCO!O261)</f>
        <v>31838591.359999999</v>
      </c>
      <c r="P1132" s="12">
        <f>IF(TOTALCO!P261="", "",TOTALCO!P261)</f>
        <v>66460293.529999994</v>
      </c>
      <c r="Q1132" s="12"/>
    </row>
    <row r="1133" spans="1:17" ht="15" x14ac:dyDescent="0.2">
      <c r="A1133" s="382">
        <f>IF(TOTALCO!A262="", "",TOTALCO!A262)</f>
        <v>10</v>
      </c>
      <c r="B1133" s="4" t="str">
        <f>IF(TOTALCO!B262="", "",TOTALCO!B262)</f>
        <v>ANNUALIZATION</v>
      </c>
      <c r="C1133" s="4" t="str">
        <f>IF(TOTALCO!C262="", "",TOTALCO!C262)</f>
        <v/>
      </c>
      <c r="D1133" s="12">
        <f>IF(TOTALCO!D262="", "",TOTALCO!D262)</f>
        <v>0</v>
      </c>
      <c r="E1133" s="12" t="str">
        <f>IF(TOTALCO!E262="", "",TOTALCO!E262)</f>
        <v/>
      </c>
      <c r="F1133" s="12">
        <f>IF(TOTALCO!F262="", "",TOTALCO!F262)</f>
        <v>0</v>
      </c>
      <c r="G1133" s="12" t="str">
        <f>IF(TOTALCO!G262="", "",TOTALCO!G262)</f>
        <v/>
      </c>
      <c r="H1133" s="12">
        <f>IF(TOTALCO!H262="", "",TOTALCO!H262)</f>
        <v>0</v>
      </c>
      <c r="I1133" s="12">
        <f>IF(TOTALCO!I262="", "",TOTALCO!I262)</f>
        <v>0</v>
      </c>
      <c r="J1133" s="12" t="str">
        <f>IF(TOTALCO!J262="", "",TOTALCO!J262)</f>
        <v/>
      </c>
      <c r="K1133" s="12" t="str">
        <f>IF(TOTALCO!K262="", "",TOTALCO!K262)</f>
        <v/>
      </c>
      <c r="L1133" s="12">
        <f>IF(TOTALCO!L262="", "",TOTALCO!L262)</f>
        <v>0</v>
      </c>
      <c r="M1133" s="12" t="str">
        <f>IF(TOTALCO!M262="", "",TOTALCO!M262)</f>
        <v/>
      </c>
      <c r="N1133" s="12">
        <f>IF(TOTALCO!N262="", "",TOTALCO!N262)</f>
        <v>0</v>
      </c>
      <c r="O1133" s="12">
        <f>IF(TOTALCO!O262="", "",TOTALCO!O262)</f>
        <v>0</v>
      </c>
      <c r="P1133" s="12">
        <f>IF(TOTALCO!P262="", "",TOTALCO!P262)</f>
        <v>0</v>
      </c>
      <c r="Q1133" s="12"/>
    </row>
    <row r="1134" spans="1:17" ht="15" x14ac:dyDescent="0.2">
      <c r="A1134" s="382">
        <f>IF(TOTALCO!A263="", "",TOTALCO!A263)</f>
        <v>11</v>
      </c>
      <c r="B1134" s="4" t="str">
        <f>IF(TOTALCO!B263="", "",TOTALCO!B263)</f>
        <v>449-PROVISION FOR RATE REFUND</v>
      </c>
      <c r="C1134" s="4" t="str">
        <f>IF(TOTALCO!C263="", "",TOTALCO!C263)</f>
        <v/>
      </c>
      <c r="D1134" s="12">
        <f>IF(TOTALCO!D263="", "",TOTALCO!D263)</f>
        <v>0</v>
      </c>
      <c r="E1134" s="12" t="str">
        <f>IF(TOTALCO!E263="", "",TOTALCO!E263)</f>
        <v/>
      </c>
      <c r="F1134" s="12">
        <f>IF(TOTALCO!F263="", "",TOTALCO!F263)</f>
        <v>0</v>
      </c>
      <c r="G1134" s="12" t="str">
        <f>IF(TOTALCO!G263="", "",TOTALCO!G263)</f>
        <v/>
      </c>
      <c r="H1134" s="12">
        <f>IF(TOTALCO!H263="", "",TOTALCO!H263)</f>
        <v>0</v>
      </c>
      <c r="I1134" s="12">
        <f>IF(TOTALCO!I263="", "",TOTALCO!I263)</f>
        <v>0</v>
      </c>
      <c r="J1134" s="12" t="str">
        <f>IF(TOTALCO!J263="", "",TOTALCO!J263)</f>
        <v/>
      </c>
      <c r="K1134" s="12" t="str">
        <f>IF(TOTALCO!K263="", "",TOTALCO!K263)</f>
        <v/>
      </c>
      <c r="L1134" s="12">
        <f>IF(TOTALCO!L263="", "",TOTALCO!L263)</f>
        <v>0</v>
      </c>
      <c r="M1134" s="12" t="str">
        <f>IF(TOTALCO!M263="", "",TOTALCO!M263)</f>
        <v/>
      </c>
      <c r="N1134" s="12">
        <f>IF(TOTALCO!N263="", "",TOTALCO!N263)</f>
        <v>0</v>
      </c>
      <c r="O1134" s="12">
        <f>IF(TOTALCO!O263="", "",TOTALCO!O263)</f>
        <v>0</v>
      </c>
      <c r="P1134" s="12">
        <f>IF(TOTALCO!P263="", "",TOTALCO!P263)</f>
        <v>0</v>
      </c>
      <c r="Q1134" s="12"/>
    </row>
    <row r="1135" spans="1:17" ht="15" x14ac:dyDescent="0.2">
      <c r="A1135" s="382">
        <f>IF(TOTALCO!A264="", "",TOTALCO!A264)</f>
        <v>12</v>
      </c>
      <c r="B1135" s="4" t="str">
        <f>IF(TOTALCO!B264="", "",TOTALCO!B264)</f>
        <v/>
      </c>
      <c r="C1135" s="4" t="str">
        <f>IF(TOTALCO!C264="", "",TOTALCO!C264)</f>
        <v/>
      </c>
      <c r="D1135" s="12" t="str">
        <f>IF(TOTALCO!D264="", "",TOTALCO!D264)</f>
        <v/>
      </c>
      <c r="E1135" s="12" t="str">
        <f>IF(TOTALCO!E264="", "",TOTALCO!E264)</f>
        <v/>
      </c>
      <c r="F1135" s="12" t="str">
        <f>IF(TOTALCO!F264="", "",TOTALCO!F264)</f>
        <v/>
      </c>
      <c r="G1135" s="12" t="str">
        <f>IF(TOTALCO!G264="", "",TOTALCO!G264)</f>
        <v/>
      </c>
      <c r="H1135" s="12" t="str">
        <f>IF(TOTALCO!H264="", "",TOTALCO!H264)</f>
        <v/>
      </c>
      <c r="I1135" s="12" t="str">
        <f>IF(TOTALCO!I264="", "",TOTALCO!I264)</f>
        <v/>
      </c>
      <c r="J1135" s="12" t="str">
        <f>IF(TOTALCO!J264="", "",TOTALCO!J264)</f>
        <v/>
      </c>
      <c r="K1135" s="12" t="str">
        <f>IF(TOTALCO!K264="", "",TOTALCO!K264)</f>
        <v/>
      </c>
      <c r="L1135" s="12" t="str">
        <f>IF(TOTALCO!L264="", "",TOTALCO!L264)</f>
        <v/>
      </c>
      <c r="M1135" s="12" t="str">
        <f>IF(TOTALCO!M264="", "",TOTALCO!M264)</f>
        <v/>
      </c>
      <c r="N1135" s="12" t="str">
        <f>IF(TOTALCO!N264="", "",TOTALCO!N264)</f>
        <v/>
      </c>
      <c r="O1135" s="12" t="str">
        <f>IF(TOTALCO!O264="", "",TOTALCO!O264)</f>
        <v/>
      </c>
      <c r="P1135" s="12" t="str">
        <f>IF(TOTALCO!P264="", "",TOTALCO!P264)</f>
        <v/>
      </c>
      <c r="Q1135" s="12"/>
    </row>
    <row r="1136" spans="1:17" ht="15" x14ac:dyDescent="0.2">
      <c r="A1136" s="382">
        <f>IF(TOTALCO!A265="", "",TOTALCO!A265)</f>
        <v>13</v>
      </c>
      <c r="B1136" s="4" t="str">
        <f>IF(TOTALCO!B265="", "",TOTALCO!B265)</f>
        <v/>
      </c>
      <c r="C1136" s="4" t="str">
        <f>IF(TOTALCO!C265="", "",TOTALCO!C265)</f>
        <v/>
      </c>
      <c r="D1136" s="12" t="str">
        <f>IF(TOTALCO!D265="", "",TOTALCO!D265)</f>
        <v/>
      </c>
      <c r="E1136" s="12" t="str">
        <f>IF(TOTALCO!E265="", "",TOTALCO!E265)</f>
        <v/>
      </c>
      <c r="F1136" s="12" t="str">
        <f>IF(TOTALCO!F265="", "",TOTALCO!F265)</f>
        <v/>
      </c>
      <c r="G1136" s="12" t="str">
        <f>IF(TOTALCO!G265="", "",TOTALCO!G265)</f>
        <v/>
      </c>
      <c r="H1136" s="12" t="str">
        <f>IF(TOTALCO!H265="", "",TOTALCO!H265)</f>
        <v/>
      </c>
      <c r="I1136" s="12" t="str">
        <f>IF(TOTALCO!I265="", "",TOTALCO!I265)</f>
        <v/>
      </c>
      <c r="J1136" s="12" t="str">
        <f>IF(TOTALCO!J265="", "",TOTALCO!J265)</f>
        <v/>
      </c>
      <c r="K1136" s="12" t="str">
        <f>IF(TOTALCO!K265="", "",TOTALCO!K265)</f>
        <v/>
      </c>
      <c r="L1136" s="12" t="str">
        <f>IF(TOTALCO!L265="", "",TOTALCO!L265)</f>
        <v/>
      </c>
      <c r="M1136" s="12" t="str">
        <f>IF(TOTALCO!M265="", "",TOTALCO!M265)</f>
        <v/>
      </c>
      <c r="N1136" s="12" t="str">
        <f>IF(TOTALCO!N265="", "",TOTALCO!N265)</f>
        <v/>
      </c>
      <c r="O1136" s="12" t="str">
        <f>IF(TOTALCO!O265="", "",TOTALCO!O265)</f>
        <v/>
      </c>
      <c r="P1136" s="12" t="str">
        <f>IF(TOTALCO!P265="", "",TOTALCO!P265)</f>
        <v/>
      </c>
      <c r="Q1136" s="12"/>
    </row>
    <row r="1137" spans="1:17" ht="15" x14ac:dyDescent="0.2">
      <c r="A1137" s="382" t="str">
        <f>IF(TOTALCO!A266="", "",TOTALCO!A266)</f>
        <v/>
      </c>
      <c r="B1137" s="4" t="str">
        <f>IF(TOTALCO!B266="", "",TOTALCO!B266)</f>
        <v/>
      </c>
      <c r="C1137" s="4" t="str">
        <f>IF(TOTALCO!C266="", "",TOTALCO!C266)</f>
        <v/>
      </c>
      <c r="D1137" s="12" t="str">
        <f>IF(TOTALCO!D266="", "",TOTALCO!D266)</f>
        <v/>
      </c>
      <c r="E1137" s="12" t="str">
        <f>IF(TOTALCO!E266="", "",TOTALCO!E266)</f>
        <v/>
      </c>
      <c r="F1137" s="12" t="str">
        <f>IF(TOTALCO!F266="", "",TOTALCO!F266)</f>
        <v/>
      </c>
      <c r="G1137" s="12" t="str">
        <f>IF(TOTALCO!G266="", "",TOTALCO!G266)</f>
        <v/>
      </c>
      <c r="H1137" s="12" t="str">
        <f>IF(TOTALCO!H266="", "",TOTALCO!H266)</f>
        <v/>
      </c>
      <c r="I1137" s="12" t="str">
        <f>IF(TOTALCO!I266="", "",TOTALCO!I266)</f>
        <v/>
      </c>
      <c r="J1137" s="12" t="str">
        <f>IF(TOTALCO!J266="", "",TOTALCO!J266)</f>
        <v/>
      </c>
      <c r="K1137" s="12" t="str">
        <f>IF(TOTALCO!K266="", "",TOTALCO!K266)</f>
        <v/>
      </c>
      <c r="L1137" s="12" t="str">
        <f>IF(TOTALCO!L266="", "",TOTALCO!L266)</f>
        <v/>
      </c>
      <c r="M1137" s="12" t="str">
        <f>IF(TOTALCO!M266="", "",TOTALCO!M266)</f>
        <v/>
      </c>
      <c r="N1137" s="12" t="str">
        <f>IF(TOTALCO!N266="", "",TOTALCO!N266)</f>
        <v/>
      </c>
      <c r="O1137" s="12" t="str">
        <f>IF(TOTALCO!O266="", "",TOTALCO!O266)</f>
        <v/>
      </c>
      <c r="P1137" s="12" t="str">
        <f>IF(TOTALCO!P266="", "",TOTALCO!P266)</f>
        <v/>
      </c>
      <c r="Q1137" s="12"/>
    </row>
    <row r="1138" spans="1:17" ht="15" x14ac:dyDescent="0.2">
      <c r="A1138" s="382" t="str">
        <f>IF(TOTALCO!A267="", "",TOTALCO!A267)</f>
        <v/>
      </c>
      <c r="B1138" s="4" t="str">
        <f>IF(TOTALCO!B267="", "",TOTALCO!B267)</f>
        <v/>
      </c>
      <c r="C1138" s="4" t="str">
        <f>IF(TOTALCO!C267="", "",TOTALCO!C267)</f>
        <v/>
      </c>
      <c r="D1138" s="4" t="str">
        <f>IF(TOTALCO!D267="", "",TOTALCO!D267)</f>
        <v/>
      </c>
      <c r="E1138" s="4" t="str">
        <f>IF(TOTALCO!E267="", "",TOTALCO!E267)</f>
        <v/>
      </c>
      <c r="F1138" s="4" t="str">
        <f>IF(TOTALCO!F267="", "",TOTALCO!F267)</f>
        <v/>
      </c>
      <c r="G1138" s="4" t="str">
        <f>IF(TOTALCO!G267="", "",TOTALCO!G267)</f>
        <v/>
      </c>
      <c r="H1138" s="4" t="str">
        <f>IF(TOTALCO!H267="", "",TOTALCO!H267)</f>
        <v/>
      </c>
      <c r="I1138" s="4" t="str">
        <f>IF(TOTALCO!I267="", "",TOTALCO!I267)</f>
        <v/>
      </c>
      <c r="J1138" s="4" t="str">
        <f>IF(TOTALCO!J267="", "",TOTALCO!J267)</f>
        <v/>
      </c>
      <c r="K1138" s="4" t="str">
        <f>IF(TOTALCO!K267="", "",TOTALCO!K267)</f>
        <v/>
      </c>
      <c r="L1138" s="4" t="str">
        <f>IF(TOTALCO!L267="", "",TOTALCO!L267)</f>
        <v/>
      </c>
      <c r="M1138" s="4" t="str">
        <f>IF(TOTALCO!M267="", "",TOTALCO!M267)</f>
        <v/>
      </c>
      <c r="N1138" s="4" t="str">
        <f>IF(TOTALCO!N267="", "",TOTALCO!N267)</f>
        <v/>
      </c>
      <c r="O1138" s="4" t="str">
        <f>IF(TOTALCO!O267="", "",TOTALCO!O267)</f>
        <v/>
      </c>
      <c r="P1138" s="4" t="str">
        <f>IF(TOTALCO!P267="", "",TOTALCO!P267)</f>
        <v/>
      </c>
      <c r="Q1138" s="4"/>
    </row>
    <row r="1139" spans="1:17" ht="15" x14ac:dyDescent="0.2">
      <c r="A1139" s="382" t="str">
        <f>IF(TOTALCO!A268="", "",TOTALCO!A268)</f>
        <v/>
      </c>
      <c r="B1139" s="4" t="str">
        <f>IF(TOTALCO!B268="", "",TOTALCO!B268)</f>
        <v/>
      </c>
      <c r="C1139" s="4" t="str">
        <f>IF(TOTALCO!C268="", "",TOTALCO!C268)</f>
        <v/>
      </c>
      <c r="D1139" s="4" t="str">
        <f>IF(TOTALCO!D268="", "",TOTALCO!D268)</f>
        <v/>
      </c>
      <c r="E1139" s="4" t="str">
        <f>IF(TOTALCO!E268="", "",TOTALCO!E268)</f>
        <v/>
      </c>
      <c r="F1139" s="4" t="str">
        <f>IF(TOTALCO!F268="", "",TOTALCO!F268)</f>
        <v/>
      </c>
      <c r="G1139" s="4" t="str">
        <f>IF(TOTALCO!G268="", "",TOTALCO!G268)</f>
        <v/>
      </c>
      <c r="H1139" s="4" t="str">
        <f>IF(TOTALCO!H268="", "",TOTALCO!H268)</f>
        <v/>
      </c>
      <c r="I1139" s="4" t="str">
        <f>IF(TOTALCO!I268="", "",TOTALCO!I268)</f>
        <v/>
      </c>
      <c r="J1139" s="4" t="str">
        <f>IF(TOTALCO!J268="", "",TOTALCO!J268)</f>
        <v/>
      </c>
      <c r="K1139" s="4" t="str">
        <f>IF(TOTALCO!K268="", "",TOTALCO!K268)</f>
        <v/>
      </c>
      <c r="L1139" s="4" t="str">
        <f>IF(TOTALCO!L268="", "",TOTALCO!L268)</f>
        <v/>
      </c>
      <c r="M1139" s="4" t="str">
        <f>IF(TOTALCO!M268="", "",TOTALCO!M268)</f>
        <v/>
      </c>
      <c r="N1139" s="4" t="str">
        <f>IF(TOTALCO!N268="", "",TOTALCO!N268)</f>
        <v/>
      </c>
      <c r="O1139" s="4" t="str">
        <f>IF(TOTALCO!O268="", "",TOTALCO!O268)</f>
        <v/>
      </c>
      <c r="P1139" s="4" t="str">
        <f>IF(TOTALCO!P268="", "",TOTALCO!P268)</f>
        <v/>
      </c>
      <c r="Q1139" s="4"/>
    </row>
    <row r="1140" spans="1:17" ht="15" x14ac:dyDescent="0.2">
      <c r="A1140" s="382" t="str">
        <f>IF(TOTALCO!A269="", "",TOTALCO!A269)</f>
        <v/>
      </c>
      <c r="B1140" s="4" t="str">
        <f>IF(TOTALCO!B269="", "",TOTALCO!B269)</f>
        <v/>
      </c>
      <c r="C1140" s="4" t="str">
        <f>IF(TOTALCO!C269="", "",TOTALCO!C269)</f>
        <v/>
      </c>
      <c r="D1140" s="4" t="str">
        <f>IF(TOTALCO!D269="", "",TOTALCO!D269)</f>
        <v/>
      </c>
      <c r="E1140" s="4" t="str">
        <f>IF(TOTALCO!E269="", "",TOTALCO!E269)</f>
        <v/>
      </c>
      <c r="F1140" s="4" t="str">
        <f>IF(TOTALCO!F269="", "",TOTALCO!F269)</f>
        <v/>
      </c>
      <c r="G1140" s="4" t="str">
        <f>IF(TOTALCO!G269="", "",TOTALCO!G269)</f>
        <v/>
      </c>
      <c r="H1140" s="4" t="str">
        <f>IF(TOTALCO!H269="", "",TOTALCO!H269)</f>
        <v/>
      </c>
      <c r="I1140" s="4" t="str">
        <f>IF(TOTALCO!I269="", "",TOTALCO!I269)</f>
        <v/>
      </c>
      <c r="J1140" s="4" t="str">
        <f>IF(TOTALCO!J269="", "",TOTALCO!J269)</f>
        <v/>
      </c>
      <c r="K1140" s="4" t="str">
        <f>IF(TOTALCO!K269="", "",TOTALCO!K269)</f>
        <v/>
      </c>
      <c r="L1140" s="4" t="str">
        <f>IF(TOTALCO!L269="", "",TOTALCO!L269)</f>
        <v/>
      </c>
      <c r="M1140" s="4" t="str">
        <f>IF(TOTALCO!M269="", "",TOTALCO!M269)</f>
        <v/>
      </c>
      <c r="N1140" s="4" t="str">
        <f>IF(TOTALCO!N269="", "",TOTALCO!N269)</f>
        <v/>
      </c>
      <c r="O1140" s="4" t="str">
        <f>IF(TOTALCO!O269="", "",TOTALCO!O269)</f>
        <v/>
      </c>
      <c r="P1140" s="4" t="str">
        <f>IF(TOTALCO!P269="", "",TOTALCO!P269)</f>
        <v/>
      </c>
      <c r="Q1140" s="4"/>
    </row>
    <row r="1141" spans="1:17" ht="15" x14ac:dyDescent="0.2">
      <c r="A1141" s="382" t="str">
        <f>IF(TOTALCO!A270="", "",TOTALCO!A270)</f>
        <v/>
      </c>
      <c r="B1141" s="4" t="str">
        <f>IF(TOTALCO!B270="", "",TOTALCO!B270)</f>
        <v/>
      </c>
      <c r="C1141" s="4" t="str">
        <f>IF(TOTALCO!C270="", "",TOTALCO!C270)</f>
        <v/>
      </c>
      <c r="D1141" s="4" t="str">
        <f>IF(TOTALCO!D270="", "",TOTALCO!D270)</f>
        <v/>
      </c>
      <c r="E1141" s="4" t="str">
        <f>IF(TOTALCO!E270="", "",TOTALCO!E270)</f>
        <v/>
      </c>
      <c r="F1141" s="4" t="str">
        <f>IF(TOTALCO!F270="", "",TOTALCO!F270)</f>
        <v/>
      </c>
      <c r="G1141" s="4" t="str">
        <f>IF(TOTALCO!G270="", "",TOTALCO!G270)</f>
        <v/>
      </c>
      <c r="H1141" s="4" t="str">
        <f>IF(TOTALCO!H270="", "",TOTALCO!H270)</f>
        <v/>
      </c>
      <c r="I1141" s="4" t="str">
        <f>IF(TOTALCO!I270="", "",TOTALCO!I270)</f>
        <v/>
      </c>
      <c r="J1141" s="4" t="str">
        <f>IF(TOTALCO!J270="", "",TOTALCO!J270)</f>
        <v/>
      </c>
      <c r="K1141" s="4" t="str">
        <f>IF(TOTALCO!K270="", "",TOTALCO!K270)</f>
        <v/>
      </c>
      <c r="L1141" s="4" t="str">
        <f>IF(TOTALCO!L270="", "",TOTALCO!L270)</f>
        <v/>
      </c>
      <c r="M1141" s="4" t="str">
        <f>IF(TOTALCO!M270="", "",TOTALCO!M270)</f>
        <v/>
      </c>
      <c r="N1141" s="4" t="str">
        <f>IF(TOTALCO!N270="", "",TOTALCO!N270)</f>
        <v/>
      </c>
      <c r="O1141" s="4" t="str">
        <f>IF(TOTALCO!O270="", "",TOTALCO!O270)</f>
        <v/>
      </c>
      <c r="P1141" s="4" t="str">
        <f>IF(TOTALCO!P270="", "",TOTALCO!P270)</f>
        <v/>
      </c>
      <c r="Q1141" s="4"/>
    </row>
    <row r="1142" spans="1:17" ht="15" x14ac:dyDescent="0.2">
      <c r="A1142" s="382" t="str">
        <f>IF(TOTALCO!A271="", "",TOTALCO!A271)</f>
        <v/>
      </c>
      <c r="B1142" s="4" t="str">
        <f>IF(TOTALCO!B271="", "",TOTALCO!B271)</f>
        <v>RATIO TABLE</v>
      </c>
      <c r="C1142" s="4" t="str">
        <f>IF(TOTALCO!C271="", "",TOTALCO!C271)</f>
        <v/>
      </c>
      <c r="D1142" s="4" t="str">
        <f>IF(TOTALCO!D271="", "",TOTALCO!D271)</f>
        <v/>
      </c>
      <c r="E1142" s="4" t="str">
        <f>IF(TOTALCO!E271="", "",TOTALCO!E271)</f>
        <v/>
      </c>
      <c r="F1142" s="4" t="str">
        <f>IF(TOTALCO!F271="", "",TOTALCO!F271)</f>
        <v/>
      </c>
      <c r="G1142" s="4" t="str">
        <f>IF(TOTALCO!G271="", "",TOTALCO!G271)</f>
        <v/>
      </c>
      <c r="H1142" s="4" t="str">
        <f>IF(TOTALCO!H271="", "",TOTALCO!H271)</f>
        <v/>
      </c>
      <c r="I1142" s="4" t="str">
        <f>IF(TOTALCO!I271="", "",TOTALCO!I271)</f>
        <v/>
      </c>
      <c r="J1142" s="4" t="str">
        <f>IF(TOTALCO!J271="", "",TOTALCO!J271)</f>
        <v/>
      </c>
      <c r="K1142" s="4" t="str">
        <f>IF(TOTALCO!K271="", "",TOTALCO!K271)</f>
        <v/>
      </c>
      <c r="L1142" s="4" t="str">
        <f>IF(TOTALCO!L271="", "",TOTALCO!L271)</f>
        <v/>
      </c>
      <c r="M1142" s="4" t="str">
        <f>IF(TOTALCO!M271="", "",TOTALCO!M271)</f>
        <v/>
      </c>
      <c r="N1142" s="4" t="str">
        <f>IF(TOTALCO!N271="", "",TOTALCO!N271)</f>
        <v/>
      </c>
      <c r="O1142" s="4" t="str">
        <f>IF(TOTALCO!O271="", "",TOTALCO!O271)</f>
        <v/>
      </c>
      <c r="P1142" s="4" t="str">
        <f>IF(TOTALCO!P271="", "",TOTALCO!P271)</f>
        <v/>
      </c>
      <c r="Q1142" s="4"/>
    </row>
    <row r="1143" spans="1:17" ht="15" x14ac:dyDescent="0.2">
      <c r="A1143" s="382" t="str">
        <f>IF(TOTALCO!A272="", "",TOTALCO!A272)</f>
        <v/>
      </c>
      <c r="B1143" s="4" t="str">
        <f>IF(TOTALCO!B272="", "",TOTALCO!B272)</f>
        <v/>
      </c>
      <c r="C1143" s="4" t="str">
        <f>IF(TOTALCO!C272="", "",TOTALCO!C272)</f>
        <v/>
      </c>
      <c r="D1143" s="4" t="str">
        <f>IF(TOTALCO!D272="", "",TOTALCO!D272)</f>
        <v/>
      </c>
      <c r="E1143" s="4" t="str">
        <f>IF(TOTALCO!E272="", "",TOTALCO!E272)</f>
        <v/>
      </c>
      <c r="F1143" s="4" t="str">
        <f>IF(TOTALCO!F272="", "",TOTALCO!F272)</f>
        <v/>
      </c>
      <c r="G1143" s="4" t="str">
        <f>IF(TOTALCO!G272="", "",TOTALCO!G272)</f>
        <v/>
      </c>
      <c r="H1143" s="4" t="str">
        <f>IF(TOTALCO!H272="", "",TOTALCO!H272)</f>
        <v/>
      </c>
      <c r="I1143" s="4" t="str">
        <f>IF(TOTALCO!I272="", "",TOTALCO!I272)</f>
        <v/>
      </c>
      <c r="J1143" s="4" t="str">
        <f>IF(TOTALCO!J272="", "",TOTALCO!J272)</f>
        <v/>
      </c>
      <c r="K1143" s="4" t="str">
        <f>IF(TOTALCO!K272="", "",TOTALCO!K272)</f>
        <v/>
      </c>
      <c r="L1143" s="4" t="str">
        <f>IF(TOTALCO!L272="", "",TOTALCO!L272)</f>
        <v/>
      </c>
      <c r="M1143" s="4" t="str">
        <f>IF(TOTALCO!M272="", "",TOTALCO!M272)</f>
        <v/>
      </c>
      <c r="N1143" s="4" t="str">
        <f>IF(TOTALCO!N272="", "",TOTALCO!N272)</f>
        <v/>
      </c>
      <c r="O1143" s="4" t="str">
        <f>IF(TOTALCO!O272="", "",TOTALCO!O272)</f>
        <v/>
      </c>
      <c r="P1143" s="4" t="str">
        <f>IF(TOTALCO!P272="", "",TOTALCO!P272)</f>
        <v/>
      </c>
      <c r="Q1143" s="4"/>
    </row>
    <row r="1144" spans="1:17" ht="15" x14ac:dyDescent="0.2">
      <c r="A1144" s="382" t="str">
        <f>IF(TOTALCO!A273="", "",TOTALCO!A273)</f>
        <v/>
      </c>
      <c r="B1144" s="4" t="str">
        <f>IF(TOTALCO!B273="", "",TOTALCO!B273)</f>
        <v>CAPACITY RELATED</v>
      </c>
      <c r="C1144" s="4" t="str">
        <f>IF(TOTALCO!C273="", "",TOTALCO!C273)</f>
        <v/>
      </c>
      <c r="D1144" s="4" t="str">
        <f>IF(TOTALCO!D273="", "",TOTALCO!D273)</f>
        <v/>
      </c>
      <c r="E1144" s="4" t="str">
        <f>IF(TOTALCO!E273="", "",TOTALCO!E273)</f>
        <v/>
      </c>
      <c r="F1144" s="4" t="str">
        <f>IF(TOTALCO!F273="", "",TOTALCO!F273)</f>
        <v/>
      </c>
      <c r="G1144" s="4" t="str">
        <f>IF(TOTALCO!G273="", "",TOTALCO!G273)</f>
        <v/>
      </c>
      <c r="H1144" s="4" t="str">
        <f>IF(TOTALCO!H273="", "",TOTALCO!H273)</f>
        <v/>
      </c>
      <c r="I1144" s="4" t="str">
        <f>IF(TOTALCO!I273="", "",TOTALCO!I273)</f>
        <v/>
      </c>
      <c r="J1144" s="4" t="str">
        <f>IF(TOTALCO!J273="", "",TOTALCO!J273)</f>
        <v/>
      </c>
      <c r="K1144" s="4" t="str">
        <f>IF(TOTALCO!K273="", "",TOTALCO!K273)</f>
        <v/>
      </c>
      <c r="L1144" s="4" t="str">
        <f>IF(TOTALCO!L273="", "",TOTALCO!L273)</f>
        <v/>
      </c>
      <c r="M1144" s="4" t="str">
        <f>IF(TOTALCO!M273="", "",TOTALCO!M273)</f>
        <v/>
      </c>
      <c r="N1144" s="4" t="str">
        <f>IF(TOTALCO!N273="", "",TOTALCO!N273)</f>
        <v/>
      </c>
      <c r="O1144" s="4" t="str">
        <f>IF(TOTALCO!O273="", "",TOTALCO!O273)</f>
        <v/>
      </c>
      <c r="P1144" s="4" t="str">
        <f>IF(TOTALCO!P273="", "",TOTALCO!P273)</f>
        <v/>
      </c>
      <c r="Q1144" s="4"/>
    </row>
    <row r="1145" spans="1:17" ht="15" x14ac:dyDescent="0.2">
      <c r="A1145" s="382" t="str">
        <f>IF(TOTALCO!A274="", "",TOTALCO!A274)</f>
        <v/>
      </c>
      <c r="B1145" s="4" t="str">
        <f>IF(TOTALCO!B274="", "",TOTALCO!B274)</f>
        <v>-</v>
      </c>
      <c r="C1145" s="4" t="str">
        <f>IF(TOTALCO!C274="", "",TOTALCO!C274)</f>
        <v/>
      </c>
      <c r="D1145" s="4" t="str">
        <f>IF(TOTALCO!D274="", "",TOTALCO!D274)</f>
        <v/>
      </c>
      <c r="E1145" s="4" t="str">
        <f>IF(TOTALCO!E274="", "",TOTALCO!E274)</f>
        <v/>
      </c>
      <c r="F1145" s="4" t="str">
        <f>IF(TOTALCO!F274="", "",TOTALCO!F274)</f>
        <v/>
      </c>
      <c r="G1145" s="4" t="str">
        <f>IF(TOTALCO!G274="", "",TOTALCO!G274)</f>
        <v/>
      </c>
      <c r="H1145" s="4" t="str">
        <f>IF(TOTALCO!H274="", "",TOTALCO!H274)</f>
        <v/>
      </c>
      <c r="I1145" s="4" t="str">
        <f>IF(TOTALCO!I274="", "",TOTALCO!I274)</f>
        <v/>
      </c>
      <c r="J1145" s="4" t="str">
        <f>IF(TOTALCO!J274="", "",TOTALCO!J274)</f>
        <v/>
      </c>
      <c r="K1145" s="4" t="str">
        <f>IF(TOTALCO!K274="", "",TOTALCO!K274)</f>
        <v/>
      </c>
      <c r="L1145" s="4" t="str">
        <f>IF(TOTALCO!L274="", "",TOTALCO!L274)</f>
        <v/>
      </c>
      <c r="M1145" s="4" t="str">
        <f>IF(TOTALCO!M274="", "",TOTALCO!M274)</f>
        <v/>
      </c>
      <c r="N1145" s="4" t="str">
        <f>IF(TOTALCO!N274="", "",TOTALCO!N274)</f>
        <v/>
      </c>
      <c r="O1145" s="4" t="str">
        <f>IF(TOTALCO!O274="", "",TOTALCO!O274)</f>
        <v/>
      </c>
      <c r="P1145" s="4" t="str">
        <f>IF(TOTALCO!P274="", "",TOTALCO!P274)</f>
        <v/>
      </c>
      <c r="Q1145" s="4"/>
    </row>
    <row r="1146" spans="1:17" ht="15" x14ac:dyDescent="0.2">
      <c r="A1146" s="382" t="str">
        <f>IF(TOTALCO!A275="", "",TOTALCO!A275)</f>
        <v/>
      </c>
      <c r="B1146" s="4" t="str">
        <f>IF(TOTALCO!B275="", "",TOTALCO!B275)</f>
        <v>PRODUCTION ALLOCATORS</v>
      </c>
      <c r="C1146" s="4" t="str">
        <f>IF(TOTALCO!C275="", "",TOTALCO!C275)</f>
        <v/>
      </c>
      <c r="D1146" s="4" t="str">
        <f>IF(TOTALCO!D275="", "",TOTALCO!D275)</f>
        <v/>
      </c>
      <c r="E1146" s="4" t="str">
        <f>IF(TOTALCO!E275="", "",TOTALCO!E275)</f>
        <v/>
      </c>
      <c r="F1146" s="4" t="str">
        <f>IF(TOTALCO!F275="", "",TOTALCO!F275)</f>
        <v/>
      </c>
      <c r="G1146" s="4" t="str">
        <f>IF(TOTALCO!G275="", "",TOTALCO!G275)</f>
        <v/>
      </c>
      <c r="H1146" s="4" t="str">
        <f>IF(TOTALCO!H275="", "",TOTALCO!H275)</f>
        <v/>
      </c>
      <c r="I1146" s="4" t="str">
        <f>IF(TOTALCO!I275="", "",TOTALCO!I275)</f>
        <v/>
      </c>
      <c r="J1146" s="4" t="str">
        <f>IF(TOTALCO!J275="", "",TOTALCO!J275)</f>
        <v/>
      </c>
      <c r="K1146" s="4" t="str">
        <f>IF(TOTALCO!K275="", "",TOTALCO!K275)</f>
        <v/>
      </c>
      <c r="L1146" s="4" t="str">
        <f>IF(TOTALCO!L275="", "",TOTALCO!L275)</f>
        <v/>
      </c>
      <c r="M1146" s="4" t="str">
        <f>IF(TOTALCO!M275="", "",TOTALCO!M275)</f>
        <v/>
      </c>
      <c r="N1146" s="4" t="str">
        <f>IF(TOTALCO!N275="", "",TOTALCO!N275)</f>
        <v/>
      </c>
      <c r="O1146" s="4" t="str">
        <f>IF(TOTALCO!O275="", "",TOTALCO!O275)</f>
        <v/>
      </c>
      <c r="P1146" s="4" t="str">
        <f>IF(TOTALCO!P275="", "",TOTALCO!P275)</f>
        <v/>
      </c>
      <c r="Q1146" s="4"/>
    </row>
    <row r="1147" spans="1:17" ht="15" x14ac:dyDescent="0.2">
      <c r="A1147" s="382">
        <f>IF(TOTALCO!A276="", "",TOTALCO!A276)</f>
        <v>1</v>
      </c>
      <c r="B1147" s="4" t="str">
        <f>IF(TOTALCO!B276="", "",TOTALCO!B276)</f>
        <v>DEMAND (12 CP GEN LEV)-PROD</v>
      </c>
      <c r="C1147" s="4" t="str">
        <f>IF(TOTALCO!C276="", "",TOTALCO!C276)</f>
        <v>DEMPROD</v>
      </c>
      <c r="D1147" s="14">
        <f>IF(TOTALCO!D276="", "",TOTALCO!D276)</f>
        <v>1</v>
      </c>
      <c r="E1147" s="14" t="str">
        <f>IF(TOTALCO!E276="", "",TOTALCO!E276)</f>
        <v/>
      </c>
      <c r="F1147" s="14">
        <f>IF(TOTALCO!F276="", "",TOTALCO!F276)</f>
        <v>0.86549017314247356</v>
      </c>
      <c r="G1147" s="14" t="str">
        <f>IF(TOTALCO!G276="", "",TOTALCO!G276)</f>
        <v/>
      </c>
      <c r="H1147" s="14">
        <f>IF(TOTALCO!H276="", "",TOTALCO!H276)</f>
        <v>5.0827668687646078E-2</v>
      </c>
      <c r="I1147" s="14">
        <f>IF(TOTALCO!I276="", "",TOTALCO!I276)</f>
        <v>8.3682158169880339E-2</v>
      </c>
      <c r="J1147" s="14" t="str">
        <f>IF(TOTALCO!J276="", "",TOTALCO!J276)</f>
        <v/>
      </c>
      <c r="K1147" s="14" t="str">
        <f>IF(TOTALCO!K276="", "",TOTALCO!K276)</f>
        <v/>
      </c>
      <c r="L1147" s="14">
        <f>IF(TOTALCO!L276="", "",TOTALCO!L276)</f>
        <v>7.6524644215064863E-6</v>
      </c>
      <c r="M1147" s="14" t="str">
        <f>IF(TOTALCO!M276="", "",TOTALCO!M276)</f>
        <v/>
      </c>
      <c r="N1147" s="14">
        <f>IF(TOTALCO!N276="", "",TOTALCO!N276)</f>
        <v>8.3674505705458826E-2</v>
      </c>
      <c r="O1147" s="14">
        <f>IF(TOTALCO!O276="", "",TOTALCO!O276)</f>
        <v>2.6108568792375522E-2</v>
      </c>
      <c r="P1147" s="14">
        <f>IF(TOTALCO!P276="", "",TOTALCO!P276)</f>
        <v>5.7565936913083308E-2</v>
      </c>
      <c r="Q1147" s="14"/>
    </row>
    <row r="1148" spans="1:17" ht="15" x14ac:dyDescent="0.2">
      <c r="A1148" s="382">
        <f>IF(TOTALCO!A277="", "",TOTALCO!A277)</f>
        <v>2</v>
      </c>
      <c r="B1148" s="4" t="str">
        <f>IF(TOTALCO!B277="", "",TOTALCO!B277)</f>
        <v>DEMAND (12 CP GEN LEV)-FERC</v>
      </c>
      <c r="C1148" s="4" t="str">
        <f>IF(TOTALCO!C277="", "",TOTALCO!C277)</f>
        <v>DEMFERC</v>
      </c>
      <c r="D1148" s="14">
        <f>IF(TOTALCO!D277="", "",TOTALCO!D277)</f>
        <v>1</v>
      </c>
      <c r="E1148" s="14" t="str">
        <f>IF(TOTALCO!E277="", "",TOTALCO!E277)</f>
        <v/>
      </c>
      <c r="F1148" s="14">
        <f>IF(TOTALCO!F277="", "",TOTALCO!F277)</f>
        <v>0</v>
      </c>
      <c r="G1148" s="14" t="str">
        <f>IF(TOTALCO!G277="", "",TOTALCO!G277)</f>
        <v/>
      </c>
      <c r="H1148" s="14">
        <f>IF(TOTALCO!H277="", "",TOTALCO!H277)</f>
        <v>0.37789477320339659</v>
      </c>
      <c r="I1148" s="14">
        <f>IF(TOTALCO!I277="", "",TOTALCO!I277)</f>
        <v>0.62210522679660341</v>
      </c>
      <c r="J1148" s="14" t="str">
        <f>IF(TOTALCO!J277="", "",TOTALCO!J277)</f>
        <v/>
      </c>
      <c r="K1148" s="14" t="str">
        <f>IF(TOTALCO!K277="", "",TOTALCO!K277)</f>
        <v/>
      </c>
      <c r="L1148" s="14">
        <f>IF(TOTALCO!L277="", "",TOTALCO!L277)</f>
        <v>0</v>
      </c>
      <c r="M1148" s="14" t="str">
        <f>IF(TOTALCO!M277="", "",TOTALCO!M277)</f>
        <v/>
      </c>
      <c r="N1148" s="14">
        <f>IF(TOTALCO!N277="", "",TOTALCO!N277)</f>
        <v>0.62210522679660341</v>
      </c>
      <c r="O1148" s="14">
        <f>IF(TOTALCO!O277="", "",TOTALCO!O277)</f>
        <v>0.19411261498322621</v>
      </c>
      <c r="P1148" s="14">
        <f>IF(TOTALCO!P277="", "",TOTALCO!P277)</f>
        <v>0.42799261181337717</v>
      </c>
      <c r="Q1148" s="14"/>
    </row>
    <row r="1149" spans="1:17" ht="15" x14ac:dyDescent="0.2">
      <c r="A1149" s="382">
        <f>IF(TOTALCO!A278="", "",TOTALCO!A278)</f>
        <v>3</v>
      </c>
      <c r="B1149" s="4" t="str">
        <f>IF(TOTALCO!B278="", "",TOTALCO!B278)</f>
        <v>DEMAND (12 CP GEN)-PROD VA</v>
      </c>
      <c r="C1149" s="4" t="str">
        <f>IF(TOTALCO!C278="", "",TOTALCO!C278)</f>
        <v>DPRODVA</v>
      </c>
      <c r="D1149" s="14">
        <f>IF(TOTALCO!D278="", "",TOTALCO!D278)</f>
        <v>1</v>
      </c>
      <c r="E1149" s="14" t="str">
        <f>IF(TOTALCO!E278="", "",TOTALCO!E278)</f>
        <v/>
      </c>
      <c r="F1149" s="14">
        <f>IF(TOTALCO!F278="", "",TOTALCO!F278)</f>
        <v>0</v>
      </c>
      <c r="G1149" s="14" t="str">
        <f>IF(TOTALCO!G278="", "",TOTALCO!G278)</f>
        <v/>
      </c>
      <c r="H1149" s="14">
        <f>IF(TOTALCO!H278="", "",TOTALCO!H278)</f>
        <v>1</v>
      </c>
      <c r="I1149" s="14">
        <f>IF(TOTALCO!I278="", "",TOTALCO!I278)</f>
        <v>0</v>
      </c>
      <c r="J1149" s="14" t="str">
        <f>IF(TOTALCO!J278="", "",TOTALCO!J278)</f>
        <v/>
      </c>
      <c r="K1149" s="14" t="str">
        <f>IF(TOTALCO!K278="", "",TOTALCO!K278)</f>
        <v/>
      </c>
      <c r="L1149" s="14">
        <f>IF(TOTALCO!L278="", "",TOTALCO!L278)</f>
        <v>0</v>
      </c>
      <c r="M1149" s="14" t="str">
        <f>IF(TOTALCO!M278="", "",TOTALCO!M278)</f>
        <v/>
      </c>
      <c r="N1149" s="14">
        <f>IF(TOTALCO!N278="", "",TOTALCO!N278)</f>
        <v>0</v>
      </c>
      <c r="O1149" s="14">
        <f>IF(TOTALCO!O278="", "",TOTALCO!O278)</f>
        <v>0</v>
      </c>
      <c r="P1149" s="14">
        <f>IF(TOTALCO!P278="", "",TOTALCO!P278)</f>
        <v>0</v>
      </c>
      <c r="Q1149" s="14"/>
    </row>
    <row r="1150" spans="1:17" ht="15" x14ac:dyDescent="0.2">
      <c r="A1150" s="382">
        <f>IF(TOTALCO!A279="", "",TOTALCO!A279)</f>
        <v>4</v>
      </c>
      <c r="B1150" s="4" t="str">
        <f>IF(TOTALCO!B279="", "",TOTALCO!B279)</f>
        <v>DEMAND (12 CP GEN)-PROD KY</v>
      </c>
      <c r="C1150" s="4" t="str">
        <f>IF(TOTALCO!C279="", "",TOTALCO!C279)</f>
        <v>DPRODKY</v>
      </c>
      <c r="D1150" s="14">
        <f>IF(TOTALCO!D279="", "",TOTALCO!D279)</f>
        <v>1</v>
      </c>
      <c r="E1150" s="14" t="str">
        <f>IF(TOTALCO!E279="", "",TOTALCO!E279)</f>
        <v/>
      </c>
      <c r="F1150" s="14">
        <f>IF(TOTALCO!F279="", "",TOTALCO!F279)</f>
        <v>0.91184405870747276</v>
      </c>
      <c r="G1150" s="14" t="str">
        <f>IF(TOTALCO!G279="", "",TOTALCO!G279)</f>
        <v/>
      </c>
      <c r="H1150" s="14">
        <f>IF(TOTALCO!H279="", "",TOTALCO!H279)</f>
        <v>0</v>
      </c>
      <c r="I1150" s="14">
        <f>IF(TOTALCO!I279="", "",TOTALCO!I279)</f>
        <v>8.8155941292527268E-2</v>
      </c>
      <c r="J1150" s="14" t="str">
        <f>IF(TOTALCO!J279="", "",TOTALCO!J279)</f>
        <v/>
      </c>
      <c r="K1150" s="14" t="str">
        <f>IF(TOTALCO!K279="", "",TOTALCO!K279)</f>
        <v/>
      </c>
      <c r="L1150" s="14">
        <f>IF(TOTALCO!L279="", "",TOTALCO!L279)</f>
        <v>0</v>
      </c>
      <c r="M1150" s="14" t="str">
        <f>IF(TOTALCO!M279="", "",TOTALCO!M279)</f>
        <v/>
      </c>
      <c r="N1150" s="14">
        <f>IF(TOTALCO!N279="", "",TOTALCO!N279)</f>
        <v>8.8155941292527268E-2</v>
      </c>
      <c r="O1150" s="14">
        <f>IF(TOTALCO!O279="", "",TOTALCO!O279)</f>
        <v>2.7506890399741083E-2</v>
      </c>
      <c r="P1150" s="14">
        <f>IF(TOTALCO!P279="", "",TOTALCO!P279)</f>
        <v>6.0649050892786188E-2</v>
      </c>
      <c r="Q1150" s="14"/>
    </row>
    <row r="1151" spans="1:17" ht="15" x14ac:dyDescent="0.2">
      <c r="A1151" s="382">
        <f>IF(TOTALCO!A280="", "",TOTALCO!A280)</f>
        <v>5</v>
      </c>
      <c r="B1151" s="4" t="str">
        <f>IF(TOTALCO!B280="", "",TOTALCO!B280)</f>
        <v>DEM (12 CP GEN LV)-FERC POST</v>
      </c>
      <c r="C1151" s="4" t="str">
        <f>IF(TOTALCO!C280="", "",TOTALCO!C280)</f>
        <v>DEMFERCP</v>
      </c>
      <c r="D1151" s="14">
        <f>IF(TOTALCO!D280="", "",TOTALCO!D280)</f>
        <v>1</v>
      </c>
      <c r="E1151" s="14" t="str">
        <f>IF(TOTALCO!E280="", "",TOTALCO!E280)</f>
        <v/>
      </c>
      <c r="F1151" s="14">
        <f>IF(TOTALCO!F280="", "",TOTALCO!F280)</f>
        <v>0</v>
      </c>
      <c r="G1151" s="14" t="str">
        <f>IF(TOTALCO!G280="", "",TOTALCO!G280)</f>
        <v/>
      </c>
      <c r="H1151" s="14">
        <f>IF(TOTALCO!H280="", "",TOTALCO!H280)</f>
        <v>0</v>
      </c>
      <c r="I1151" s="14">
        <f>IF(TOTALCO!I280="", "",TOTALCO!I280)</f>
        <v>1</v>
      </c>
      <c r="J1151" s="14" t="str">
        <f>IF(TOTALCO!J280="", "",TOTALCO!J280)</f>
        <v/>
      </c>
      <c r="K1151" s="14" t="str">
        <f>IF(TOTALCO!K280="", "",TOTALCO!K280)</f>
        <v/>
      </c>
      <c r="L1151" s="14">
        <f>IF(TOTALCO!L280="", "",TOTALCO!L280)</f>
        <v>0</v>
      </c>
      <c r="M1151" s="14" t="str">
        <f>IF(TOTALCO!M280="", "",TOTALCO!M280)</f>
        <v/>
      </c>
      <c r="N1151" s="14">
        <f>IF(TOTALCO!N280="", "",TOTALCO!N280)</f>
        <v>1</v>
      </c>
      <c r="O1151" s="14">
        <f>IF(TOTALCO!O280="", "",TOTALCO!O280)</f>
        <v>0.31202537227145194</v>
      </c>
      <c r="P1151" s="14">
        <f>IF(TOTALCO!P280="", "",TOTALCO!P280)</f>
        <v>0.687974627728548</v>
      </c>
      <c r="Q1151" s="14"/>
    </row>
    <row r="1152" spans="1:17" ht="15" x14ac:dyDescent="0.2">
      <c r="A1152" s="382">
        <f>IF(TOTALCO!A281="", "",TOTALCO!A281)</f>
        <v>6</v>
      </c>
      <c r="B1152" s="4" t="str">
        <f>IF(TOTALCO!B281="", "",TOTALCO!B281)</f>
        <v>DEM (12 CP GEN LV)-NON VA</v>
      </c>
      <c r="C1152" s="4" t="str">
        <f>IF(TOTALCO!C281="", "",TOTALCO!C281)</f>
        <v>DEMPRODNV</v>
      </c>
      <c r="D1152" s="14">
        <f>IF(TOTALCO!D281="", "",TOTALCO!D281)</f>
        <v>1</v>
      </c>
      <c r="E1152" s="14" t="str">
        <f>IF(TOTALCO!E281="", "",TOTALCO!E281)</f>
        <v/>
      </c>
      <c r="F1152" s="14">
        <f>IF(TOTALCO!F281="", "",TOTALCO!F281)</f>
        <v>0.91183670719290888</v>
      </c>
      <c r="G1152" s="14" t="str">
        <f>IF(TOTALCO!G281="", "",TOTALCO!G281)</f>
        <v/>
      </c>
      <c r="H1152" s="14">
        <f>IF(TOTALCO!H281="", "",TOTALCO!H281)</f>
        <v>0</v>
      </c>
      <c r="I1152" s="14">
        <f>IF(TOTALCO!I281="", "",TOTALCO!I281)</f>
        <v>8.8163292807091093E-2</v>
      </c>
      <c r="J1152" s="14" t="str">
        <f>IF(TOTALCO!J281="", "",TOTALCO!J281)</f>
        <v/>
      </c>
      <c r="K1152" s="14" t="str">
        <f>IF(TOTALCO!K281="", "",TOTALCO!K281)</f>
        <v/>
      </c>
      <c r="L1152" s="14">
        <f>IF(TOTALCO!L281="", "",TOTALCO!L281)</f>
        <v>8.0622497823192552E-6</v>
      </c>
      <c r="M1152" s="14" t="str">
        <f>IF(TOTALCO!M281="", "",TOTALCO!M281)</f>
        <v/>
      </c>
      <c r="N1152" s="14">
        <f>IF(TOTALCO!N281="", "",TOTALCO!N281)</f>
        <v>8.815523055730877E-2</v>
      </c>
      <c r="O1152" s="14">
        <f>IF(TOTALCO!O281="", "",TOTALCO!O281)</f>
        <v>2.7506668632319948E-2</v>
      </c>
      <c r="P1152" s="14">
        <f>IF(TOTALCO!P281="", "",TOTALCO!P281)</f>
        <v>6.0648561924988825E-2</v>
      </c>
      <c r="Q1152" s="14"/>
    </row>
    <row r="1153" spans="1:17" ht="15" x14ac:dyDescent="0.2">
      <c r="A1153" s="382" t="str">
        <f>IF(TOTALCO!A282="", "",TOTALCO!A282)</f>
        <v/>
      </c>
      <c r="B1153" s="4" t="str">
        <f>IF(TOTALCO!B282="", "",TOTALCO!B282)</f>
        <v>TRANSMISSION ALLOCATORS</v>
      </c>
      <c r="C1153" s="4" t="str">
        <f>IF(TOTALCO!C282="", "",TOTALCO!C282)</f>
        <v/>
      </c>
      <c r="D1153" s="14" t="str">
        <f>IF(TOTALCO!D282="", "",TOTALCO!D282)</f>
        <v/>
      </c>
      <c r="E1153" s="14" t="str">
        <f>IF(TOTALCO!E282="", "",TOTALCO!E282)</f>
        <v/>
      </c>
      <c r="F1153" s="14" t="str">
        <f>IF(TOTALCO!F282="", "",TOTALCO!F282)</f>
        <v/>
      </c>
      <c r="G1153" s="14" t="str">
        <f>IF(TOTALCO!G282="", "",TOTALCO!G282)</f>
        <v/>
      </c>
      <c r="H1153" s="14" t="str">
        <f>IF(TOTALCO!H282="", "",TOTALCO!H282)</f>
        <v/>
      </c>
      <c r="I1153" s="14" t="str">
        <f>IF(TOTALCO!I282="", "",TOTALCO!I282)</f>
        <v/>
      </c>
      <c r="J1153" s="14" t="str">
        <f>IF(TOTALCO!J282="", "",TOTALCO!J282)</f>
        <v/>
      </c>
      <c r="K1153" s="14" t="str">
        <f>IF(TOTALCO!K282="", "",TOTALCO!K282)</f>
        <v/>
      </c>
      <c r="L1153" s="14" t="str">
        <f>IF(TOTALCO!L282="", "",TOTALCO!L282)</f>
        <v/>
      </c>
      <c r="M1153" s="14" t="str">
        <f>IF(TOTALCO!M282="", "",TOTALCO!M282)</f>
        <v/>
      </c>
      <c r="N1153" s="14" t="str">
        <f>IF(TOTALCO!N282="", "",TOTALCO!N282)</f>
        <v/>
      </c>
      <c r="O1153" s="14" t="str">
        <f>IF(TOTALCO!O282="", "",TOTALCO!O282)</f>
        <v/>
      </c>
      <c r="P1153" s="14" t="str">
        <f>IF(TOTALCO!P282="", "",TOTALCO!P282)</f>
        <v/>
      </c>
      <c r="Q1153" s="14"/>
    </row>
    <row r="1154" spans="1:17" ht="15" x14ac:dyDescent="0.2">
      <c r="A1154" s="382">
        <f>IF(TOTALCO!A283="", "",TOTALCO!A283)</f>
        <v>7</v>
      </c>
      <c r="B1154" s="4" t="str">
        <f>IF(TOTALCO!B283="", "",TOTALCO!B283)</f>
        <v>DEMAND (12 CP GEN LEV)-TRAN</v>
      </c>
      <c r="C1154" s="4" t="str">
        <f>IF(TOTALCO!C283="", "",TOTALCO!C283)</f>
        <v>DEMTRAN</v>
      </c>
      <c r="D1154" s="14">
        <f>IF(TOTALCO!D283="", "",TOTALCO!D283)</f>
        <v>1</v>
      </c>
      <c r="E1154" s="14" t="str">
        <f>IF(TOTALCO!E283="", "",TOTALCO!E283)</f>
        <v/>
      </c>
      <c r="F1154" s="14">
        <f>IF(TOTALCO!F283="", "",TOTALCO!F283)</f>
        <v>0.86549017314247356</v>
      </c>
      <c r="G1154" s="14" t="str">
        <f>IF(TOTALCO!G283="", "",TOTALCO!G283)</f>
        <v/>
      </c>
      <c r="H1154" s="14">
        <f>IF(TOTALCO!H283="", "",TOTALCO!H283)</f>
        <v>5.0827668687646078E-2</v>
      </c>
      <c r="I1154" s="14">
        <f>IF(TOTALCO!I283="", "",TOTALCO!I283)</f>
        <v>8.3682158169880339E-2</v>
      </c>
      <c r="J1154" s="14" t="str">
        <f>IF(TOTALCO!J283="", "",TOTALCO!J283)</f>
        <v/>
      </c>
      <c r="K1154" s="14" t="str">
        <f>IF(TOTALCO!K283="", "",TOTALCO!K283)</f>
        <v/>
      </c>
      <c r="L1154" s="14">
        <f>IF(TOTALCO!L283="", "",TOTALCO!L283)</f>
        <v>7.6524644215064863E-6</v>
      </c>
      <c r="M1154" s="14" t="str">
        <f>IF(TOTALCO!M283="", "",TOTALCO!M283)</f>
        <v/>
      </c>
      <c r="N1154" s="14">
        <f>IF(TOTALCO!N283="", "",TOTALCO!N283)</f>
        <v>8.3674505705458826E-2</v>
      </c>
      <c r="O1154" s="14">
        <f>IF(TOTALCO!O283="", "",TOTALCO!O283)</f>
        <v>2.6108568792375522E-2</v>
      </c>
      <c r="P1154" s="14">
        <f>IF(TOTALCO!P283="", "",TOTALCO!P283)</f>
        <v>5.7565936913083308E-2</v>
      </c>
      <c r="Q1154" s="14"/>
    </row>
    <row r="1155" spans="1:17" ht="15" x14ac:dyDescent="0.2">
      <c r="A1155" s="382">
        <f>IF(TOTALCO!A284="", "",TOTALCO!A284)</f>
        <v>8</v>
      </c>
      <c r="B1155" s="4" t="str">
        <f>IF(TOTALCO!B284="", "",TOTALCO!B284)</f>
        <v>DEMAND (12 CP GEN LEV)-VA</v>
      </c>
      <c r="C1155" s="4" t="str">
        <f>IF(TOTALCO!C284="", "",TOTALCO!C284)</f>
        <v>DEMVA</v>
      </c>
      <c r="D1155" s="14">
        <f>IF(TOTALCO!D284="", "",TOTALCO!D284)</f>
        <v>1</v>
      </c>
      <c r="E1155" s="14" t="str">
        <f>IF(TOTALCO!E284="", "",TOTALCO!E284)</f>
        <v/>
      </c>
      <c r="F1155" s="14">
        <f>IF(TOTALCO!F284="", "",TOTALCO!F284)</f>
        <v>0</v>
      </c>
      <c r="G1155" s="14" t="str">
        <f>IF(TOTALCO!G284="", "",TOTALCO!G284)</f>
        <v/>
      </c>
      <c r="H1155" s="14">
        <f>IF(TOTALCO!H284="", "",TOTALCO!H284)</f>
        <v>1</v>
      </c>
      <c r="I1155" s="14">
        <f>IF(TOTALCO!I284="", "",TOTALCO!I284)</f>
        <v>0</v>
      </c>
      <c r="J1155" s="14" t="str">
        <f>IF(TOTALCO!J284="", "",TOTALCO!J284)</f>
        <v/>
      </c>
      <c r="K1155" s="14" t="str">
        <f>IF(TOTALCO!K284="", "",TOTALCO!K284)</f>
        <v/>
      </c>
      <c r="L1155" s="14">
        <f>IF(TOTALCO!L284="", "",TOTALCO!L284)</f>
        <v>0</v>
      </c>
      <c r="M1155" s="14" t="str">
        <f>IF(TOTALCO!M284="", "",TOTALCO!M284)</f>
        <v/>
      </c>
      <c r="N1155" s="14">
        <f>IF(TOTALCO!N284="", "",TOTALCO!N284)</f>
        <v>0</v>
      </c>
      <c r="O1155" s="14">
        <f>IF(TOTALCO!O284="", "",TOTALCO!O284)</f>
        <v>0</v>
      </c>
      <c r="P1155" s="14">
        <f>IF(TOTALCO!P284="", "",TOTALCO!P284)</f>
        <v>0</v>
      </c>
      <c r="Q1155" s="14"/>
    </row>
    <row r="1156" spans="1:17" ht="15" x14ac:dyDescent="0.2">
      <c r="A1156" s="382">
        <f>IF(TOTALCO!A285="", "",TOTALCO!A285)</f>
        <v>9</v>
      </c>
      <c r="B1156" s="4" t="str">
        <f>IF(TOTALCO!B285="", "",TOTALCO!B285)</f>
        <v>DEM (12 CP GEN LEV)-NON FERC</v>
      </c>
      <c r="C1156" s="4" t="str">
        <f>IF(TOTALCO!C285="", "",TOTALCO!C285)</f>
        <v>DEMTRANNF</v>
      </c>
      <c r="D1156" s="14">
        <f>IF(TOTALCO!D285="", "",TOTALCO!D285)</f>
        <v>1</v>
      </c>
      <c r="E1156" s="14" t="str">
        <f>IF(TOTALCO!E285="", "",TOTALCO!E285)</f>
        <v/>
      </c>
      <c r="F1156" s="14">
        <f>IF(TOTALCO!F285="", "",TOTALCO!F285)</f>
        <v>0.94452263800517244</v>
      </c>
      <c r="G1156" s="14" t="str">
        <f>IF(TOTALCO!G285="", "",TOTALCO!G285)</f>
        <v/>
      </c>
      <c r="H1156" s="14">
        <f>IF(TOTALCO!H285="", "",TOTALCO!H285)</f>
        <v>5.5469010743586462E-2</v>
      </c>
      <c r="I1156" s="14">
        <f>IF(TOTALCO!I285="", "",TOTALCO!I285)</f>
        <v>8.3512512411301513E-6</v>
      </c>
      <c r="J1156" s="14" t="str">
        <f>IF(TOTALCO!J285="", "",TOTALCO!J285)</f>
        <v/>
      </c>
      <c r="K1156" s="14" t="str">
        <f>IF(TOTALCO!K285="", "",TOTALCO!K285)</f>
        <v/>
      </c>
      <c r="L1156" s="14">
        <f>IF(TOTALCO!L285="", "",TOTALCO!L285)</f>
        <v>8.3512512411301513E-6</v>
      </c>
      <c r="M1156" s="14" t="str">
        <f>IF(TOTALCO!M285="", "",TOTALCO!M285)</f>
        <v/>
      </c>
      <c r="N1156" s="14">
        <f>IF(TOTALCO!N285="", "",TOTALCO!N285)</f>
        <v>0</v>
      </c>
      <c r="O1156" s="14">
        <f>IF(TOTALCO!O285="", "",TOTALCO!O285)</f>
        <v>0</v>
      </c>
      <c r="P1156" s="14">
        <f>IF(TOTALCO!P285="", "",TOTALCO!P285)</f>
        <v>0</v>
      </c>
      <c r="Q1156" s="14"/>
    </row>
    <row r="1157" spans="1:17" ht="15" x14ac:dyDescent="0.2">
      <c r="A1157" s="382">
        <f>IF(TOTALCO!A286="", "",TOTALCO!A286)</f>
        <v>10</v>
      </c>
      <c r="B1157" s="4" t="str">
        <f>IF(TOTALCO!B286="", "",TOTALCO!B286)</f>
        <v>DEM (12 CP GN LEV)-TRAN FERC</v>
      </c>
      <c r="C1157" s="4" t="str">
        <f>IF(TOTALCO!C286="", "",TOTALCO!C286)</f>
        <v>DEMFERCT</v>
      </c>
      <c r="D1157" s="14">
        <f>IF(TOTALCO!D286="", "",TOTALCO!D286)</f>
        <v>1</v>
      </c>
      <c r="E1157" s="14" t="str">
        <f>IF(TOTALCO!E286="", "",TOTALCO!E286)</f>
        <v/>
      </c>
      <c r="F1157" s="14">
        <f>IF(TOTALCO!F286="", "",TOTALCO!F286)</f>
        <v>0</v>
      </c>
      <c r="G1157" s="14" t="str">
        <f>IF(TOTALCO!G286="", "",TOTALCO!G286)</f>
        <v/>
      </c>
      <c r="H1157" s="14">
        <f>IF(TOTALCO!H286="", "",TOTALCO!H286)</f>
        <v>0.37789477320339659</v>
      </c>
      <c r="I1157" s="14">
        <f>IF(TOTALCO!I286="", "",TOTALCO!I286)</f>
        <v>0.62210522679660341</v>
      </c>
      <c r="J1157" s="14" t="str">
        <f>IF(TOTALCO!J286="", "",TOTALCO!J286)</f>
        <v/>
      </c>
      <c r="K1157" s="14" t="str">
        <f>IF(TOTALCO!K286="", "",TOTALCO!K286)</f>
        <v/>
      </c>
      <c r="L1157" s="14">
        <f>IF(TOTALCO!L286="", "",TOTALCO!L286)</f>
        <v>0</v>
      </c>
      <c r="M1157" s="14" t="str">
        <f>IF(TOTALCO!M286="", "",TOTALCO!M286)</f>
        <v/>
      </c>
      <c r="N1157" s="14">
        <f>IF(TOTALCO!N286="", "",TOTALCO!N286)</f>
        <v>0.62210522679660341</v>
      </c>
      <c r="O1157" s="14">
        <f>IF(TOTALCO!O286="", "",TOTALCO!O286)</f>
        <v>0.19411261498322621</v>
      </c>
      <c r="P1157" s="14">
        <f>IF(TOTALCO!P286="", "",TOTALCO!P286)</f>
        <v>0.42799261181337717</v>
      </c>
      <c r="Q1157" s="14"/>
    </row>
    <row r="1158" spans="1:17" ht="15" x14ac:dyDescent="0.2">
      <c r="A1158" s="382">
        <f>IF(TOTALCO!A287="", "",TOTALCO!A287)</f>
        <v>11</v>
      </c>
      <c r="B1158" s="4" t="str">
        <f>IF(TOTALCO!B287="", "",TOTALCO!B287)</f>
        <v>DEM (12 CP GN)-TR FERC POST</v>
      </c>
      <c r="C1158" s="4" t="str">
        <f>IF(TOTALCO!C287="", "",TOTALCO!C287)</f>
        <v>DFERCTP</v>
      </c>
      <c r="D1158" s="14">
        <f>IF(TOTALCO!D287="", "",TOTALCO!D287)</f>
        <v>1</v>
      </c>
      <c r="E1158" s="14" t="str">
        <f>IF(TOTALCO!E287="", "",TOTALCO!E287)</f>
        <v/>
      </c>
      <c r="F1158" s="14">
        <f>IF(TOTALCO!F287="", "",TOTALCO!F287)</f>
        <v>0</v>
      </c>
      <c r="G1158" s="14" t="str">
        <f>IF(TOTALCO!G287="", "",TOTALCO!G287)</f>
        <v/>
      </c>
      <c r="H1158" s="14">
        <f>IF(TOTALCO!H287="", "",TOTALCO!H287)</f>
        <v>0</v>
      </c>
      <c r="I1158" s="14">
        <f>IF(TOTALCO!I287="", "",TOTALCO!I287)</f>
        <v>1</v>
      </c>
      <c r="J1158" s="14" t="str">
        <f>IF(TOTALCO!J287="", "",TOTALCO!J287)</f>
        <v/>
      </c>
      <c r="K1158" s="14" t="str">
        <f>IF(TOTALCO!K287="", "",TOTALCO!K287)</f>
        <v/>
      </c>
      <c r="L1158" s="14">
        <f>IF(TOTALCO!L287="", "",TOTALCO!L287)</f>
        <v>0</v>
      </c>
      <c r="M1158" s="14" t="str">
        <f>IF(TOTALCO!M287="", "",TOTALCO!M287)</f>
        <v/>
      </c>
      <c r="N1158" s="14">
        <f>IF(TOTALCO!N287="", "",TOTALCO!N287)</f>
        <v>1</v>
      </c>
      <c r="O1158" s="14">
        <f>IF(TOTALCO!O287="", "",TOTALCO!O287)</f>
        <v>0.31202537227145194</v>
      </c>
      <c r="P1158" s="14">
        <f>IF(TOTALCO!P287="", "",TOTALCO!P287)</f>
        <v>0.687974627728548</v>
      </c>
      <c r="Q1158" s="14"/>
    </row>
    <row r="1159" spans="1:17" ht="15" x14ac:dyDescent="0.2">
      <c r="A1159" s="382" t="str">
        <f>IF(TOTALCO!A288="", "",TOTALCO!A288)</f>
        <v/>
      </c>
      <c r="B1159" s="4" t="str">
        <f>IF(TOTALCO!B288="", "",TOTALCO!B288)</f>
        <v/>
      </c>
      <c r="C1159" s="4" t="str">
        <f>IF(TOTALCO!C288="", "",TOTALCO!C288)</f>
        <v/>
      </c>
      <c r="D1159" s="14" t="str">
        <f>IF(TOTALCO!D288="", "",TOTALCO!D288)</f>
        <v/>
      </c>
      <c r="E1159" s="14" t="str">
        <f>IF(TOTALCO!E288="", "",TOTALCO!E288)</f>
        <v/>
      </c>
      <c r="F1159" s="14" t="str">
        <f>IF(TOTALCO!F288="", "",TOTALCO!F288)</f>
        <v/>
      </c>
      <c r="G1159" s="14" t="str">
        <f>IF(TOTALCO!G288="", "",TOTALCO!G288)</f>
        <v/>
      </c>
      <c r="H1159" s="14" t="str">
        <f>IF(TOTALCO!H288="", "",TOTALCO!H288)</f>
        <v/>
      </c>
      <c r="I1159" s="14" t="str">
        <f>IF(TOTALCO!I288="", "",TOTALCO!I288)</f>
        <v/>
      </c>
      <c r="J1159" s="14" t="str">
        <f>IF(TOTALCO!J288="", "",TOTALCO!J288)</f>
        <v/>
      </c>
      <c r="K1159" s="14" t="str">
        <f>IF(TOTALCO!K288="", "",TOTALCO!K288)</f>
        <v/>
      </c>
      <c r="L1159" s="14" t="str">
        <f>IF(TOTALCO!L288="", "",TOTALCO!L288)</f>
        <v/>
      </c>
      <c r="M1159" s="14" t="str">
        <f>IF(TOTALCO!M288="", "",TOTALCO!M288)</f>
        <v/>
      </c>
      <c r="N1159" s="14" t="str">
        <f>IF(TOTALCO!N288="", "",TOTALCO!N288)</f>
        <v/>
      </c>
      <c r="O1159" s="14" t="str">
        <f>IF(TOTALCO!O288="", "",TOTALCO!O288)</f>
        <v/>
      </c>
      <c r="P1159" s="14" t="str">
        <f>IF(TOTALCO!P288="", "",TOTALCO!P288)</f>
        <v/>
      </c>
      <c r="Q1159" s="14"/>
    </row>
    <row r="1160" spans="1:17" ht="15" x14ac:dyDescent="0.2">
      <c r="A1160" s="382" t="str">
        <f>IF(TOTALCO!A289="", "",TOTALCO!A289)</f>
        <v/>
      </c>
      <c r="B1160" s="4" t="str">
        <f>IF(TOTALCO!B289="", "",TOTALCO!B289)</f>
        <v>DISTRIBUTION ALLOCATORS</v>
      </c>
      <c r="C1160" s="4" t="str">
        <f>IF(TOTALCO!C289="", "",TOTALCO!C289)</f>
        <v/>
      </c>
      <c r="D1160" s="14" t="str">
        <f>IF(TOTALCO!D289="", "",TOTALCO!D289)</f>
        <v/>
      </c>
      <c r="E1160" s="14" t="str">
        <f>IF(TOTALCO!E289="", "",TOTALCO!E289)</f>
        <v/>
      </c>
      <c r="F1160" s="14" t="str">
        <f>IF(TOTALCO!F289="", "",TOTALCO!F289)</f>
        <v/>
      </c>
      <c r="G1160" s="14" t="str">
        <f>IF(TOTALCO!G289="", "",TOTALCO!G289)</f>
        <v/>
      </c>
      <c r="H1160" s="14" t="str">
        <f>IF(TOTALCO!H289="", "",TOTALCO!H289)</f>
        <v/>
      </c>
      <c r="I1160" s="14" t="str">
        <f>IF(TOTALCO!I289="", "",TOTALCO!I289)</f>
        <v/>
      </c>
      <c r="J1160" s="14" t="str">
        <f>IF(TOTALCO!J289="", "",TOTALCO!J289)</f>
        <v/>
      </c>
      <c r="K1160" s="14" t="str">
        <f>IF(TOTALCO!K289="", "",TOTALCO!K289)</f>
        <v/>
      </c>
      <c r="L1160" s="14" t="str">
        <f>IF(TOTALCO!L289="", "",TOTALCO!L289)</f>
        <v/>
      </c>
      <c r="M1160" s="14" t="str">
        <f>IF(TOTALCO!M289="", "",TOTALCO!M289)</f>
        <v/>
      </c>
      <c r="N1160" s="14" t="str">
        <f>IF(TOTALCO!N289="", "",TOTALCO!N289)</f>
        <v/>
      </c>
      <c r="O1160" s="14" t="str">
        <f>IF(TOTALCO!O289="", "",TOTALCO!O289)</f>
        <v/>
      </c>
      <c r="P1160" s="14" t="str">
        <f>IF(TOTALCO!P289="", "",TOTALCO!P289)</f>
        <v/>
      </c>
      <c r="Q1160" s="14"/>
    </row>
    <row r="1161" spans="1:17" ht="15" x14ac:dyDescent="0.2">
      <c r="A1161" s="382">
        <f>IF(TOTALCO!A290="", "",TOTALCO!A290)</f>
        <v>12</v>
      </c>
      <c r="B1161" s="4" t="str">
        <f>IF(TOTALCO!B290="", "",TOTALCO!B290)</f>
        <v>DIRECT ASSIGN 360 KY</v>
      </c>
      <c r="C1161" s="4" t="str">
        <f>IF(TOTALCO!C290="", "",TOTALCO!C290)</f>
        <v>DEM360K</v>
      </c>
      <c r="D1161" s="14">
        <f>IF(TOTALCO!D290="", "",TOTALCO!D290)</f>
        <v>1</v>
      </c>
      <c r="E1161" s="14" t="str">
        <f>IF(TOTALCO!E290="", "",TOTALCO!E290)</f>
        <v/>
      </c>
      <c r="F1161" s="14">
        <f>IF(TOTALCO!F290="", "",TOTALCO!F290)</f>
        <v>0.99820872171013053</v>
      </c>
      <c r="G1161" s="14" t="str">
        <f>IF(TOTALCO!G290="", "",TOTALCO!G290)</f>
        <v/>
      </c>
      <c r="H1161" s="14">
        <f>IF(TOTALCO!H290="", "",TOTALCO!H290)</f>
        <v>0</v>
      </c>
      <c r="I1161" s="14">
        <f>IF(TOTALCO!I290="", "",TOTALCO!I290)</f>
        <v>1.7912782898694723E-3</v>
      </c>
      <c r="J1161" s="14" t="str">
        <f>IF(TOTALCO!J290="", "",TOTALCO!J290)</f>
        <v/>
      </c>
      <c r="K1161" s="14" t="str">
        <f>IF(TOTALCO!K290="", "",TOTALCO!K290)</f>
        <v/>
      </c>
      <c r="L1161" s="14">
        <f>IF(TOTALCO!L290="", "",TOTALCO!L290)</f>
        <v>0</v>
      </c>
      <c r="M1161" s="14" t="str">
        <f>IF(TOTALCO!M290="", "",TOTALCO!M290)</f>
        <v/>
      </c>
      <c r="N1161" s="14">
        <f>IF(TOTALCO!N290="", "",TOTALCO!N290)</f>
        <v>1.7912782898694723E-3</v>
      </c>
      <c r="O1161" s="14">
        <f>IF(TOTALCO!O290="", "",TOTALCO!O290)</f>
        <v>1.7912782898694723E-3</v>
      </c>
      <c r="P1161" s="14">
        <f>IF(TOTALCO!P290="", "",TOTALCO!P290)</f>
        <v>0</v>
      </c>
      <c r="Q1161" s="14"/>
    </row>
    <row r="1162" spans="1:17" ht="15" x14ac:dyDescent="0.2">
      <c r="A1162" s="382">
        <f>IF(TOTALCO!A291="", "",TOTALCO!A291)</f>
        <v>13</v>
      </c>
      <c r="B1162" s="4" t="str">
        <f>IF(TOTALCO!B291="", "",TOTALCO!B291)</f>
        <v>DIRECT ASSIGN 361 KY</v>
      </c>
      <c r="C1162" s="4" t="str">
        <f>IF(TOTALCO!C291="", "",TOTALCO!C291)</f>
        <v>DEM361K</v>
      </c>
      <c r="D1162" s="14">
        <f>IF(TOTALCO!D291="", "",TOTALCO!D291)</f>
        <v>1</v>
      </c>
      <c r="E1162" s="14" t="str">
        <f>IF(TOTALCO!E291="", "",TOTALCO!E291)</f>
        <v/>
      </c>
      <c r="F1162" s="14">
        <f>IF(TOTALCO!F291="", "",TOTALCO!F291)</f>
        <v>0.96211871475768407</v>
      </c>
      <c r="G1162" s="14" t="str">
        <f>IF(TOTALCO!G291="", "",TOTALCO!G291)</f>
        <v/>
      </c>
      <c r="H1162" s="14">
        <f>IF(TOTALCO!H291="", "",TOTALCO!H291)</f>
        <v>0</v>
      </c>
      <c r="I1162" s="14">
        <f>IF(TOTALCO!I291="", "",TOTALCO!I291)</f>
        <v>3.788128524231589E-2</v>
      </c>
      <c r="J1162" s="14" t="str">
        <f>IF(TOTALCO!J291="", "",TOTALCO!J291)</f>
        <v/>
      </c>
      <c r="K1162" s="14" t="str">
        <f>IF(TOTALCO!K291="", "",TOTALCO!K291)</f>
        <v/>
      </c>
      <c r="L1162" s="14">
        <f>IF(TOTALCO!L291="", "",TOTALCO!L291)</f>
        <v>0</v>
      </c>
      <c r="M1162" s="14" t="str">
        <f>IF(TOTALCO!M291="", "",TOTALCO!M291)</f>
        <v/>
      </c>
      <c r="N1162" s="14">
        <f>IF(TOTALCO!N291="", "",TOTALCO!N291)</f>
        <v>3.788128524231589E-2</v>
      </c>
      <c r="O1162" s="14">
        <f>IF(TOTALCO!O291="", "",TOTALCO!O291)</f>
        <v>3.788128524231589E-2</v>
      </c>
      <c r="P1162" s="14">
        <f>IF(TOTALCO!P291="", "",TOTALCO!P291)</f>
        <v>0</v>
      </c>
      <c r="Q1162" s="14"/>
    </row>
    <row r="1163" spans="1:17" ht="15" x14ac:dyDescent="0.2">
      <c r="A1163" s="382">
        <f>IF(TOTALCO!A292="", "",TOTALCO!A292)</f>
        <v>14</v>
      </c>
      <c r="B1163" s="4" t="str">
        <f>IF(TOTALCO!B292="", "",TOTALCO!B292)</f>
        <v>DIRECT ASSIGN 362 KY</v>
      </c>
      <c r="C1163" s="4" t="str">
        <f>IF(TOTALCO!C292="", "",TOTALCO!C292)</f>
        <v>DEM362K</v>
      </c>
      <c r="D1163" s="14">
        <f>IF(TOTALCO!D292="", "",TOTALCO!D292)</f>
        <v>1</v>
      </c>
      <c r="E1163" s="14" t="str">
        <f>IF(TOTALCO!E292="", "",TOTALCO!E292)</f>
        <v/>
      </c>
      <c r="F1163" s="14">
        <f>IF(TOTALCO!F292="", "",TOTALCO!F292)</f>
        <v>0.97673477413754228</v>
      </c>
      <c r="G1163" s="14" t="str">
        <f>IF(TOTALCO!G292="", "",TOTALCO!G292)</f>
        <v/>
      </c>
      <c r="H1163" s="14">
        <f>IF(TOTALCO!H292="", "",TOTALCO!H292)</f>
        <v>0</v>
      </c>
      <c r="I1163" s="14">
        <f>IF(TOTALCO!I292="", "",TOTALCO!I292)</f>
        <v>2.3265225862457703E-2</v>
      </c>
      <c r="J1163" s="14" t="str">
        <f>IF(TOTALCO!J292="", "",TOTALCO!J292)</f>
        <v/>
      </c>
      <c r="K1163" s="14" t="str">
        <f>IF(TOTALCO!K292="", "",TOTALCO!K292)</f>
        <v/>
      </c>
      <c r="L1163" s="14">
        <f>IF(TOTALCO!L292="", "",TOTALCO!L292)</f>
        <v>0</v>
      </c>
      <c r="M1163" s="14" t="str">
        <f>IF(TOTALCO!M292="", "",TOTALCO!M292)</f>
        <v/>
      </c>
      <c r="N1163" s="14">
        <f>IF(TOTALCO!N292="", "",TOTALCO!N292)</f>
        <v>2.3265225862457703E-2</v>
      </c>
      <c r="O1163" s="14">
        <f>IF(TOTALCO!O292="", "",TOTALCO!O292)</f>
        <v>2.3265225862457703E-2</v>
      </c>
      <c r="P1163" s="14">
        <f>IF(TOTALCO!P292="", "",TOTALCO!P292)</f>
        <v>0</v>
      </c>
      <c r="Q1163" s="14"/>
    </row>
    <row r="1164" spans="1:17" ht="15" x14ac:dyDescent="0.2">
      <c r="A1164" s="382">
        <f>IF(TOTALCO!A293="", "",TOTALCO!A293)</f>
        <v>15</v>
      </c>
      <c r="B1164" s="4" t="str">
        <f>IF(TOTALCO!B293="", "",TOTALCO!B293)</f>
        <v>DIRECT ASSIGN 364 KY</v>
      </c>
      <c r="C1164" s="4" t="str">
        <f>IF(TOTALCO!C293="", "",TOTALCO!C293)</f>
        <v>DEM364K</v>
      </c>
      <c r="D1164" s="14">
        <f>IF(TOTALCO!D293="", "",TOTALCO!D293)</f>
        <v>1</v>
      </c>
      <c r="E1164" s="14" t="str">
        <f>IF(TOTALCO!E293="", "",TOTALCO!E293)</f>
        <v/>
      </c>
      <c r="F1164" s="14">
        <f>IF(TOTALCO!F293="", "",TOTALCO!F293)</f>
        <v>1</v>
      </c>
      <c r="G1164" s="14" t="str">
        <f>IF(TOTALCO!G293="", "",TOTALCO!G293)</f>
        <v/>
      </c>
      <c r="H1164" s="14">
        <f>IF(TOTALCO!H293="", "",TOTALCO!H293)</f>
        <v>0</v>
      </c>
      <c r="I1164" s="14">
        <f>IF(TOTALCO!I293="", "",TOTALCO!I293)</f>
        <v>0</v>
      </c>
      <c r="J1164" s="14" t="str">
        <f>IF(TOTALCO!J293="", "",TOTALCO!J293)</f>
        <v/>
      </c>
      <c r="K1164" s="14" t="str">
        <f>IF(TOTALCO!K293="", "",TOTALCO!K293)</f>
        <v/>
      </c>
      <c r="L1164" s="14">
        <f>IF(TOTALCO!L293="", "",TOTALCO!L293)</f>
        <v>0</v>
      </c>
      <c r="M1164" s="14" t="str">
        <f>IF(TOTALCO!M293="", "",TOTALCO!M293)</f>
        <v/>
      </c>
      <c r="N1164" s="14">
        <f>IF(TOTALCO!N293="", "",TOTALCO!N293)</f>
        <v>0</v>
      </c>
      <c r="O1164" s="14">
        <f>IF(TOTALCO!O293="", "",TOTALCO!O293)</f>
        <v>0</v>
      </c>
      <c r="P1164" s="14">
        <f>IF(TOTALCO!P293="", "",TOTALCO!P293)</f>
        <v>0</v>
      </c>
      <c r="Q1164" s="14"/>
    </row>
    <row r="1165" spans="1:17" ht="15" x14ac:dyDescent="0.2">
      <c r="A1165" s="382">
        <f>IF(TOTALCO!A294="", "",TOTALCO!A294)</f>
        <v>16</v>
      </c>
      <c r="B1165" s="4" t="str">
        <f>IF(TOTALCO!B294="", "",TOTALCO!B294)</f>
        <v>DIRECT ASSIGN 365 KY</v>
      </c>
      <c r="C1165" s="4" t="str">
        <f>IF(TOTALCO!C294="", "",TOTALCO!C294)</f>
        <v>DEM365K</v>
      </c>
      <c r="D1165" s="14">
        <f>IF(TOTALCO!D294="", "",TOTALCO!D294)</f>
        <v>1</v>
      </c>
      <c r="E1165" s="14" t="str">
        <f>IF(TOTALCO!E294="", "",TOTALCO!E294)</f>
        <v/>
      </c>
      <c r="F1165" s="14">
        <f>IF(TOTALCO!F294="", "",TOTALCO!F294)</f>
        <v>1</v>
      </c>
      <c r="G1165" s="14" t="str">
        <f>IF(TOTALCO!G294="", "",TOTALCO!G294)</f>
        <v/>
      </c>
      <c r="H1165" s="14">
        <f>IF(TOTALCO!H294="", "",TOTALCO!H294)</f>
        <v>0</v>
      </c>
      <c r="I1165" s="14">
        <f>IF(TOTALCO!I294="", "",TOTALCO!I294)</f>
        <v>0</v>
      </c>
      <c r="J1165" s="14" t="str">
        <f>IF(TOTALCO!J294="", "",TOTALCO!J294)</f>
        <v/>
      </c>
      <c r="K1165" s="14" t="str">
        <f>IF(TOTALCO!K294="", "",TOTALCO!K294)</f>
        <v/>
      </c>
      <c r="L1165" s="14">
        <f>IF(TOTALCO!L294="", "",TOTALCO!L294)</f>
        <v>0</v>
      </c>
      <c r="M1165" s="14" t="str">
        <f>IF(TOTALCO!M294="", "",TOTALCO!M294)</f>
        <v/>
      </c>
      <c r="N1165" s="14">
        <f>IF(TOTALCO!N294="", "",TOTALCO!N294)</f>
        <v>0</v>
      </c>
      <c r="O1165" s="14">
        <f>IF(TOTALCO!O294="", "",TOTALCO!O294)</f>
        <v>0</v>
      </c>
      <c r="P1165" s="14">
        <f>IF(TOTALCO!P294="", "",TOTALCO!P294)</f>
        <v>0</v>
      </c>
      <c r="Q1165" s="14"/>
    </row>
    <row r="1166" spans="1:17" ht="15" x14ac:dyDescent="0.2">
      <c r="A1166" s="382">
        <f>IF(TOTALCO!A295="", "",TOTALCO!A295)</f>
        <v>17</v>
      </c>
      <c r="B1166" s="4" t="str">
        <f>IF(TOTALCO!B295="", "",TOTALCO!B295)</f>
        <v>DIRECT ASSIGN 366 KY</v>
      </c>
      <c r="C1166" s="4" t="str">
        <f>IF(TOTALCO!C295="", "",TOTALCO!C295)</f>
        <v>DEM366K</v>
      </c>
      <c r="D1166" s="14">
        <f>IF(TOTALCO!D295="", "",TOTALCO!D295)</f>
        <v>1</v>
      </c>
      <c r="E1166" s="14" t="str">
        <f>IF(TOTALCO!E295="", "",TOTALCO!E295)</f>
        <v/>
      </c>
      <c r="F1166" s="14">
        <f>IF(TOTALCO!F295="", "",TOTALCO!F295)</f>
        <v>1</v>
      </c>
      <c r="G1166" s="14" t="str">
        <f>IF(TOTALCO!G295="", "",TOTALCO!G295)</f>
        <v/>
      </c>
      <c r="H1166" s="14">
        <f>IF(TOTALCO!H295="", "",TOTALCO!H295)</f>
        <v>0</v>
      </c>
      <c r="I1166" s="14">
        <f>IF(TOTALCO!I295="", "",TOTALCO!I295)</f>
        <v>0</v>
      </c>
      <c r="J1166" s="14" t="str">
        <f>IF(TOTALCO!J295="", "",TOTALCO!J295)</f>
        <v/>
      </c>
      <c r="K1166" s="14" t="str">
        <f>IF(TOTALCO!K295="", "",TOTALCO!K295)</f>
        <v/>
      </c>
      <c r="L1166" s="14">
        <f>IF(TOTALCO!L295="", "",TOTALCO!L295)</f>
        <v>0</v>
      </c>
      <c r="M1166" s="14" t="str">
        <f>IF(TOTALCO!M295="", "",TOTALCO!M295)</f>
        <v/>
      </c>
      <c r="N1166" s="14">
        <f>IF(TOTALCO!N295="", "",TOTALCO!N295)</f>
        <v>0</v>
      </c>
      <c r="O1166" s="14">
        <f>IF(TOTALCO!O295="", "",TOTALCO!O295)</f>
        <v>0</v>
      </c>
      <c r="P1166" s="14">
        <f>IF(TOTALCO!P295="", "",TOTALCO!P295)</f>
        <v>0</v>
      </c>
      <c r="Q1166" s="14"/>
    </row>
    <row r="1167" spans="1:17" ht="15" x14ac:dyDescent="0.2">
      <c r="A1167" s="382">
        <f>IF(TOTALCO!A296="", "",TOTALCO!A296)</f>
        <v>18</v>
      </c>
      <c r="B1167" s="4" t="str">
        <f>IF(TOTALCO!B296="", "",TOTALCO!B296)</f>
        <v>DIRECT ASSIGN 367 KY</v>
      </c>
      <c r="C1167" s="4" t="str">
        <f>IF(TOTALCO!C296="", "",TOTALCO!C296)</f>
        <v>DEM367K</v>
      </c>
      <c r="D1167" s="14">
        <f>IF(TOTALCO!D296="", "",TOTALCO!D296)</f>
        <v>1</v>
      </c>
      <c r="E1167" s="14" t="str">
        <f>IF(TOTALCO!E296="", "",TOTALCO!E296)</f>
        <v/>
      </c>
      <c r="F1167" s="14">
        <f>IF(TOTALCO!F296="", "",TOTALCO!F296)</f>
        <v>1</v>
      </c>
      <c r="G1167" s="14" t="str">
        <f>IF(TOTALCO!G296="", "",TOTALCO!G296)</f>
        <v/>
      </c>
      <c r="H1167" s="14">
        <f>IF(TOTALCO!H296="", "",TOTALCO!H296)</f>
        <v>0</v>
      </c>
      <c r="I1167" s="14">
        <f>IF(TOTALCO!I296="", "",TOTALCO!I296)</f>
        <v>0</v>
      </c>
      <c r="J1167" s="14" t="str">
        <f>IF(TOTALCO!J296="", "",TOTALCO!J296)</f>
        <v/>
      </c>
      <c r="K1167" s="14" t="str">
        <f>IF(TOTALCO!K296="", "",TOTALCO!K296)</f>
        <v/>
      </c>
      <c r="L1167" s="14">
        <f>IF(TOTALCO!L296="", "",TOTALCO!L296)</f>
        <v>0</v>
      </c>
      <c r="M1167" s="14" t="str">
        <f>IF(TOTALCO!M296="", "",TOTALCO!M296)</f>
        <v/>
      </c>
      <c r="N1167" s="14">
        <f>IF(TOTALCO!N296="", "",TOTALCO!N296)</f>
        <v>0</v>
      </c>
      <c r="O1167" s="14">
        <f>IF(TOTALCO!O296="", "",TOTALCO!O296)</f>
        <v>0</v>
      </c>
      <c r="P1167" s="14">
        <f>IF(TOTALCO!P296="", "",TOTALCO!P296)</f>
        <v>0</v>
      </c>
      <c r="Q1167" s="14"/>
    </row>
    <row r="1168" spans="1:17" ht="15" x14ac:dyDescent="0.2">
      <c r="A1168" s="382">
        <f>IF(TOTALCO!A297="", "",TOTALCO!A297)</f>
        <v>19</v>
      </c>
      <c r="B1168" s="4" t="str">
        <f>IF(TOTALCO!B297="", "",TOTALCO!B297)</f>
        <v>DIRECT ASSIGN 368 KY</v>
      </c>
      <c r="C1168" s="4" t="str">
        <f>IF(TOTALCO!C297="", "",TOTALCO!C297)</f>
        <v>DEM368K</v>
      </c>
      <c r="D1168" s="14">
        <f>IF(TOTALCO!D297="", "",TOTALCO!D297)</f>
        <v>1</v>
      </c>
      <c r="E1168" s="14" t="str">
        <f>IF(TOTALCO!E297="", "",TOTALCO!E297)</f>
        <v/>
      </c>
      <c r="F1168" s="14">
        <f>IF(TOTALCO!F297="", "",TOTALCO!F297)</f>
        <v>1</v>
      </c>
      <c r="G1168" s="14" t="str">
        <f>IF(TOTALCO!G297="", "",TOTALCO!G297)</f>
        <v/>
      </c>
      <c r="H1168" s="14">
        <f>IF(TOTALCO!H297="", "",TOTALCO!H297)</f>
        <v>0</v>
      </c>
      <c r="I1168" s="14">
        <f>IF(TOTALCO!I297="", "",TOTALCO!I297)</f>
        <v>0</v>
      </c>
      <c r="J1168" s="14" t="str">
        <f>IF(TOTALCO!J297="", "",TOTALCO!J297)</f>
        <v/>
      </c>
      <c r="K1168" s="14" t="str">
        <f>IF(TOTALCO!K297="", "",TOTALCO!K297)</f>
        <v/>
      </c>
      <c r="L1168" s="14">
        <f>IF(TOTALCO!L297="", "",TOTALCO!L297)</f>
        <v>0</v>
      </c>
      <c r="M1168" s="14" t="str">
        <f>IF(TOTALCO!M297="", "",TOTALCO!M297)</f>
        <v/>
      </c>
      <c r="N1168" s="14">
        <f>IF(TOTALCO!N297="", "",TOTALCO!N297)</f>
        <v>0</v>
      </c>
      <c r="O1168" s="14">
        <f>IF(TOTALCO!O297="", "",TOTALCO!O297)</f>
        <v>0</v>
      </c>
      <c r="P1168" s="14">
        <f>IF(TOTALCO!P297="", "",TOTALCO!P297)</f>
        <v>0</v>
      </c>
      <c r="Q1168" s="14"/>
    </row>
    <row r="1169" spans="1:17" ht="15" x14ac:dyDescent="0.2">
      <c r="A1169" s="382">
        <f>IF(TOTALCO!A298="", "",TOTALCO!A298)</f>
        <v>20</v>
      </c>
      <c r="B1169" s="4" t="str">
        <f>IF(TOTALCO!B298="", "",TOTALCO!B298)</f>
        <v>DIRECT ASSIGN 374 KY</v>
      </c>
      <c r="C1169" s="4" t="str">
        <f>IF(TOTALCO!C298="", "",TOTALCO!C298)</f>
        <v>DEM374K</v>
      </c>
      <c r="D1169" s="14">
        <f>IF(TOTALCO!D298="", "",TOTALCO!D298)</f>
        <v>1</v>
      </c>
      <c r="E1169" s="14" t="str">
        <f>IF(TOTALCO!E298="", "",TOTALCO!E298)</f>
        <v/>
      </c>
      <c r="F1169" s="14">
        <f>IF(TOTALCO!F298="", "",TOTALCO!F298)</f>
        <v>1</v>
      </c>
      <c r="G1169" s="14" t="str">
        <f>IF(TOTALCO!G298="", "",TOTALCO!G298)</f>
        <v/>
      </c>
      <c r="H1169" s="14">
        <f>IF(TOTALCO!H298="", "",TOTALCO!H298)</f>
        <v>0</v>
      </c>
      <c r="I1169" s="14">
        <f>IF(TOTALCO!I298="", "",TOTALCO!I298)</f>
        <v>0</v>
      </c>
      <c r="J1169" s="14" t="str">
        <f>IF(TOTALCO!J298="", "",TOTALCO!J298)</f>
        <v/>
      </c>
      <c r="K1169" s="14" t="str">
        <f>IF(TOTALCO!K298="", "",TOTALCO!K298)</f>
        <v/>
      </c>
      <c r="L1169" s="14">
        <f>IF(TOTALCO!L298="", "",TOTALCO!L298)</f>
        <v>0</v>
      </c>
      <c r="M1169" s="14" t="str">
        <f>IF(TOTALCO!M298="", "",TOTALCO!M298)</f>
        <v/>
      </c>
      <c r="N1169" s="14">
        <f>IF(TOTALCO!N298="", "",TOTALCO!N298)</f>
        <v>0</v>
      </c>
      <c r="O1169" s="14">
        <f>IF(TOTALCO!O298="", "",TOTALCO!O298)</f>
        <v>0</v>
      </c>
      <c r="P1169" s="14">
        <f>IF(TOTALCO!P298="", "",TOTALCO!P298)</f>
        <v>0</v>
      </c>
      <c r="Q1169" s="14"/>
    </row>
    <row r="1170" spans="1:17" ht="15" x14ac:dyDescent="0.2">
      <c r="A1170" s="382">
        <f>IF(TOTALCO!A299="", "",TOTALCO!A299)</f>
        <v>21</v>
      </c>
      <c r="B1170" s="4" t="str">
        <f>IF(TOTALCO!B299="", "",TOTALCO!B299)</f>
        <v>DIRECT ASSIGN 360-VA</v>
      </c>
      <c r="C1170" s="4" t="str">
        <f>IF(TOTALCO!C299="", "",TOTALCO!C299)</f>
        <v>DEM360V</v>
      </c>
      <c r="D1170" s="14">
        <f>IF(TOTALCO!D299="", "",TOTALCO!D299)</f>
        <v>1</v>
      </c>
      <c r="E1170" s="14" t="str">
        <f>IF(TOTALCO!E299="", "",TOTALCO!E299)</f>
        <v/>
      </c>
      <c r="F1170" s="14">
        <f>IF(TOTALCO!F299="", "",TOTALCO!F299)</f>
        <v>0</v>
      </c>
      <c r="G1170" s="14" t="str">
        <f>IF(TOTALCO!G299="", "",TOTALCO!G299)</f>
        <v/>
      </c>
      <c r="H1170" s="14">
        <f>IF(TOTALCO!H299="", "",TOTALCO!H299)</f>
        <v>1</v>
      </c>
      <c r="I1170" s="14">
        <f>IF(TOTALCO!I299="", "",TOTALCO!I299)</f>
        <v>0</v>
      </c>
      <c r="J1170" s="14" t="str">
        <f>IF(TOTALCO!J299="", "",TOTALCO!J299)</f>
        <v/>
      </c>
      <c r="K1170" s="14" t="str">
        <f>IF(TOTALCO!K299="", "",TOTALCO!K299)</f>
        <v/>
      </c>
      <c r="L1170" s="14">
        <f>IF(TOTALCO!L299="", "",TOTALCO!L299)</f>
        <v>0</v>
      </c>
      <c r="M1170" s="14" t="str">
        <f>IF(TOTALCO!M299="", "",TOTALCO!M299)</f>
        <v/>
      </c>
      <c r="N1170" s="14">
        <f>IF(TOTALCO!N299="", "",TOTALCO!N299)</f>
        <v>0</v>
      </c>
      <c r="O1170" s="14">
        <f>IF(TOTALCO!O299="", "",TOTALCO!O299)</f>
        <v>0</v>
      </c>
      <c r="P1170" s="14">
        <f>IF(TOTALCO!P299="", "",TOTALCO!P299)</f>
        <v>0</v>
      </c>
      <c r="Q1170" s="14"/>
    </row>
    <row r="1171" spans="1:17" ht="15" x14ac:dyDescent="0.2">
      <c r="A1171" s="382">
        <f>IF(TOTALCO!A300="", "",TOTALCO!A300)</f>
        <v>22</v>
      </c>
      <c r="B1171" s="4" t="str">
        <f>IF(TOTALCO!B300="", "",TOTALCO!B300)</f>
        <v>DIRECT ASSIGN 361-VA</v>
      </c>
      <c r="C1171" s="4" t="str">
        <f>IF(TOTALCO!C300="", "",TOTALCO!C300)</f>
        <v>DEM361V</v>
      </c>
      <c r="D1171" s="14">
        <f>IF(TOTALCO!D300="", "",TOTALCO!D300)</f>
        <v>1</v>
      </c>
      <c r="E1171" s="14" t="str">
        <f>IF(TOTALCO!E300="", "",TOTALCO!E300)</f>
        <v/>
      </c>
      <c r="F1171" s="14">
        <f>IF(TOTALCO!F300="", "",TOTALCO!F300)</f>
        <v>0</v>
      </c>
      <c r="G1171" s="14" t="str">
        <f>IF(TOTALCO!G300="", "",TOTALCO!G300)</f>
        <v/>
      </c>
      <c r="H1171" s="14">
        <f>IF(TOTALCO!H300="", "",TOTALCO!H300)</f>
        <v>1</v>
      </c>
      <c r="I1171" s="14">
        <f>IF(TOTALCO!I300="", "",TOTALCO!I300)</f>
        <v>0</v>
      </c>
      <c r="J1171" s="14" t="str">
        <f>IF(TOTALCO!J300="", "",TOTALCO!J300)</f>
        <v/>
      </c>
      <c r="K1171" s="14" t="str">
        <f>IF(TOTALCO!K300="", "",TOTALCO!K300)</f>
        <v/>
      </c>
      <c r="L1171" s="14">
        <f>IF(TOTALCO!L300="", "",TOTALCO!L300)</f>
        <v>0</v>
      </c>
      <c r="M1171" s="14" t="str">
        <f>IF(TOTALCO!M300="", "",TOTALCO!M300)</f>
        <v/>
      </c>
      <c r="N1171" s="14">
        <f>IF(TOTALCO!N300="", "",TOTALCO!N300)</f>
        <v>0</v>
      </c>
      <c r="O1171" s="14">
        <f>IF(TOTALCO!O300="", "",TOTALCO!O300)</f>
        <v>0</v>
      </c>
      <c r="P1171" s="14">
        <f>IF(TOTALCO!P300="", "",TOTALCO!P300)</f>
        <v>0</v>
      </c>
      <c r="Q1171" s="14"/>
    </row>
    <row r="1172" spans="1:17" ht="15" x14ac:dyDescent="0.2">
      <c r="A1172" s="382">
        <f>IF(TOTALCO!A301="", "",TOTALCO!A301)</f>
        <v>23</v>
      </c>
      <c r="B1172" s="4" t="str">
        <f>IF(TOTALCO!B301="", "",TOTALCO!B301)</f>
        <v>DIRECT ASSIGN 362-VA</v>
      </c>
      <c r="C1172" s="4" t="str">
        <f>IF(TOTALCO!C301="", "",TOTALCO!C301)</f>
        <v>DEM362V</v>
      </c>
      <c r="D1172" s="14">
        <f>IF(TOTALCO!D301="", "",TOTALCO!D301)</f>
        <v>1</v>
      </c>
      <c r="E1172" s="14" t="str">
        <f>IF(TOTALCO!E301="", "",TOTALCO!E301)</f>
        <v/>
      </c>
      <c r="F1172" s="14">
        <f>IF(TOTALCO!F301="", "",TOTALCO!F301)</f>
        <v>0</v>
      </c>
      <c r="G1172" s="14" t="str">
        <f>IF(TOTALCO!G301="", "",TOTALCO!G301)</f>
        <v/>
      </c>
      <c r="H1172" s="14">
        <f>IF(TOTALCO!H301="", "",TOTALCO!H301)</f>
        <v>1</v>
      </c>
      <c r="I1172" s="14">
        <f>IF(TOTALCO!I301="", "",TOTALCO!I301)</f>
        <v>0</v>
      </c>
      <c r="J1172" s="14" t="str">
        <f>IF(TOTALCO!J301="", "",TOTALCO!J301)</f>
        <v/>
      </c>
      <c r="K1172" s="14" t="str">
        <f>IF(TOTALCO!K301="", "",TOTALCO!K301)</f>
        <v/>
      </c>
      <c r="L1172" s="14">
        <f>IF(TOTALCO!L301="", "",TOTALCO!L301)</f>
        <v>0</v>
      </c>
      <c r="M1172" s="14" t="str">
        <f>IF(TOTALCO!M301="", "",TOTALCO!M301)</f>
        <v/>
      </c>
      <c r="N1172" s="14">
        <f>IF(TOTALCO!N301="", "",TOTALCO!N301)</f>
        <v>0</v>
      </c>
      <c r="O1172" s="14">
        <f>IF(TOTALCO!O301="", "",TOTALCO!O301)</f>
        <v>0</v>
      </c>
      <c r="P1172" s="14">
        <f>IF(TOTALCO!P301="", "",TOTALCO!P301)</f>
        <v>0</v>
      </c>
      <c r="Q1172" s="14"/>
    </row>
    <row r="1173" spans="1:17" ht="15" x14ac:dyDescent="0.2">
      <c r="A1173" s="382">
        <f>IF(TOTALCO!A302="", "",TOTALCO!A302)</f>
        <v>24</v>
      </c>
      <c r="B1173" s="4" t="str">
        <f>IF(TOTALCO!B302="", "",TOTALCO!B302)</f>
        <v>DIRECT ASSIGN 360-362-FERC VA</v>
      </c>
      <c r="C1173" s="4" t="str">
        <f>IF(TOTALCO!C302="", "",TOTALCO!C302)</f>
        <v>DIR3602V</v>
      </c>
      <c r="D1173" s="14">
        <f>IF(TOTALCO!D302="", "",TOTALCO!D302)</f>
        <v>0</v>
      </c>
      <c r="E1173" s="14" t="str">
        <f>IF(TOTALCO!E302="", "",TOTALCO!E302)</f>
        <v/>
      </c>
      <c r="F1173" s="14">
        <f>IF(TOTALCO!F302="", "",TOTALCO!F302)</f>
        <v>0</v>
      </c>
      <c r="G1173" s="14" t="str">
        <f>IF(TOTALCO!G302="", "",TOTALCO!G302)</f>
        <v/>
      </c>
      <c r="H1173" s="14">
        <f>IF(TOTALCO!H302="", "",TOTALCO!H302)</f>
        <v>0</v>
      </c>
      <c r="I1173" s="14">
        <f>IF(TOTALCO!I302="", "",TOTALCO!I302)</f>
        <v>0</v>
      </c>
      <c r="J1173" s="14" t="str">
        <f>IF(TOTALCO!J302="", "",TOTALCO!J302)</f>
        <v/>
      </c>
      <c r="K1173" s="14" t="str">
        <f>IF(TOTALCO!K302="", "",TOTALCO!K302)</f>
        <v/>
      </c>
      <c r="L1173" s="14">
        <f>IF(TOTALCO!L302="", "",TOTALCO!L302)</f>
        <v>0</v>
      </c>
      <c r="M1173" s="14" t="str">
        <f>IF(TOTALCO!M302="", "",TOTALCO!M302)</f>
        <v/>
      </c>
      <c r="N1173" s="14">
        <f>IF(TOTALCO!N302="", "",TOTALCO!N302)</f>
        <v>0</v>
      </c>
      <c r="O1173" s="14">
        <f>IF(TOTALCO!O302="", "",TOTALCO!O302)</f>
        <v>0</v>
      </c>
      <c r="P1173" s="14">
        <f>IF(TOTALCO!P302="", "",TOTALCO!P302)</f>
        <v>0</v>
      </c>
      <c r="Q1173" s="14"/>
    </row>
    <row r="1174" spans="1:17" ht="15" x14ac:dyDescent="0.2">
      <c r="A1174" s="382">
        <f>IF(TOTALCO!A303="", "",TOTALCO!A303)</f>
        <v>25</v>
      </c>
      <c r="B1174" s="4" t="str">
        <f>IF(TOTALCO!B303="", "",TOTALCO!B303)</f>
        <v>DIRECT ASSIGN 364-VA</v>
      </c>
      <c r="C1174" s="4" t="str">
        <f>IF(TOTALCO!C303="", "",TOTALCO!C303)</f>
        <v>DEM364V</v>
      </c>
      <c r="D1174" s="14">
        <f>IF(TOTALCO!D303="", "",TOTALCO!D303)</f>
        <v>1</v>
      </c>
      <c r="E1174" s="14" t="str">
        <f>IF(TOTALCO!E303="", "",TOTALCO!E303)</f>
        <v/>
      </c>
      <c r="F1174" s="14">
        <f>IF(TOTALCO!F303="", "",TOTALCO!F303)</f>
        <v>0</v>
      </c>
      <c r="G1174" s="14" t="str">
        <f>IF(TOTALCO!G303="", "",TOTALCO!G303)</f>
        <v/>
      </c>
      <c r="H1174" s="14">
        <f>IF(TOTALCO!H303="", "",TOTALCO!H303)</f>
        <v>1</v>
      </c>
      <c r="I1174" s="14">
        <f>IF(TOTALCO!I303="", "",TOTALCO!I303)</f>
        <v>0</v>
      </c>
      <c r="J1174" s="14" t="str">
        <f>IF(TOTALCO!J303="", "",TOTALCO!J303)</f>
        <v/>
      </c>
      <c r="K1174" s="14" t="str">
        <f>IF(TOTALCO!K303="", "",TOTALCO!K303)</f>
        <v/>
      </c>
      <c r="L1174" s="14">
        <f>IF(TOTALCO!L303="", "",TOTALCO!L303)</f>
        <v>0</v>
      </c>
      <c r="M1174" s="14" t="str">
        <f>IF(TOTALCO!M303="", "",TOTALCO!M303)</f>
        <v/>
      </c>
      <c r="N1174" s="14">
        <f>IF(TOTALCO!N303="", "",TOTALCO!N303)</f>
        <v>0</v>
      </c>
      <c r="O1174" s="14">
        <f>IF(TOTALCO!O303="", "",TOTALCO!O303)</f>
        <v>0</v>
      </c>
      <c r="P1174" s="14">
        <f>IF(TOTALCO!P303="", "",TOTALCO!P303)</f>
        <v>0</v>
      </c>
      <c r="Q1174" s="14"/>
    </row>
    <row r="1175" spans="1:17" ht="15" x14ac:dyDescent="0.2">
      <c r="A1175" s="382">
        <f>IF(TOTALCO!A304="", "",TOTALCO!A304)</f>
        <v>26</v>
      </c>
      <c r="B1175" s="4" t="str">
        <f>IF(TOTALCO!B304="", "",TOTALCO!B304)</f>
        <v>DIRECT ASSIGN 365-VA</v>
      </c>
      <c r="C1175" s="4" t="str">
        <f>IF(TOTALCO!C304="", "",TOTALCO!C304)</f>
        <v>DEM365V</v>
      </c>
      <c r="D1175" s="14">
        <f>IF(TOTALCO!D304="", "",TOTALCO!D304)</f>
        <v>1</v>
      </c>
      <c r="E1175" s="14" t="str">
        <f>IF(TOTALCO!E304="", "",TOTALCO!E304)</f>
        <v/>
      </c>
      <c r="F1175" s="14">
        <f>IF(TOTALCO!F304="", "",TOTALCO!F304)</f>
        <v>0</v>
      </c>
      <c r="G1175" s="14" t="str">
        <f>IF(TOTALCO!G304="", "",TOTALCO!G304)</f>
        <v/>
      </c>
      <c r="H1175" s="14">
        <f>IF(TOTALCO!H304="", "",TOTALCO!H304)</f>
        <v>1</v>
      </c>
      <c r="I1175" s="14">
        <f>IF(TOTALCO!I304="", "",TOTALCO!I304)</f>
        <v>0</v>
      </c>
      <c r="J1175" s="14" t="str">
        <f>IF(TOTALCO!J304="", "",TOTALCO!J304)</f>
        <v/>
      </c>
      <c r="K1175" s="14" t="str">
        <f>IF(TOTALCO!K304="", "",TOTALCO!K304)</f>
        <v/>
      </c>
      <c r="L1175" s="14">
        <f>IF(TOTALCO!L304="", "",TOTALCO!L304)</f>
        <v>0</v>
      </c>
      <c r="M1175" s="14" t="str">
        <f>IF(TOTALCO!M304="", "",TOTALCO!M304)</f>
        <v/>
      </c>
      <c r="N1175" s="14">
        <f>IF(TOTALCO!N304="", "",TOTALCO!N304)</f>
        <v>0</v>
      </c>
      <c r="O1175" s="14">
        <f>IF(TOTALCO!O304="", "",TOTALCO!O304)</f>
        <v>0</v>
      </c>
      <c r="P1175" s="14">
        <f>IF(TOTALCO!P304="", "",TOTALCO!P304)</f>
        <v>0</v>
      </c>
      <c r="Q1175" s="14"/>
    </row>
    <row r="1176" spans="1:17" ht="15" x14ac:dyDescent="0.2">
      <c r="A1176" s="382">
        <f>IF(TOTALCO!A305="", "",TOTALCO!A305)</f>
        <v>27</v>
      </c>
      <c r="B1176" s="4" t="str">
        <f>IF(TOTALCO!B305="", "",TOTALCO!B305)</f>
        <v>DIRECT ASSIGN 367-VA</v>
      </c>
      <c r="C1176" s="4" t="str">
        <f>IF(TOTALCO!C305="", "",TOTALCO!C305)</f>
        <v>DEM367V</v>
      </c>
      <c r="D1176" s="14">
        <f>IF(TOTALCO!D305="", "",TOTALCO!D305)</f>
        <v>1</v>
      </c>
      <c r="E1176" s="14" t="str">
        <f>IF(TOTALCO!E305="", "",TOTALCO!E305)</f>
        <v/>
      </c>
      <c r="F1176" s="14">
        <f>IF(TOTALCO!F305="", "",TOTALCO!F305)</f>
        <v>0</v>
      </c>
      <c r="G1176" s="14" t="str">
        <f>IF(TOTALCO!G305="", "",TOTALCO!G305)</f>
        <v/>
      </c>
      <c r="H1176" s="14">
        <f>IF(TOTALCO!H305="", "",TOTALCO!H305)</f>
        <v>1</v>
      </c>
      <c r="I1176" s="14">
        <f>IF(TOTALCO!I305="", "",TOTALCO!I305)</f>
        <v>0</v>
      </c>
      <c r="J1176" s="14" t="str">
        <f>IF(TOTALCO!J305="", "",TOTALCO!J305)</f>
        <v/>
      </c>
      <c r="K1176" s="14" t="str">
        <f>IF(TOTALCO!K305="", "",TOTALCO!K305)</f>
        <v/>
      </c>
      <c r="L1176" s="14">
        <f>IF(TOTALCO!L305="", "",TOTALCO!L305)</f>
        <v>0</v>
      </c>
      <c r="M1176" s="14" t="str">
        <f>IF(TOTALCO!M305="", "",TOTALCO!M305)</f>
        <v/>
      </c>
      <c r="N1176" s="14">
        <f>IF(TOTALCO!N305="", "",TOTALCO!N305)</f>
        <v>0</v>
      </c>
      <c r="O1176" s="14">
        <f>IF(TOTALCO!O305="", "",TOTALCO!O305)</f>
        <v>0</v>
      </c>
      <c r="P1176" s="14">
        <f>IF(TOTALCO!P305="", "",TOTALCO!P305)</f>
        <v>0</v>
      </c>
      <c r="Q1176" s="14"/>
    </row>
    <row r="1177" spans="1:17" ht="15" x14ac:dyDescent="0.2">
      <c r="A1177" s="382">
        <f>IF(TOTALCO!A306="", "",TOTALCO!A306)</f>
        <v>28</v>
      </c>
      <c r="B1177" s="4" t="str">
        <f>IF(TOTALCO!B306="", "",TOTALCO!B306)</f>
        <v>DIRECT ASSIGN 368-VA</v>
      </c>
      <c r="C1177" s="4" t="str">
        <f>IF(TOTALCO!C306="", "",TOTALCO!C306)</f>
        <v>DEM368V</v>
      </c>
      <c r="D1177" s="14">
        <f>IF(TOTALCO!D306="", "",TOTALCO!D306)</f>
        <v>1</v>
      </c>
      <c r="E1177" s="14" t="str">
        <f>IF(TOTALCO!E306="", "",TOTALCO!E306)</f>
        <v/>
      </c>
      <c r="F1177" s="14">
        <f>IF(TOTALCO!F306="", "",TOTALCO!F306)</f>
        <v>0</v>
      </c>
      <c r="G1177" s="14" t="str">
        <f>IF(TOTALCO!G306="", "",TOTALCO!G306)</f>
        <v/>
      </c>
      <c r="H1177" s="14">
        <f>IF(TOTALCO!H306="", "",TOTALCO!H306)</f>
        <v>1</v>
      </c>
      <c r="I1177" s="14">
        <f>IF(TOTALCO!I306="", "",TOTALCO!I306)</f>
        <v>0</v>
      </c>
      <c r="J1177" s="14" t="str">
        <f>IF(TOTALCO!J306="", "",TOTALCO!J306)</f>
        <v/>
      </c>
      <c r="K1177" s="14" t="str">
        <f>IF(TOTALCO!K306="", "",TOTALCO!K306)</f>
        <v/>
      </c>
      <c r="L1177" s="14">
        <f>IF(TOTALCO!L306="", "",TOTALCO!L306)</f>
        <v>0</v>
      </c>
      <c r="M1177" s="14" t="str">
        <f>IF(TOTALCO!M306="", "",TOTALCO!M306)</f>
        <v/>
      </c>
      <c r="N1177" s="14">
        <f>IF(TOTALCO!N306="", "",TOTALCO!N306)</f>
        <v>0</v>
      </c>
      <c r="O1177" s="14">
        <f>IF(TOTALCO!O306="", "",TOTALCO!O306)</f>
        <v>0</v>
      </c>
      <c r="P1177" s="14">
        <f>IF(TOTALCO!P306="", "",TOTALCO!P306)</f>
        <v>0</v>
      </c>
      <c r="Q1177" s="14"/>
    </row>
    <row r="1178" spans="1:17" ht="15" x14ac:dyDescent="0.2">
      <c r="A1178" s="382">
        <f>IF(TOTALCO!A307="", "",TOTALCO!A307)</f>
        <v>29</v>
      </c>
      <c r="B1178" s="4" t="str">
        <f>IF(TOTALCO!B307="", "",TOTALCO!B307)</f>
        <v>DIRECT ASSIGN 360-TN</v>
      </c>
      <c r="C1178" s="4" t="str">
        <f>IF(TOTALCO!C307="", "",TOTALCO!C307)</f>
        <v>DEM360T</v>
      </c>
      <c r="D1178" s="14">
        <f>IF(TOTALCO!D307="", "",TOTALCO!D307)</f>
        <v>1</v>
      </c>
      <c r="E1178" s="14" t="str">
        <f>IF(TOTALCO!E307="", "",TOTALCO!E307)</f>
        <v/>
      </c>
      <c r="F1178" s="14">
        <f>IF(TOTALCO!F307="", "",TOTALCO!F307)</f>
        <v>0</v>
      </c>
      <c r="G1178" s="14" t="str">
        <f>IF(TOTALCO!G307="", "",TOTALCO!G307)</f>
        <v/>
      </c>
      <c r="H1178" s="14">
        <f>IF(TOTALCO!H307="", "",TOTALCO!H307)</f>
        <v>0</v>
      </c>
      <c r="I1178" s="14">
        <f>IF(TOTALCO!I307="", "",TOTALCO!I307)</f>
        <v>1</v>
      </c>
      <c r="J1178" s="14" t="str">
        <f>IF(TOTALCO!J307="", "",TOTALCO!J307)</f>
        <v/>
      </c>
      <c r="K1178" s="14" t="str">
        <f>IF(TOTALCO!K307="", "",TOTALCO!K307)</f>
        <v/>
      </c>
      <c r="L1178" s="14">
        <f>IF(TOTALCO!L307="", "",TOTALCO!L307)</f>
        <v>1</v>
      </c>
      <c r="M1178" s="14" t="str">
        <f>IF(TOTALCO!M307="", "",TOTALCO!M307)</f>
        <v/>
      </c>
      <c r="N1178" s="14">
        <f>IF(TOTALCO!N307="", "",TOTALCO!N307)</f>
        <v>0</v>
      </c>
      <c r="O1178" s="14">
        <f>IF(TOTALCO!O307="", "",TOTALCO!O307)</f>
        <v>0</v>
      </c>
      <c r="P1178" s="14">
        <f>IF(TOTALCO!P307="", "",TOTALCO!P307)</f>
        <v>0</v>
      </c>
      <c r="Q1178" s="14"/>
    </row>
    <row r="1179" spans="1:17" ht="15" x14ac:dyDescent="0.2">
      <c r="A1179" s="382">
        <f>IF(TOTALCO!A308="", "",TOTALCO!A308)</f>
        <v>30</v>
      </c>
      <c r="B1179" s="4" t="str">
        <f>IF(TOTALCO!B308="", "",TOTALCO!B308)</f>
        <v>DIRECT ASSIGN 361-TN</v>
      </c>
      <c r="C1179" s="4" t="str">
        <f>IF(TOTALCO!C308="", "",TOTALCO!C308)</f>
        <v>DEM361T</v>
      </c>
      <c r="D1179" s="14">
        <f>IF(TOTALCO!D308="", "",TOTALCO!D308)</f>
        <v>1</v>
      </c>
      <c r="E1179" s="14" t="str">
        <f>IF(TOTALCO!E308="", "",TOTALCO!E308)</f>
        <v/>
      </c>
      <c r="F1179" s="14">
        <f>IF(TOTALCO!F308="", "",TOTALCO!F308)</f>
        <v>0</v>
      </c>
      <c r="G1179" s="14" t="str">
        <f>IF(TOTALCO!G308="", "",TOTALCO!G308)</f>
        <v/>
      </c>
      <c r="H1179" s="14">
        <f>IF(TOTALCO!H308="", "",TOTALCO!H308)</f>
        <v>0</v>
      </c>
      <c r="I1179" s="14">
        <f>IF(TOTALCO!I308="", "",TOTALCO!I308)</f>
        <v>1</v>
      </c>
      <c r="J1179" s="14" t="str">
        <f>IF(TOTALCO!J308="", "",TOTALCO!J308)</f>
        <v/>
      </c>
      <c r="K1179" s="14" t="str">
        <f>IF(TOTALCO!K308="", "",TOTALCO!K308)</f>
        <v/>
      </c>
      <c r="L1179" s="14">
        <f>IF(TOTALCO!L308="", "",TOTALCO!L308)</f>
        <v>1</v>
      </c>
      <c r="M1179" s="14" t="str">
        <f>IF(TOTALCO!M308="", "",TOTALCO!M308)</f>
        <v/>
      </c>
      <c r="N1179" s="14">
        <f>IF(TOTALCO!N308="", "",TOTALCO!N308)</f>
        <v>0</v>
      </c>
      <c r="O1179" s="14">
        <f>IF(TOTALCO!O308="", "",TOTALCO!O308)</f>
        <v>0</v>
      </c>
      <c r="P1179" s="14">
        <f>IF(TOTALCO!P308="", "",TOTALCO!P308)</f>
        <v>0</v>
      </c>
      <c r="Q1179" s="14"/>
    </row>
    <row r="1180" spans="1:17" ht="15" x14ac:dyDescent="0.2">
      <c r="A1180" s="382">
        <f>IF(TOTALCO!A309="", "",TOTALCO!A309)</f>
        <v>31</v>
      </c>
      <c r="B1180" s="4" t="str">
        <f>IF(TOTALCO!B309="", "",TOTALCO!B309)</f>
        <v>DIRECT ASSIGN 362-TN</v>
      </c>
      <c r="C1180" s="4" t="str">
        <f>IF(TOTALCO!C309="", "",TOTALCO!C309)</f>
        <v>DEM362T</v>
      </c>
      <c r="D1180" s="14">
        <f>IF(TOTALCO!D309="", "",TOTALCO!D309)</f>
        <v>1</v>
      </c>
      <c r="E1180" s="14" t="str">
        <f>IF(TOTALCO!E309="", "",TOTALCO!E309)</f>
        <v/>
      </c>
      <c r="F1180" s="14">
        <f>IF(TOTALCO!F309="", "",TOTALCO!F309)</f>
        <v>0</v>
      </c>
      <c r="G1180" s="14" t="str">
        <f>IF(TOTALCO!G309="", "",TOTALCO!G309)</f>
        <v/>
      </c>
      <c r="H1180" s="14">
        <f>IF(TOTALCO!H309="", "",TOTALCO!H309)</f>
        <v>0</v>
      </c>
      <c r="I1180" s="14">
        <f>IF(TOTALCO!I309="", "",TOTALCO!I309)</f>
        <v>1</v>
      </c>
      <c r="J1180" s="14" t="str">
        <f>IF(TOTALCO!J309="", "",TOTALCO!J309)</f>
        <v/>
      </c>
      <c r="K1180" s="14" t="str">
        <f>IF(TOTALCO!K309="", "",TOTALCO!K309)</f>
        <v/>
      </c>
      <c r="L1180" s="14">
        <f>IF(TOTALCO!L309="", "",TOTALCO!L309)</f>
        <v>1</v>
      </c>
      <c r="M1180" s="14" t="str">
        <f>IF(TOTALCO!M309="", "",TOTALCO!M309)</f>
        <v/>
      </c>
      <c r="N1180" s="14">
        <f>IF(TOTALCO!N309="", "",TOTALCO!N309)</f>
        <v>0</v>
      </c>
      <c r="O1180" s="14">
        <f>IF(TOTALCO!O309="", "",TOTALCO!O309)</f>
        <v>0</v>
      </c>
      <c r="P1180" s="14">
        <f>IF(TOTALCO!P309="", "",TOTALCO!P309)</f>
        <v>0</v>
      </c>
      <c r="Q1180" s="14"/>
    </row>
    <row r="1181" spans="1:17" ht="15" x14ac:dyDescent="0.2">
      <c r="A1181" s="382">
        <f>IF(TOTALCO!A310="", "",TOTALCO!A310)</f>
        <v>32</v>
      </c>
      <c r="B1181" s="4" t="str">
        <f>IF(TOTALCO!B310="", "",TOTALCO!B310)</f>
        <v>DIRECT ASSIGN 364-TN</v>
      </c>
      <c r="C1181" s="4" t="str">
        <f>IF(TOTALCO!C310="", "",TOTALCO!C310)</f>
        <v>DEM364T</v>
      </c>
      <c r="D1181" s="14">
        <f>IF(TOTALCO!D310="", "",TOTALCO!D310)</f>
        <v>1</v>
      </c>
      <c r="E1181" s="14" t="str">
        <f>IF(TOTALCO!E310="", "",TOTALCO!E310)</f>
        <v/>
      </c>
      <c r="F1181" s="14">
        <f>IF(TOTALCO!F310="", "",TOTALCO!F310)</f>
        <v>0</v>
      </c>
      <c r="G1181" s="14" t="str">
        <f>IF(TOTALCO!G310="", "",TOTALCO!G310)</f>
        <v/>
      </c>
      <c r="H1181" s="14">
        <f>IF(TOTALCO!H310="", "",TOTALCO!H310)</f>
        <v>0</v>
      </c>
      <c r="I1181" s="14">
        <f>IF(TOTALCO!I310="", "",TOTALCO!I310)</f>
        <v>1</v>
      </c>
      <c r="J1181" s="14" t="str">
        <f>IF(TOTALCO!J310="", "",TOTALCO!J310)</f>
        <v/>
      </c>
      <c r="K1181" s="14" t="str">
        <f>IF(TOTALCO!K310="", "",TOTALCO!K310)</f>
        <v/>
      </c>
      <c r="L1181" s="14">
        <f>IF(TOTALCO!L310="", "",TOTALCO!L310)</f>
        <v>1</v>
      </c>
      <c r="M1181" s="14" t="str">
        <f>IF(TOTALCO!M310="", "",TOTALCO!M310)</f>
        <v/>
      </c>
      <c r="N1181" s="14">
        <f>IF(TOTALCO!N310="", "",TOTALCO!N310)</f>
        <v>0</v>
      </c>
      <c r="O1181" s="14">
        <f>IF(TOTALCO!O310="", "",TOTALCO!O310)</f>
        <v>0</v>
      </c>
      <c r="P1181" s="14">
        <f>IF(TOTALCO!P310="", "",TOTALCO!P310)</f>
        <v>0</v>
      </c>
      <c r="Q1181" s="14"/>
    </row>
    <row r="1182" spans="1:17" ht="15" x14ac:dyDescent="0.2">
      <c r="A1182" s="382">
        <f>IF(TOTALCO!A311="", "",TOTALCO!A311)</f>
        <v>33</v>
      </c>
      <c r="B1182" s="4" t="str">
        <f>IF(TOTALCO!B311="", "",TOTALCO!B311)</f>
        <v>DIRECT ASSIGN 365-TN</v>
      </c>
      <c r="C1182" s="4" t="str">
        <f>IF(TOTALCO!C311="", "",TOTALCO!C311)</f>
        <v>DEM365T</v>
      </c>
      <c r="D1182" s="14">
        <f>IF(TOTALCO!D311="", "",TOTALCO!D311)</f>
        <v>1</v>
      </c>
      <c r="E1182" s="14" t="str">
        <f>IF(TOTALCO!E311="", "",TOTALCO!E311)</f>
        <v/>
      </c>
      <c r="F1182" s="14">
        <f>IF(TOTALCO!F311="", "",TOTALCO!F311)</f>
        <v>0</v>
      </c>
      <c r="G1182" s="14" t="str">
        <f>IF(TOTALCO!G311="", "",TOTALCO!G311)</f>
        <v/>
      </c>
      <c r="H1182" s="14">
        <f>IF(TOTALCO!H311="", "",TOTALCO!H311)</f>
        <v>0</v>
      </c>
      <c r="I1182" s="14">
        <f>IF(TOTALCO!I311="", "",TOTALCO!I311)</f>
        <v>1</v>
      </c>
      <c r="J1182" s="14" t="str">
        <f>IF(TOTALCO!J311="", "",TOTALCO!J311)</f>
        <v/>
      </c>
      <c r="K1182" s="14" t="str">
        <f>IF(TOTALCO!K311="", "",TOTALCO!K311)</f>
        <v/>
      </c>
      <c r="L1182" s="14">
        <f>IF(TOTALCO!L311="", "",TOTALCO!L311)</f>
        <v>1</v>
      </c>
      <c r="M1182" s="14" t="str">
        <f>IF(TOTALCO!M311="", "",TOTALCO!M311)</f>
        <v/>
      </c>
      <c r="N1182" s="14">
        <f>IF(TOTALCO!N311="", "",TOTALCO!N311)</f>
        <v>0</v>
      </c>
      <c r="O1182" s="14">
        <f>IF(TOTALCO!O311="", "",TOTALCO!O311)</f>
        <v>0</v>
      </c>
      <c r="P1182" s="14">
        <f>IF(TOTALCO!P311="", "",TOTALCO!P311)</f>
        <v>0</v>
      </c>
      <c r="Q1182" s="14"/>
    </row>
    <row r="1183" spans="1:17" ht="15" x14ac:dyDescent="0.2">
      <c r="A1183" s="382">
        <f>IF(TOTALCO!A312="", "",TOTALCO!A312)</f>
        <v>34</v>
      </c>
      <c r="B1183" s="4" t="str">
        <f>IF(TOTALCO!B312="", "",TOTALCO!B312)</f>
        <v>DIRECT ASSIGN 368-TN</v>
      </c>
      <c r="C1183" s="4" t="str">
        <f>IF(TOTALCO!C312="", "",TOTALCO!C312)</f>
        <v>DEM368T</v>
      </c>
      <c r="D1183" s="14">
        <f>IF(TOTALCO!D312="", "",TOTALCO!D312)</f>
        <v>1</v>
      </c>
      <c r="E1183" s="14" t="str">
        <f>IF(TOTALCO!E312="", "",TOTALCO!E312)</f>
        <v/>
      </c>
      <c r="F1183" s="14">
        <f>IF(TOTALCO!F312="", "",TOTALCO!F312)</f>
        <v>0</v>
      </c>
      <c r="G1183" s="14" t="str">
        <f>IF(TOTALCO!G312="", "",TOTALCO!G312)</f>
        <v/>
      </c>
      <c r="H1183" s="14">
        <f>IF(TOTALCO!H312="", "",TOTALCO!H312)</f>
        <v>0</v>
      </c>
      <c r="I1183" s="14">
        <f>IF(TOTALCO!I312="", "",TOTALCO!I312)</f>
        <v>1</v>
      </c>
      <c r="J1183" s="14" t="str">
        <f>IF(TOTALCO!J312="", "",TOTALCO!J312)</f>
        <v/>
      </c>
      <c r="K1183" s="14" t="str">
        <f>IF(TOTALCO!K312="", "",TOTALCO!K312)</f>
        <v/>
      </c>
      <c r="L1183" s="14">
        <f>IF(TOTALCO!L312="", "",TOTALCO!L312)</f>
        <v>1</v>
      </c>
      <c r="M1183" s="14" t="str">
        <f>IF(TOTALCO!M312="", "",TOTALCO!M312)</f>
        <v/>
      </c>
      <c r="N1183" s="14">
        <f>IF(TOTALCO!N312="", "",TOTALCO!N312)</f>
        <v>0</v>
      </c>
      <c r="O1183" s="14">
        <f>IF(TOTALCO!O312="", "",TOTALCO!O312)</f>
        <v>0</v>
      </c>
      <c r="P1183" s="14">
        <f>IF(TOTALCO!P312="", "",TOTALCO!P312)</f>
        <v>0</v>
      </c>
      <c r="Q1183" s="14"/>
    </row>
    <row r="1184" spans="1:17" ht="15" x14ac:dyDescent="0.2">
      <c r="A1184" s="382">
        <f>IF(TOTALCO!A313="", "",TOTALCO!A313)</f>
        <v>35</v>
      </c>
      <c r="B1184" s="4" t="str">
        <f>IF(TOTALCO!B313="", "",TOTALCO!B313)</f>
        <v>DIRECT ASSIGN 369-TN</v>
      </c>
      <c r="C1184" s="4" t="str">
        <f>IF(TOTALCO!C313="", "",TOTALCO!C313)</f>
        <v>CUST369T</v>
      </c>
      <c r="D1184" s="14">
        <f>IF(TOTALCO!D313="", "",TOTALCO!D313)</f>
        <v>1</v>
      </c>
      <c r="E1184" s="14" t="str">
        <f>IF(TOTALCO!E313="", "",TOTALCO!E313)</f>
        <v/>
      </c>
      <c r="F1184" s="14">
        <f>IF(TOTALCO!F313="", "",TOTALCO!F313)</f>
        <v>0</v>
      </c>
      <c r="G1184" s="14" t="str">
        <f>IF(TOTALCO!G313="", "",TOTALCO!G313)</f>
        <v/>
      </c>
      <c r="H1184" s="14">
        <f>IF(TOTALCO!H313="", "",TOTALCO!H313)</f>
        <v>0</v>
      </c>
      <c r="I1184" s="14">
        <f>IF(TOTALCO!I313="", "",TOTALCO!I313)</f>
        <v>1</v>
      </c>
      <c r="J1184" s="14" t="str">
        <f>IF(TOTALCO!J313="", "",TOTALCO!J313)</f>
        <v/>
      </c>
      <c r="K1184" s="14" t="str">
        <f>IF(TOTALCO!K313="", "",TOTALCO!K313)</f>
        <v/>
      </c>
      <c r="L1184" s="14">
        <f>IF(TOTALCO!L313="", "",TOTALCO!L313)</f>
        <v>1</v>
      </c>
      <c r="M1184" s="14" t="str">
        <f>IF(TOTALCO!M313="", "",TOTALCO!M313)</f>
        <v/>
      </c>
      <c r="N1184" s="14">
        <f>IF(TOTALCO!N313="", "",TOTALCO!N313)</f>
        <v>0</v>
      </c>
      <c r="O1184" s="14">
        <f>IF(TOTALCO!O313="", "",TOTALCO!O313)</f>
        <v>0</v>
      </c>
      <c r="P1184" s="14">
        <f>IF(TOTALCO!P313="", "",TOTALCO!P313)</f>
        <v>0</v>
      </c>
      <c r="Q1184" s="14"/>
    </row>
    <row r="1185" spans="1:17" ht="15" x14ac:dyDescent="0.2">
      <c r="A1185" s="382">
        <f>IF(TOTALCO!A314="", "",TOTALCO!A314)</f>
        <v>36</v>
      </c>
      <c r="B1185" s="4" t="str">
        <f>IF(TOTALCO!B314="", "",TOTALCO!B314)</f>
        <v>DIRECT ASSIGN 370-TN</v>
      </c>
      <c r="C1185" s="4" t="str">
        <f>IF(TOTALCO!C314="", "",TOTALCO!C314)</f>
        <v>CUST370T</v>
      </c>
      <c r="D1185" s="14">
        <f>IF(TOTALCO!D314="", "",TOTALCO!D314)</f>
        <v>1</v>
      </c>
      <c r="E1185" s="14" t="str">
        <f>IF(TOTALCO!E314="", "",TOTALCO!E314)</f>
        <v/>
      </c>
      <c r="F1185" s="14">
        <f>IF(TOTALCO!F314="", "",TOTALCO!F314)</f>
        <v>0</v>
      </c>
      <c r="G1185" s="14" t="str">
        <f>IF(TOTALCO!G314="", "",TOTALCO!G314)</f>
        <v/>
      </c>
      <c r="H1185" s="14">
        <f>IF(TOTALCO!H314="", "",TOTALCO!H314)</f>
        <v>0</v>
      </c>
      <c r="I1185" s="14">
        <f>IF(TOTALCO!I314="", "",TOTALCO!I314)</f>
        <v>1</v>
      </c>
      <c r="J1185" s="14" t="str">
        <f>IF(TOTALCO!J314="", "",TOTALCO!J314)</f>
        <v/>
      </c>
      <c r="K1185" s="14" t="str">
        <f>IF(TOTALCO!K314="", "",TOTALCO!K314)</f>
        <v/>
      </c>
      <c r="L1185" s="14">
        <f>IF(TOTALCO!L314="", "",TOTALCO!L314)</f>
        <v>1</v>
      </c>
      <c r="M1185" s="14" t="str">
        <f>IF(TOTALCO!M314="", "",TOTALCO!M314)</f>
        <v/>
      </c>
      <c r="N1185" s="14">
        <f>IF(TOTALCO!N314="", "",TOTALCO!N314)</f>
        <v>0</v>
      </c>
      <c r="O1185" s="14">
        <f>IF(TOTALCO!O314="", "",TOTALCO!O314)</f>
        <v>0</v>
      </c>
      <c r="P1185" s="14">
        <f>IF(TOTALCO!P314="", "",TOTALCO!P314)</f>
        <v>0</v>
      </c>
      <c r="Q1185" s="14"/>
    </row>
    <row r="1186" spans="1:17" ht="15" x14ac:dyDescent="0.2">
      <c r="A1186" s="382">
        <f>IF(TOTALCO!A315="", "",TOTALCO!A315)</f>
        <v>37</v>
      </c>
      <c r="B1186" s="4" t="str">
        <f>IF(TOTALCO!B315="", "",TOTALCO!B315)</f>
        <v>DIRECT ASSIGN 371-TN</v>
      </c>
      <c r="C1186" s="4" t="str">
        <f>IF(TOTALCO!C315="", "",TOTALCO!C315)</f>
        <v>CUST371T</v>
      </c>
      <c r="D1186" s="14">
        <f>IF(TOTALCO!D315="", "",TOTALCO!D315)</f>
        <v>0</v>
      </c>
      <c r="E1186" s="14" t="str">
        <f>IF(TOTALCO!E315="", "",TOTALCO!E315)</f>
        <v/>
      </c>
      <c r="F1186" s="14">
        <f>IF(TOTALCO!F315="", "",TOTALCO!F315)</f>
        <v>0</v>
      </c>
      <c r="G1186" s="14" t="str">
        <f>IF(TOTALCO!G315="", "",TOTALCO!G315)</f>
        <v/>
      </c>
      <c r="H1186" s="14">
        <f>IF(TOTALCO!H315="", "",TOTALCO!H315)</f>
        <v>0</v>
      </c>
      <c r="I1186" s="14">
        <f>IF(TOTALCO!I315="", "",TOTALCO!I315)</f>
        <v>0</v>
      </c>
      <c r="J1186" s="14" t="str">
        <f>IF(TOTALCO!J315="", "",TOTALCO!J315)</f>
        <v/>
      </c>
      <c r="K1186" s="14" t="str">
        <f>IF(TOTALCO!K315="", "",TOTALCO!K315)</f>
        <v/>
      </c>
      <c r="L1186" s="14">
        <f>IF(TOTALCO!L315="", "",TOTALCO!L315)</f>
        <v>0</v>
      </c>
      <c r="M1186" s="14" t="str">
        <f>IF(TOTALCO!M315="", "",TOTALCO!M315)</f>
        <v/>
      </c>
      <c r="N1186" s="14">
        <f>IF(TOTALCO!N315="", "",TOTALCO!N315)</f>
        <v>0</v>
      </c>
      <c r="O1186" s="14">
        <f>IF(TOTALCO!O315="", "",TOTALCO!O315)</f>
        <v>0</v>
      </c>
      <c r="P1186" s="14">
        <f>IF(TOTALCO!P315="", "",TOTALCO!P315)</f>
        <v>0</v>
      </c>
      <c r="Q1186" s="14"/>
    </row>
    <row r="1187" spans="1:17" ht="15" x14ac:dyDescent="0.2">
      <c r="A1187" s="382">
        <f>IF(TOTALCO!A316="", "",TOTALCO!A316)</f>
        <v>38</v>
      </c>
      <c r="B1187" s="4" t="str">
        <f>IF(TOTALCO!B316="", "",TOTALCO!B316)</f>
        <v xml:space="preserve">DIR ASSIGN ACCUM DEPREC.VA &amp; TN </v>
      </c>
      <c r="C1187" s="4" t="str">
        <f>IF(TOTALCO!C316="", "",TOTALCO!C316)</f>
        <v>DIRACDEP</v>
      </c>
      <c r="D1187" s="14">
        <f>IF(TOTALCO!D316="", "",TOTALCO!D316)</f>
        <v>1</v>
      </c>
      <c r="E1187" s="14" t="str">
        <f>IF(TOTALCO!E316="", "",TOTALCO!E316)</f>
        <v/>
      </c>
      <c r="F1187" s="14">
        <f>IF(TOTALCO!F316="", "",TOTALCO!F316)</f>
        <v>0</v>
      </c>
      <c r="G1187" s="14" t="str">
        <f>IF(TOTALCO!G316="", "",TOTALCO!G316)</f>
        <v/>
      </c>
      <c r="H1187" s="14">
        <f>IF(TOTALCO!H316="", "",TOTALCO!H316)</f>
        <v>0.99622294555282809</v>
      </c>
      <c r="I1187" s="14">
        <f>IF(TOTALCO!I316="", "",TOTALCO!I316)</f>
        <v>3.7770544471719372E-3</v>
      </c>
      <c r="J1187" s="14" t="str">
        <f>IF(TOTALCO!J316="", "",TOTALCO!J316)</f>
        <v/>
      </c>
      <c r="K1187" s="14" t="str">
        <f>IF(TOTALCO!K316="", "",TOTALCO!K316)</f>
        <v/>
      </c>
      <c r="L1187" s="14">
        <f>IF(TOTALCO!L316="", "",TOTALCO!L316)</f>
        <v>3.7770544471719372E-3</v>
      </c>
      <c r="M1187" s="14" t="str">
        <f>IF(TOTALCO!M316="", "",TOTALCO!M316)</f>
        <v/>
      </c>
      <c r="N1187" s="14">
        <f>IF(TOTALCO!N316="", "",TOTALCO!N316)</f>
        <v>0</v>
      </c>
      <c r="O1187" s="14">
        <f>IF(TOTALCO!O316="", "",TOTALCO!O316)</f>
        <v>0</v>
      </c>
      <c r="P1187" s="14">
        <f>IF(TOTALCO!P316="", "",TOTALCO!P316)</f>
        <v>0</v>
      </c>
      <c r="Q1187" s="14"/>
    </row>
    <row r="1188" spans="1:17" ht="15" x14ac:dyDescent="0.2">
      <c r="A1188" s="382">
        <f>IF(TOTALCO!A317="", "",TOTALCO!A317)</f>
        <v>39</v>
      </c>
      <c r="B1188" s="4" t="str">
        <f>IF(TOTALCO!B317="", "",TOTALCO!B317)</f>
        <v>DIR ASSIGN CWIP VA &amp; TN</v>
      </c>
      <c r="C1188" s="4" t="str">
        <f>IF(TOTALCO!C317="", "",TOTALCO!C317)</f>
        <v>DIRCWIP</v>
      </c>
      <c r="D1188" s="14">
        <f>IF(TOTALCO!D317="", "",TOTALCO!D317)</f>
        <v>1</v>
      </c>
      <c r="E1188" s="14" t="str">
        <f>IF(TOTALCO!E317="", "",TOTALCO!E317)</f>
        <v/>
      </c>
      <c r="F1188" s="14">
        <f>IF(TOTALCO!F317="", "",TOTALCO!F317)</f>
        <v>0</v>
      </c>
      <c r="G1188" s="14" t="str">
        <f>IF(TOTALCO!G317="", "",TOTALCO!G317)</f>
        <v/>
      </c>
      <c r="H1188" s="14">
        <f>IF(TOTALCO!H317="", "",TOTALCO!H317)</f>
        <v>1</v>
      </c>
      <c r="I1188" s="14">
        <f>IF(TOTALCO!I317="", "",TOTALCO!I317)</f>
        <v>0</v>
      </c>
      <c r="J1188" s="14" t="str">
        <f>IF(TOTALCO!J317="", "",TOTALCO!J317)</f>
        <v/>
      </c>
      <c r="K1188" s="14" t="str">
        <f>IF(TOTALCO!K317="", "",TOTALCO!K317)</f>
        <v/>
      </c>
      <c r="L1188" s="14">
        <f>IF(TOTALCO!L317="", "",TOTALCO!L317)</f>
        <v>0</v>
      </c>
      <c r="M1188" s="14" t="str">
        <f>IF(TOTALCO!M317="", "",TOTALCO!M317)</f>
        <v/>
      </c>
      <c r="N1188" s="14">
        <f>IF(TOTALCO!N317="", "",TOTALCO!N317)</f>
        <v>0</v>
      </c>
      <c r="O1188" s="14">
        <f>IF(TOTALCO!O317="", "",TOTALCO!O317)</f>
        <v>0</v>
      </c>
      <c r="P1188" s="14">
        <f>IF(TOTALCO!P317="", "",TOTALCO!P317)</f>
        <v>0</v>
      </c>
      <c r="Q1188" s="14"/>
    </row>
    <row r="1189" spans="1:17" ht="15" x14ac:dyDescent="0.2">
      <c r="A1189" s="382">
        <f>IF(TOTALCO!A318="", "",TOTALCO!A318)</f>
        <v>40</v>
      </c>
      <c r="B1189" s="4" t="str">
        <f>IF(TOTALCO!B318="", "",TOTALCO!B318)</f>
        <v>DIR ASSIGN ACC DFD TAX VA</v>
      </c>
      <c r="C1189" s="4" t="str">
        <f>IF(TOTALCO!C318="", "",TOTALCO!C318)</f>
        <v>DIRACDFTX</v>
      </c>
      <c r="D1189" s="14">
        <f>IF(TOTALCO!D318="", "",TOTALCO!D318)</f>
        <v>1</v>
      </c>
      <c r="E1189" s="14" t="str">
        <f>IF(TOTALCO!E318="", "",TOTALCO!E318)</f>
        <v/>
      </c>
      <c r="F1189" s="14">
        <f>IF(TOTALCO!F318="", "",TOTALCO!F318)</f>
        <v>0</v>
      </c>
      <c r="G1189" s="14" t="str">
        <f>IF(TOTALCO!G318="", "",TOTALCO!G318)</f>
        <v/>
      </c>
      <c r="H1189" s="14">
        <f>IF(TOTALCO!H318="", "",TOTALCO!H318)</f>
        <v>1</v>
      </c>
      <c r="I1189" s="14">
        <f>IF(TOTALCO!I318="", "",TOTALCO!I318)</f>
        <v>0</v>
      </c>
      <c r="J1189" s="14" t="str">
        <f>IF(TOTALCO!J318="", "",TOTALCO!J318)</f>
        <v/>
      </c>
      <c r="K1189" s="14" t="str">
        <f>IF(TOTALCO!K318="", "",TOTALCO!K318)</f>
        <v/>
      </c>
      <c r="L1189" s="14">
        <f>IF(TOTALCO!L318="", "",TOTALCO!L318)</f>
        <v>0</v>
      </c>
      <c r="M1189" s="14" t="str">
        <f>IF(TOTALCO!M318="", "",TOTALCO!M318)</f>
        <v/>
      </c>
      <c r="N1189" s="14">
        <f>IF(TOTALCO!N318="", "",TOTALCO!N318)</f>
        <v>0</v>
      </c>
      <c r="O1189" s="14">
        <f>IF(TOTALCO!O318="", "",TOTALCO!O318)</f>
        <v>0</v>
      </c>
      <c r="P1189" s="14">
        <f>IF(TOTALCO!P318="", "",TOTALCO!P318)</f>
        <v>0</v>
      </c>
      <c r="Q1189" s="14"/>
    </row>
    <row r="1190" spans="1:17" ht="15" x14ac:dyDescent="0.2">
      <c r="A1190" s="382">
        <f>IF(TOTALCO!A319="", "",TOTALCO!A319)</f>
        <v>41</v>
      </c>
      <c r="B1190" s="4" t="str">
        <f>IF(TOTALCO!B319="", "",TOTALCO!B319)</f>
        <v>DIR ASSIGN ACC ITC VA</v>
      </c>
      <c r="C1190" s="4" t="str">
        <f>IF(TOTALCO!C319="", "",TOTALCO!C319)</f>
        <v>DIRACITC</v>
      </c>
      <c r="D1190" s="14">
        <f>IF(TOTALCO!D319="", "",TOTALCO!D319)</f>
        <v>0</v>
      </c>
      <c r="E1190" s="14" t="str">
        <f>IF(TOTALCO!E319="", "",TOTALCO!E319)</f>
        <v/>
      </c>
      <c r="F1190" s="14">
        <f>IF(TOTALCO!F319="", "",TOTALCO!F319)</f>
        <v>0</v>
      </c>
      <c r="G1190" s="14" t="str">
        <f>IF(TOTALCO!G319="", "",TOTALCO!G319)</f>
        <v/>
      </c>
      <c r="H1190" s="14">
        <f>IF(TOTALCO!H319="", "",TOTALCO!H319)</f>
        <v>0</v>
      </c>
      <c r="I1190" s="14">
        <f>IF(TOTALCO!I319="", "",TOTALCO!I319)</f>
        <v>0</v>
      </c>
      <c r="J1190" s="14" t="str">
        <f>IF(TOTALCO!J319="", "",TOTALCO!J319)</f>
        <v/>
      </c>
      <c r="K1190" s="14" t="str">
        <f>IF(TOTALCO!K319="", "",TOTALCO!K319)</f>
        <v/>
      </c>
      <c r="L1190" s="14">
        <f>IF(TOTALCO!L319="", "",TOTALCO!L319)</f>
        <v>0</v>
      </c>
      <c r="M1190" s="14" t="str">
        <f>IF(TOTALCO!M319="", "",TOTALCO!M319)</f>
        <v/>
      </c>
      <c r="N1190" s="14">
        <f>IF(TOTALCO!N319="", "",TOTALCO!N319)</f>
        <v>0</v>
      </c>
      <c r="O1190" s="14">
        <f>IF(TOTALCO!O319="", "",TOTALCO!O319)</f>
        <v>0</v>
      </c>
      <c r="P1190" s="14">
        <f>IF(TOTALCO!P319="", "",TOTALCO!P319)</f>
        <v>0</v>
      </c>
      <c r="Q1190" s="14"/>
    </row>
    <row r="1191" spans="1:17" ht="15" x14ac:dyDescent="0.2">
      <c r="A1191" s="382">
        <f>IF(TOTALCO!A320="", "",TOTALCO!A320)</f>
        <v>42</v>
      </c>
      <c r="B1191" s="4" t="str">
        <f>IF(TOTALCO!B320="", "",TOTALCO!B320)</f>
        <v>DIR ASSIGN RENT REVENUE</v>
      </c>
      <c r="C1191" s="4" t="str">
        <f>IF(TOTALCO!C320="", "",TOTALCO!C320)</f>
        <v>DIR454REV</v>
      </c>
      <c r="D1191" s="14">
        <f>IF(TOTALCO!D320="", "",TOTALCO!D320)</f>
        <v>1</v>
      </c>
      <c r="E1191" s="14" t="str">
        <f>IF(TOTALCO!E320="", "",TOTALCO!E320)</f>
        <v/>
      </c>
      <c r="F1191" s="14">
        <f>IF(TOTALCO!F320="", "",TOTALCO!F320)</f>
        <v>0.92101725926001976</v>
      </c>
      <c r="G1191" s="14" t="str">
        <f>IF(TOTALCO!G320="", "",TOTALCO!G320)</f>
        <v/>
      </c>
      <c r="H1191" s="14">
        <f>IF(TOTALCO!H320="", "",TOTALCO!H320)</f>
        <v>7.8829237183574402E-2</v>
      </c>
      <c r="I1191" s="14">
        <f>IF(TOTALCO!I320="", "",TOTALCO!I320)</f>
        <v>1.5350355640588451E-4</v>
      </c>
      <c r="J1191" s="14" t="str">
        <f>IF(TOTALCO!J320="", "",TOTALCO!J320)</f>
        <v/>
      </c>
      <c r="K1191" s="14" t="str">
        <f>IF(TOTALCO!K320="", "",TOTALCO!K320)</f>
        <v/>
      </c>
      <c r="L1191" s="14">
        <f>IF(TOTALCO!L320="", "",TOTALCO!L320)</f>
        <v>1.5350355640588451E-4</v>
      </c>
      <c r="M1191" s="14" t="str">
        <f>IF(TOTALCO!M320="", "",TOTALCO!M320)</f>
        <v/>
      </c>
      <c r="N1191" s="14">
        <f>IF(TOTALCO!N320="", "",TOTALCO!N320)</f>
        <v>0</v>
      </c>
      <c r="O1191" s="14">
        <f>IF(TOTALCO!O320="", "",TOTALCO!O320)</f>
        <v>0</v>
      </c>
      <c r="P1191" s="14">
        <f>IF(TOTALCO!P320="", "",TOTALCO!P320)</f>
        <v>0</v>
      </c>
      <c r="Q1191" s="14"/>
    </row>
    <row r="1192" spans="1:17" ht="15" x14ac:dyDescent="0.2">
      <c r="A1192" s="382">
        <f>IF(TOTALCO!A321="", "",TOTALCO!A321)</f>
        <v>43</v>
      </c>
      <c r="B1192" s="4" t="str">
        <f>IF(TOTALCO!B321="", "",TOTALCO!B321)</f>
        <v>DIR ASSIGN EXCESS FACILITIES REV.</v>
      </c>
      <c r="C1192" s="4" t="str">
        <f>IF(TOTALCO!C321="", "",TOTALCO!C321)</f>
        <v>DIR456FAC</v>
      </c>
      <c r="D1192" s="14">
        <f>IF(TOTALCO!D321="", "",TOTALCO!D321)</f>
        <v>1</v>
      </c>
      <c r="E1192" s="14" t="str">
        <f>IF(TOTALCO!E321="", "",TOTALCO!E321)</f>
        <v/>
      </c>
      <c r="F1192" s="14">
        <f>IF(TOTALCO!F321="", "",TOTALCO!F321)</f>
        <v>0.93973948765070892</v>
      </c>
      <c r="G1192" s="14" t="str">
        <f>IF(TOTALCO!G321="", "",TOTALCO!G321)</f>
        <v/>
      </c>
      <c r="H1192" s="14">
        <f>IF(TOTALCO!H321="", "",TOTALCO!H321)</f>
        <v>6.0260512349291119E-2</v>
      </c>
      <c r="I1192" s="14">
        <f>IF(TOTALCO!I321="", "",TOTALCO!I321)</f>
        <v>0</v>
      </c>
      <c r="J1192" s="14" t="str">
        <f>IF(TOTALCO!J321="", "",TOTALCO!J321)</f>
        <v/>
      </c>
      <c r="K1192" s="14" t="str">
        <f>IF(TOTALCO!K321="", "",TOTALCO!K321)</f>
        <v/>
      </c>
      <c r="L1192" s="14">
        <f>IF(TOTALCO!L321="", "",TOTALCO!L321)</f>
        <v>0</v>
      </c>
      <c r="M1192" s="14" t="str">
        <f>IF(TOTALCO!M321="", "",TOTALCO!M321)</f>
        <v/>
      </c>
      <c r="N1192" s="14">
        <f>IF(TOTALCO!N321="", "",TOTALCO!N321)</f>
        <v>0</v>
      </c>
      <c r="O1192" s="14">
        <f>IF(TOTALCO!O321="", "",TOTALCO!O321)</f>
        <v>0</v>
      </c>
      <c r="P1192" s="14">
        <f>IF(TOTALCO!P321="", "",TOTALCO!P321)</f>
        <v>0</v>
      </c>
      <c r="Q1192" s="14"/>
    </row>
    <row r="1193" spans="1:17" ht="15" x14ac:dyDescent="0.2">
      <c r="A1193" s="382">
        <f>IF(TOTALCO!A322="", "",TOTALCO!A322)</f>
        <v>44</v>
      </c>
      <c r="B1193" s="4" t="str">
        <f>IF(TOTALCO!B322="", "",TOTALCO!B322)</f>
        <v>DIR ASSIGN OTHER MISC REV.</v>
      </c>
      <c r="C1193" s="4" t="str">
        <f>IF(TOTALCO!C322="", "",TOTALCO!C322)</f>
        <v>DIR456OTH</v>
      </c>
      <c r="D1193" s="14">
        <f>IF(TOTALCO!D322="", "",TOTALCO!D322)</f>
        <v>1</v>
      </c>
      <c r="E1193" s="14" t="str">
        <f>IF(TOTALCO!E322="", "",TOTALCO!E322)</f>
        <v/>
      </c>
      <c r="F1193" s="14">
        <f>IF(TOTALCO!F322="", "",TOTALCO!F322)</f>
        <v>1</v>
      </c>
      <c r="G1193" s="14" t="str">
        <f>IF(TOTALCO!G322="", "",TOTALCO!G322)</f>
        <v/>
      </c>
      <c r="H1193" s="14">
        <f>IF(TOTALCO!H322="", "",TOTALCO!H322)</f>
        <v>0</v>
      </c>
      <c r="I1193" s="14">
        <f>IF(TOTALCO!I322="", "",TOTALCO!I322)</f>
        <v>0</v>
      </c>
      <c r="J1193" s="14" t="str">
        <f>IF(TOTALCO!J322="", "",TOTALCO!J322)</f>
        <v/>
      </c>
      <c r="K1193" s="14" t="str">
        <f>IF(TOTALCO!K322="", "",TOTALCO!K322)</f>
        <v/>
      </c>
      <c r="L1193" s="14">
        <f>IF(TOTALCO!L322="", "",TOTALCO!L322)</f>
        <v>0</v>
      </c>
      <c r="M1193" s="14" t="str">
        <f>IF(TOTALCO!M322="", "",TOTALCO!M322)</f>
        <v/>
      </c>
      <c r="N1193" s="14">
        <f>IF(TOTALCO!N322="", "",TOTALCO!N322)</f>
        <v>0</v>
      </c>
      <c r="O1193" s="14">
        <f>IF(TOTALCO!O322="", "",TOTALCO!O322)</f>
        <v>0</v>
      </c>
      <c r="P1193" s="14">
        <f>IF(TOTALCO!P322="", "",TOTALCO!P322)</f>
        <v>0</v>
      </c>
      <c r="Q1193" s="14"/>
    </row>
    <row r="1194" spans="1:17" ht="15" x14ac:dyDescent="0.2">
      <c r="A1194" s="382">
        <f>IF(TOTALCO!A323="", "",TOTALCO!A323)</f>
        <v>45</v>
      </c>
      <c r="B1194" s="4" t="str">
        <f>IF(TOTALCO!B323="", "",TOTALCO!B323)</f>
        <v>DIR ASSIGN RECONNECT REV.</v>
      </c>
      <c r="C1194" s="4" t="str">
        <f>IF(TOTALCO!C323="", "",TOTALCO!C323)</f>
        <v>DIR451REC</v>
      </c>
      <c r="D1194" s="14">
        <f>IF(TOTALCO!D323="", "",TOTALCO!D323)</f>
        <v>1</v>
      </c>
      <c r="E1194" s="14" t="str">
        <f>IF(TOTALCO!E323="", "",TOTALCO!E323)</f>
        <v/>
      </c>
      <c r="F1194" s="14">
        <f>IF(TOTALCO!F323="", "",TOTALCO!F323)</f>
        <v>0.92633123878706558</v>
      </c>
      <c r="G1194" s="14" t="str">
        <f>IF(TOTALCO!G323="", "",TOTALCO!G323)</f>
        <v/>
      </c>
      <c r="H1194" s="14">
        <f>IF(TOTALCO!H323="", "",TOTALCO!H323)</f>
        <v>7.3668761212934433E-2</v>
      </c>
      <c r="I1194" s="14">
        <f>IF(TOTALCO!I323="", "",TOTALCO!I323)</f>
        <v>0</v>
      </c>
      <c r="J1194" s="14" t="str">
        <f>IF(TOTALCO!J323="", "",TOTALCO!J323)</f>
        <v/>
      </c>
      <c r="K1194" s="14" t="str">
        <f>IF(TOTALCO!K323="", "",TOTALCO!K323)</f>
        <v/>
      </c>
      <c r="L1194" s="14">
        <f>IF(TOTALCO!L323="", "",TOTALCO!L323)</f>
        <v>0</v>
      </c>
      <c r="M1194" s="14" t="str">
        <f>IF(TOTALCO!M323="", "",TOTALCO!M323)</f>
        <v/>
      </c>
      <c r="N1194" s="14">
        <f>IF(TOTALCO!N323="", "",TOTALCO!N323)</f>
        <v>0</v>
      </c>
      <c r="O1194" s="14">
        <f>IF(TOTALCO!O323="", "",TOTALCO!O323)</f>
        <v>0</v>
      </c>
      <c r="P1194" s="14">
        <f>IF(TOTALCO!P323="", "",TOTALCO!P323)</f>
        <v>0</v>
      </c>
      <c r="Q1194" s="14"/>
    </row>
    <row r="1195" spans="1:17" ht="15" x14ac:dyDescent="0.2">
      <c r="A1195" s="382">
        <f>IF(TOTALCO!A324="", "",TOTALCO!A324)</f>
        <v>46</v>
      </c>
      <c r="B1195" s="4" t="str">
        <f>IF(TOTALCO!B324="", "",TOTALCO!B324)</f>
        <v>DIR ASSIGN OTHER SERVICE REV.</v>
      </c>
      <c r="C1195" s="4" t="str">
        <f>IF(TOTALCO!C324="", "",TOTALCO!C324)</f>
        <v>DIR451OTH</v>
      </c>
      <c r="D1195" s="14">
        <f>IF(TOTALCO!D324="", "",TOTALCO!D324)</f>
        <v>1</v>
      </c>
      <c r="E1195" s="14" t="str">
        <f>IF(TOTALCO!E324="", "",TOTALCO!E324)</f>
        <v/>
      </c>
      <c r="F1195" s="14">
        <f>IF(TOTALCO!F324="", "",TOTALCO!F324)</f>
        <v>0.97791246623336181</v>
      </c>
      <c r="G1195" s="14" t="str">
        <f>IF(TOTALCO!G324="", "",TOTALCO!G324)</f>
        <v/>
      </c>
      <c r="H1195" s="14">
        <f>IF(TOTALCO!H324="", "",TOTALCO!H324)</f>
        <v>2.2087533766638228E-2</v>
      </c>
      <c r="I1195" s="14">
        <f>IF(TOTALCO!I324="", "",TOTALCO!I324)</f>
        <v>0</v>
      </c>
      <c r="J1195" s="14" t="str">
        <f>IF(TOTALCO!J324="", "",TOTALCO!J324)</f>
        <v/>
      </c>
      <c r="K1195" s="14" t="str">
        <f>IF(TOTALCO!K324="", "",TOTALCO!K324)</f>
        <v/>
      </c>
      <c r="L1195" s="14">
        <f>IF(TOTALCO!L324="", "",TOTALCO!L324)</f>
        <v>0</v>
      </c>
      <c r="M1195" s="14" t="str">
        <f>IF(TOTALCO!M324="", "",TOTALCO!M324)</f>
        <v/>
      </c>
      <c r="N1195" s="14">
        <f>IF(TOTALCO!N324="", "",TOTALCO!N324)</f>
        <v>0</v>
      </c>
      <c r="O1195" s="14">
        <f>IF(TOTALCO!O324="", "",TOTALCO!O324)</f>
        <v>0</v>
      </c>
      <c r="P1195" s="14">
        <f>IF(TOTALCO!P324="", "",TOTALCO!P324)</f>
        <v>0</v>
      </c>
      <c r="Q1195" s="14"/>
    </row>
    <row r="1196" spans="1:17" ht="15" x14ac:dyDescent="0.2">
      <c r="A1196" s="382">
        <f>IF(TOTALCO!A325="", "",TOTALCO!A325)</f>
        <v>47</v>
      </c>
      <c r="B1196" s="4" t="str">
        <f>IF(TOTALCO!B325="", "",TOTALCO!B325)</f>
        <v>DIR ASSIGN RETURN CHECK REV.</v>
      </c>
      <c r="C1196" s="4" t="str">
        <f>IF(TOTALCO!C325="", "",TOTALCO!C325)</f>
        <v>DIR456CHK</v>
      </c>
      <c r="D1196" s="14">
        <f>IF(TOTALCO!D325="", "",TOTALCO!D325)</f>
        <v>1</v>
      </c>
      <c r="E1196" s="14" t="str">
        <f>IF(TOTALCO!E325="", "",TOTALCO!E325)</f>
        <v/>
      </c>
      <c r="F1196" s="14">
        <f>IF(TOTALCO!F325="", "",TOTALCO!F325)</f>
        <v>0.93652127270912111</v>
      </c>
      <c r="G1196" s="14" t="str">
        <f>IF(TOTALCO!G325="", "",TOTALCO!G325)</f>
        <v/>
      </c>
      <c r="H1196" s="14">
        <f>IF(TOTALCO!H325="", "",TOTALCO!H325)</f>
        <v>6.3478727290878917E-2</v>
      </c>
      <c r="I1196" s="14">
        <f>IF(TOTALCO!I325="", "",TOTALCO!I325)</f>
        <v>0</v>
      </c>
      <c r="J1196" s="14" t="str">
        <f>IF(TOTALCO!J325="", "",TOTALCO!J325)</f>
        <v/>
      </c>
      <c r="K1196" s="14" t="str">
        <f>IF(TOTALCO!K325="", "",TOTALCO!K325)</f>
        <v/>
      </c>
      <c r="L1196" s="14">
        <f>IF(TOTALCO!L325="", "",TOTALCO!L325)</f>
        <v>0</v>
      </c>
      <c r="M1196" s="14" t="str">
        <f>IF(TOTALCO!M325="", "",TOTALCO!M325)</f>
        <v/>
      </c>
      <c r="N1196" s="14">
        <f>IF(TOTALCO!N325="", "",TOTALCO!N325)</f>
        <v>0</v>
      </c>
      <c r="O1196" s="14">
        <f>IF(TOTALCO!O325="", "",TOTALCO!O325)</f>
        <v>0</v>
      </c>
      <c r="P1196" s="14">
        <f>IF(TOTALCO!P325="", "",TOTALCO!P325)</f>
        <v>0</v>
      </c>
      <c r="Q1196" s="14"/>
    </row>
    <row r="1197" spans="1:17" ht="15" x14ac:dyDescent="0.2">
      <c r="A1197" s="382">
        <f>IF(TOTALCO!A326="", "",TOTALCO!A326)</f>
        <v>48</v>
      </c>
      <c r="B1197" s="4" t="str">
        <f>IF(TOTALCO!B326="", "",TOTALCO!B326)</f>
        <v>DIR ASSIGN 203(E) EXCESS</v>
      </c>
      <c r="C1197" s="4" t="str">
        <f>IF(TOTALCO!C326="", "",TOTALCO!C326)</f>
        <v>DIR203E</v>
      </c>
      <c r="D1197" s="14">
        <f>IF(TOTALCO!D326="", "",TOTALCO!D326)</f>
        <v>1</v>
      </c>
      <c r="E1197" s="14" t="str">
        <f>IF(TOTALCO!E326="", "",TOTALCO!E326)</f>
        <v/>
      </c>
      <c r="F1197" s="14">
        <f>IF(TOTALCO!F326="", "",TOTALCO!F326)</f>
        <v>0</v>
      </c>
      <c r="G1197" s="14" t="str">
        <f>IF(TOTALCO!G326="", "",TOTALCO!G326)</f>
        <v/>
      </c>
      <c r="H1197" s="14">
        <f>IF(TOTALCO!H326="", "",TOTALCO!H326)</f>
        <v>1</v>
      </c>
      <c r="I1197" s="14">
        <f>IF(TOTALCO!I326="", "",TOTALCO!I326)</f>
        <v>0</v>
      </c>
      <c r="J1197" s="14" t="str">
        <f>IF(TOTALCO!J326="", "",TOTALCO!J326)</f>
        <v/>
      </c>
      <c r="K1197" s="14" t="str">
        <f>IF(TOTALCO!K326="", "",TOTALCO!K326)</f>
        <v/>
      </c>
      <c r="L1197" s="14">
        <f>IF(TOTALCO!L326="", "",TOTALCO!L326)</f>
        <v>0</v>
      </c>
      <c r="M1197" s="14" t="str">
        <f>IF(TOTALCO!M326="", "",TOTALCO!M326)</f>
        <v/>
      </c>
      <c r="N1197" s="14">
        <f>IF(TOTALCO!N326="", "",TOTALCO!N326)</f>
        <v>0</v>
      </c>
      <c r="O1197" s="14">
        <f>IF(TOTALCO!O326="", "",TOTALCO!O326)</f>
        <v>0</v>
      </c>
      <c r="P1197" s="14">
        <f>IF(TOTALCO!P326="", "",TOTALCO!P326)</f>
        <v>0</v>
      </c>
      <c r="Q1197" s="14"/>
    </row>
    <row r="1198" spans="1:17" ht="15" x14ac:dyDescent="0.2">
      <c r="A1198" s="382">
        <f>IF(TOTALCO!A327="", "",TOTALCO!A327)</f>
        <v>49</v>
      </c>
      <c r="B1198" s="4" t="str">
        <f>IF(TOTALCO!B327="", "",TOTALCO!B327)</f>
        <v>DIR ASSIGN ITC ADJ</v>
      </c>
      <c r="C1198" s="4" t="str">
        <f>IF(TOTALCO!C327="", "",TOTALCO!C327)</f>
        <v>DIRITCADJ</v>
      </c>
      <c r="D1198" s="14">
        <f>IF(TOTALCO!D327="", "",TOTALCO!D327)</f>
        <v>0</v>
      </c>
      <c r="E1198" s="14" t="str">
        <f>IF(TOTALCO!E327="", "",TOTALCO!E327)</f>
        <v/>
      </c>
      <c r="F1198" s="14">
        <f>IF(TOTALCO!F327="", "",TOTALCO!F327)</f>
        <v>0</v>
      </c>
      <c r="G1198" s="14" t="str">
        <f>IF(TOTALCO!G327="", "",TOTALCO!G327)</f>
        <v/>
      </c>
      <c r="H1198" s="14">
        <f>IF(TOTALCO!H327="", "",TOTALCO!H327)</f>
        <v>0</v>
      </c>
      <c r="I1198" s="14">
        <f>IF(TOTALCO!I327="", "",TOTALCO!I327)</f>
        <v>0</v>
      </c>
      <c r="J1198" s="14" t="str">
        <f>IF(TOTALCO!J327="", "",TOTALCO!J327)</f>
        <v/>
      </c>
      <c r="K1198" s="14" t="str">
        <f>IF(TOTALCO!K327="", "",TOTALCO!K327)</f>
        <v/>
      </c>
      <c r="L1198" s="14">
        <f>IF(TOTALCO!L327="", "",TOTALCO!L327)</f>
        <v>0</v>
      </c>
      <c r="M1198" s="14" t="str">
        <f>IF(TOTALCO!M327="", "",TOTALCO!M327)</f>
        <v/>
      </c>
      <c r="N1198" s="14">
        <f>IF(TOTALCO!N327="", "",TOTALCO!N327)</f>
        <v>0</v>
      </c>
      <c r="O1198" s="14">
        <f>IF(TOTALCO!O327="", "",TOTALCO!O327)</f>
        <v>0</v>
      </c>
      <c r="P1198" s="14">
        <f>IF(TOTALCO!P327="", "",TOTALCO!P327)</f>
        <v>0</v>
      </c>
      <c r="Q1198" s="14"/>
    </row>
    <row r="1199" spans="1:17" ht="15" x14ac:dyDescent="0.2">
      <c r="A1199" s="382">
        <f>IF(TOTALCO!A328="", "",TOTALCO!A328)</f>
        <v>50</v>
      </c>
      <c r="B1199" s="4" t="str">
        <f>IF(TOTALCO!B328="", "",TOTALCO!B328)</f>
        <v>DIR ASSIGN DEFERRED FUEL-VIRGINIA</v>
      </c>
      <c r="C1199" s="4" t="str">
        <f>IF(TOTALCO!C328="", "",TOTALCO!C328)</f>
        <v>DFUELVA</v>
      </c>
      <c r="D1199" s="14">
        <f>IF(TOTALCO!D328="", "",TOTALCO!D328)</f>
        <v>1</v>
      </c>
      <c r="E1199" s="14" t="str">
        <f>IF(TOTALCO!E328="", "",TOTALCO!E328)</f>
        <v/>
      </c>
      <c r="F1199" s="14">
        <f>IF(TOTALCO!F328="", "",TOTALCO!F328)</f>
        <v>0</v>
      </c>
      <c r="G1199" s="14" t="str">
        <f>IF(TOTALCO!G328="", "",TOTALCO!G328)</f>
        <v/>
      </c>
      <c r="H1199" s="14">
        <f>IF(TOTALCO!H328="", "",TOTALCO!H328)</f>
        <v>1</v>
      </c>
      <c r="I1199" s="14">
        <f>IF(TOTALCO!I328="", "",TOTALCO!I328)</f>
        <v>0</v>
      </c>
      <c r="J1199" s="14" t="str">
        <f>IF(TOTALCO!J328="", "",TOTALCO!J328)</f>
        <v/>
      </c>
      <c r="K1199" s="14" t="str">
        <f>IF(TOTALCO!K328="", "",TOTALCO!K328)</f>
        <v/>
      </c>
      <c r="L1199" s="14">
        <f>IF(TOTALCO!L328="", "",TOTALCO!L328)</f>
        <v>0</v>
      </c>
      <c r="M1199" s="14" t="str">
        <f>IF(TOTALCO!M328="", "",TOTALCO!M328)</f>
        <v/>
      </c>
      <c r="N1199" s="14">
        <f>IF(TOTALCO!N328="", "",TOTALCO!N328)</f>
        <v>0</v>
      </c>
      <c r="O1199" s="14">
        <f>IF(TOTALCO!O328="", "",TOTALCO!O328)</f>
        <v>0</v>
      </c>
      <c r="P1199" s="14">
        <f>IF(TOTALCO!P328="", "",TOTALCO!P328)</f>
        <v>0</v>
      </c>
      <c r="Q1199" s="14"/>
    </row>
    <row r="1200" spans="1:17" ht="15" x14ac:dyDescent="0.2">
      <c r="A1200" s="382" t="str">
        <f>IF(TOTALCO!A329="", "",TOTALCO!A329)</f>
        <v/>
      </c>
      <c r="B1200" s="4" t="str">
        <f>IF(TOTALCO!B329="", "",TOTALCO!B329)</f>
        <v/>
      </c>
      <c r="C1200" s="4" t="str">
        <f>IF(TOTALCO!C329="", "",TOTALCO!C329)</f>
        <v/>
      </c>
      <c r="D1200" s="14" t="str">
        <f>IF(TOTALCO!D329="", "",TOTALCO!D329)</f>
        <v/>
      </c>
      <c r="E1200" s="14" t="str">
        <f>IF(TOTALCO!E329="", "",TOTALCO!E329)</f>
        <v/>
      </c>
      <c r="F1200" s="14" t="str">
        <f>IF(TOTALCO!F329="", "",TOTALCO!F329)</f>
        <v/>
      </c>
      <c r="G1200" s="14" t="str">
        <f>IF(TOTALCO!G329="", "",TOTALCO!G329)</f>
        <v/>
      </c>
      <c r="H1200" s="14" t="str">
        <f>IF(TOTALCO!H329="", "",TOTALCO!H329)</f>
        <v/>
      </c>
      <c r="I1200" s="14" t="str">
        <f>IF(TOTALCO!I329="", "",TOTALCO!I329)</f>
        <v/>
      </c>
      <c r="J1200" s="14" t="str">
        <f>IF(TOTALCO!J329="", "",TOTALCO!J329)</f>
        <v/>
      </c>
      <c r="K1200" s="14" t="str">
        <f>IF(TOTALCO!K329="", "",TOTALCO!K329)</f>
        <v/>
      </c>
      <c r="L1200" s="14" t="str">
        <f>IF(TOTALCO!L329="", "",TOTALCO!L329)</f>
        <v/>
      </c>
      <c r="M1200" s="14" t="str">
        <f>IF(TOTALCO!M329="", "",TOTALCO!M329)</f>
        <v/>
      </c>
      <c r="N1200" s="14" t="str">
        <f>IF(TOTALCO!N329="", "",TOTALCO!N329)</f>
        <v/>
      </c>
      <c r="O1200" s="14" t="str">
        <f>IF(TOTALCO!O329="", "",TOTALCO!O329)</f>
        <v/>
      </c>
      <c r="P1200" s="14" t="str">
        <f>IF(TOTALCO!P329="", "",TOTALCO!P329)</f>
        <v/>
      </c>
      <c r="Q1200" s="14"/>
    </row>
    <row r="1201" spans="1:17" ht="15" x14ac:dyDescent="0.2">
      <c r="A1201" s="382" t="str">
        <f>IF(TOTALCO!A330="", "",TOTALCO!A330)</f>
        <v/>
      </c>
      <c r="B1201" s="4" t="str">
        <f>IF(TOTALCO!B330="", "",TOTALCO!B330)</f>
        <v/>
      </c>
      <c r="C1201" s="4" t="str">
        <f>IF(TOTALCO!C330="", "",TOTALCO!C330)</f>
        <v/>
      </c>
      <c r="D1201" s="14" t="str">
        <f>IF(TOTALCO!D330="", "",TOTALCO!D330)</f>
        <v/>
      </c>
      <c r="E1201" s="14" t="str">
        <f>IF(TOTALCO!E330="", "",TOTALCO!E330)</f>
        <v/>
      </c>
      <c r="F1201" s="14" t="str">
        <f>IF(TOTALCO!F330="", "",TOTALCO!F330)</f>
        <v/>
      </c>
      <c r="G1201" s="14" t="str">
        <f>IF(TOTALCO!G330="", "",TOTALCO!G330)</f>
        <v/>
      </c>
      <c r="H1201" s="14" t="str">
        <f>IF(TOTALCO!H330="", "",TOTALCO!H330)</f>
        <v/>
      </c>
      <c r="I1201" s="14" t="str">
        <f>IF(TOTALCO!I330="", "",TOTALCO!I330)</f>
        <v/>
      </c>
      <c r="J1201" s="14" t="str">
        <f>IF(TOTALCO!J330="", "",TOTALCO!J330)</f>
        <v/>
      </c>
      <c r="K1201" s="14" t="str">
        <f>IF(TOTALCO!K330="", "",TOTALCO!K330)</f>
        <v/>
      </c>
      <c r="L1201" s="14" t="str">
        <f>IF(TOTALCO!L330="", "",TOTALCO!L330)</f>
        <v/>
      </c>
      <c r="M1201" s="14" t="str">
        <f>IF(TOTALCO!M330="", "",TOTALCO!M330)</f>
        <v/>
      </c>
      <c r="N1201" s="14" t="str">
        <f>IF(TOTALCO!N330="", "",TOTALCO!N330)</f>
        <v/>
      </c>
      <c r="O1201" s="14" t="str">
        <f>IF(TOTALCO!O330="", "",TOTALCO!O330)</f>
        <v/>
      </c>
      <c r="P1201" s="14" t="str">
        <f>IF(TOTALCO!P330="", "",TOTALCO!P330)</f>
        <v/>
      </c>
      <c r="Q1201" s="14"/>
    </row>
    <row r="1202" spans="1:17" ht="15" x14ac:dyDescent="0.2">
      <c r="A1202" s="382" t="str">
        <f>IF(TOTALCO!A331="", "",TOTALCO!A331)</f>
        <v/>
      </c>
      <c r="B1202" s="4" t="str">
        <f>IF(TOTALCO!B331="", "",TOTALCO!B331)</f>
        <v>ENERGY</v>
      </c>
      <c r="C1202" s="4" t="str">
        <f>IF(TOTALCO!C331="", "",TOTALCO!C331)</f>
        <v/>
      </c>
      <c r="D1202" s="14" t="str">
        <f>IF(TOTALCO!D331="", "",TOTALCO!D331)</f>
        <v/>
      </c>
      <c r="E1202" s="14" t="str">
        <f>IF(TOTALCO!E331="", "",TOTALCO!E331)</f>
        <v/>
      </c>
      <c r="F1202" s="14" t="str">
        <f>IF(TOTALCO!F331="", "",TOTALCO!F331)</f>
        <v/>
      </c>
      <c r="G1202" s="14" t="str">
        <f>IF(TOTALCO!G331="", "",TOTALCO!G331)</f>
        <v/>
      </c>
      <c r="H1202" s="14" t="str">
        <f>IF(TOTALCO!H331="", "",TOTALCO!H331)</f>
        <v/>
      </c>
      <c r="I1202" s="14" t="str">
        <f>IF(TOTALCO!I331="", "",TOTALCO!I331)</f>
        <v/>
      </c>
      <c r="J1202" s="14" t="str">
        <f>IF(TOTALCO!J331="", "",TOTALCO!J331)</f>
        <v/>
      </c>
      <c r="K1202" s="14" t="str">
        <f>IF(TOTALCO!K331="", "",TOTALCO!K331)</f>
        <v/>
      </c>
      <c r="L1202" s="14" t="str">
        <f>IF(TOTALCO!L331="", "",TOTALCO!L331)</f>
        <v/>
      </c>
      <c r="M1202" s="14" t="str">
        <f>IF(TOTALCO!M331="", "",TOTALCO!M331)</f>
        <v/>
      </c>
      <c r="N1202" s="14" t="str">
        <f>IF(TOTALCO!N331="", "",TOTALCO!N331)</f>
        <v/>
      </c>
      <c r="O1202" s="14" t="str">
        <f>IF(TOTALCO!O331="", "",TOTALCO!O331)</f>
        <v/>
      </c>
      <c r="P1202" s="14" t="str">
        <f>IF(TOTALCO!P331="", "",TOTALCO!P331)</f>
        <v/>
      </c>
      <c r="Q1202" s="14"/>
    </row>
    <row r="1203" spans="1:17" ht="15" x14ac:dyDescent="0.2">
      <c r="A1203" s="382" t="str">
        <f>IF(TOTALCO!A332="", "",TOTALCO!A332)</f>
        <v/>
      </c>
      <c r="B1203" s="4" t="str">
        <f>IF(TOTALCO!B332="", "",TOTALCO!B332)</f>
        <v>-</v>
      </c>
      <c r="C1203" s="4" t="str">
        <f>IF(TOTALCO!C332="", "",TOTALCO!C332)</f>
        <v/>
      </c>
      <c r="D1203" s="14" t="str">
        <f>IF(TOTALCO!D332="", "",TOTALCO!D332)</f>
        <v/>
      </c>
      <c r="E1203" s="14" t="str">
        <f>IF(TOTALCO!E332="", "",TOTALCO!E332)</f>
        <v/>
      </c>
      <c r="F1203" s="14" t="str">
        <f>IF(TOTALCO!F332="", "",TOTALCO!F332)</f>
        <v/>
      </c>
      <c r="G1203" s="14" t="str">
        <f>IF(TOTALCO!G332="", "",TOTALCO!G332)</f>
        <v/>
      </c>
      <c r="H1203" s="14" t="str">
        <f>IF(TOTALCO!H332="", "",TOTALCO!H332)</f>
        <v/>
      </c>
      <c r="I1203" s="14" t="str">
        <f>IF(TOTALCO!I332="", "",TOTALCO!I332)</f>
        <v/>
      </c>
      <c r="J1203" s="14" t="str">
        <f>IF(TOTALCO!J332="", "",TOTALCO!J332)</f>
        <v/>
      </c>
      <c r="K1203" s="14" t="str">
        <f>IF(TOTALCO!K332="", "",TOTALCO!K332)</f>
        <v/>
      </c>
      <c r="L1203" s="14" t="str">
        <f>IF(TOTALCO!L332="", "",TOTALCO!L332)</f>
        <v/>
      </c>
      <c r="M1203" s="14" t="str">
        <f>IF(TOTALCO!M332="", "",TOTALCO!M332)</f>
        <v/>
      </c>
      <c r="N1203" s="14" t="str">
        <f>IF(TOTALCO!N332="", "",TOTALCO!N332)</f>
        <v/>
      </c>
      <c r="O1203" s="14" t="str">
        <f>IF(TOTALCO!O332="", "",TOTALCO!O332)</f>
        <v/>
      </c>
      <c r="P1203" s="14" t="str">
        <f>IF(TOTALCO!P332="", "",TOTALCO!P332)</f>
        <v/>
      </c>
      <c r="Q1203" s="14"/>
    </row>
    <row r="1204" spans="1:17" ht="15" x14ac:dyDescent="0.2">
      <c r="A1204" s="382">
        <f>IF(TOTALCO!A333="", "",TOTALCO!A333)</f>
        <v>1</v>
      </c>
      <c r="B1204" s="4" t="str">
        <f>IF(TOTALCO!B333="", "",TOTALCO!B333)</f>
        <v>ENERGY (MWH AT GEN LEVEL)</v>
      </c>
      <c r="C1204" s="4" t="str">
        <f>IF(TOTALCO!C333="", "",TOTALCO!C333)</f>
        <v>ENERGY</v>
      </c>
      <c r="D1204" s="14">
        <f>IF(TOTALCO!D333="", "",TOTALCO!D333)</f>
        <v>1</v>
      </c>
      <c r="E1204" s="14" t="str">
        <f>IF(TOTALCO!E333="", "",TOTALCO!E333)</f>
        <v/>
      </c>
      <c r="F1204" s="14">
        <f>IF(TOTALCO!F333="", "",TOTALCO!F333)</f>
        <v>0.86756687854205383</v>
      </c>
      <c r="G1204" s="14" t="str">
        <f>IF(TOTALCO!G333="", "",TOTALCO!G333)</f>
        <v/>
      </c>
      <c r="H1204" s="14">
        <f>IF(TOTALCO!H333="", "",TOTALCO!H333)</f>
        <v>4.5872060035691518E-2</v>
      </c>
      <c r="I1204" s="14">
        <f>IF(TOTALCO!I333="", "",TOTALCO!I333)</f>
        <v>8.6561061422254615E-2</v>
      </c>
      <c r="J1204" s="14" t="str">
        <f>IF(TOTALCO!J333="", "",TOTALCO!J333)</f>
        <v/>
      </c>
      <c r="K1204" s="14" t="str">
        <f>IF(TOTALCO!K333="", "",TOTALCO!K333)</f>
        <v/>
      </c>
      <c r="L1204" s="14">
        <f>IF(TOTALCO!L333="", "",TOTALCO!L333)</f>
        <v>4.7691177493320222E-6</v>
      </c>
      <c r="M1204" s="14" t="str">
        <f>IF(TOTALCO!M333="", "",TOTALCO!M333)</f>
        <v/>
      </c>
      <c r="N1204" s="14">
        <f>IF(TOTALCO!N333="", "",TOTALCO!N333)</f>
        <v>8.6556292304505289E-2</v>
      </c>
      <c r="O1204" s="14">
        <f>IF(TOTALCO!O333="", "",TOTALCO!O333)</f>
        <v>2.8256004018282668E-2</v>
      </c>
      <c r="P1204" s="14">
        <f>IF(TOTALCO!P333="", "",TOTALCO!P333)</f>
        <v>5.8300288286222628E-2</v>
      </c>
      <c r="Q1204" s="14"/>
    </row>
    <row r="1205" spans="1:17" ht="15" x14ac:dyDescent="0.2">
      <c r="A1205" s="382">
        <f>IF(TOTALCO!A334="", "",TOTALCO!A334)</f>
        <v>2</v>
      </c>
      <c r="B1205" s="4" t="str">
        <f>IF(TOTALCO!B334="", "",TOTALCO!B334)</f>
        <v>ENERGY (MWH RETAIL @ GEN LEVEL)</v>
      </c>
      <c r="C1205" s="4" t="str">
        <f>IF(TOTALCO!C334="", "",TOTALCO!C334)</f>
        <v>ENERGY1</v>
      </c>
      <c r="D1205" s="14">
        <f>IF(TOTALCO!D334="", "",TOTALCO!D334)</f>
        <v>1</v>
      </c>
      <c r="E1205" s="14" t="str">
        <f>IF(TOTALCO!E334="", "",TOTALCO!E334)</f>
        <v/>
      </c>
      <c r="F1205" s="14">
        <f>IF(TOTALCO!F334="", "",TOTALCO!F334)</f>
        <v>0.94977596455376279</v>
      </c>
      <c r="G1205" s="14" t="str">
        <f>IF(TOTALCO!G334="", "",TOTALCO!G334)</f>
        <v/>
      </c>
      <c r="H1205" s="14">
        <f>IF(TOTALCO!H334="", "",TOTALCO!H334)</f>
        <v>5.0218814415418159E-2</v>
      </c>
      <c r="I1205" s="14">
        <f>IF(TOTALCO!I334="", "",TOTALCO!I334)</f>
        <v>5.2210308190352702E-6</v>
      </c>
      <c r="J1205" s="14" t="str">
        <f>IF(TOTALCO!J334="", "",TOTALCO!J334)</f>
        <v/>
      </c>
      <c r="K1205" s="14" t="str">
        <f>IF(TOTALCO!K334="", "",TOTALCO!K334)</f>
        <v/>
      </c>
      <c r="L1205" s="14">
        <f>IF(TOTALCO!L334="", "",TOTALCO!L334)</f>
        <v>5.2210308190352702E-6</v>
      </c>
      <c r="M1205" s="14" t="str">
        <f>IF(TOTALCO!M334="", "",TOTALCO!M334)</f>
        <v/>
      </c>
      <c r="N1205" s="14">
        <f>IF(TOTALCO!N334="", "",TOTALCO!N334)</f>
        <v>0</v>
      </c>
      <c r="O1205" s="14">
        <f>IF(TOTALCO!O334="", "",TOTALCO!O334)</f>
        <v>0</v>
      </c>
      <c r="P1205" s="14">
        <f>IF(TOTALCO!P334="", "",TOTALCO!P334)</f>
        <v>0</v>
      </c>
      <c r="Q1205" s="14"/>
    </row>
    <row r="1206" spans="1:17" ht="15" x14ac:dyDescent="0.2">
      <c r="A1206" s="382">
        <f>IF(TOTALCO!A335="", "",TOTALCO!A335)</f>
        <v>3</v>
      </c>
      <c r="B1206" s="4" t="str">
        <f>IF(TOTALCO!B335="", "",TOTALCO!B335)</f>
        <v/>
      </c>
      <c r="C1206" s="4" t="str">
        <f>IF(TOTALCO!C335="", "",TOTALCO!C335)</f>
        <v/>
      </c>
      <c r="D1206" s="14" t="str">
        <f>IF(TOTALCO!D335="", "",TOTALCO!D335)</f>
        <v/>
      </c>
      <c r="E1206" s="14" t="str">
        <f>IF(TOTALCO!E335="", "",TOTALCO!E335)</f>
        <v/>
      </c>
      <c r="F1206" s="14" t="str">
        <f>IF(TOTALCO!F335="", "",TOTALCO!F335)</f>
        <v/>
      </c>
      <c r="G1206" s="14" t="str">
        <f>IF(TOTALCO!G335="", "",TOTALCO!G335)</f>
        <v/>
      </c>
      <c r="H1206" s="14" t="str">
        <f>IF(TOTALCO!H335="", "",TOTALCO!H335)</f>
        <v/>
      </c>
      <c r="I1206" s="14" t="str">
        <f>IF(TOTALCO!I335="", "",TOTALCO!I335)</f>
        <v/>
      </c>
      <c r="J1206" s="14" t="str">
        <f>IF(TOTALCO!J335="", "",TOTALCO!J335)</f>
        <v/>
      </c>
      <c r="K1206" s="14" t="str">
        <f>IF(TOTALCO!K335="", "",TOTALCO!K335)</f>
        <v/>
      </c>
      <c r="L1206" s="14" t="str">
        <f>IF(TOTALCO!L335="", "",TOTALCO!L335)</f>
        <v/>
      </c>
      <c r="M1206" s="14" t="str">
        <f>IF(TOTALCO!M335="", "",TOTALCO!M335)</f>
        <v/>
      </c>
      <c r="N1206" s="14" t="str">
        <f>IF(TOTALCO!N335="", "",TOTALCO!N335)</f>
        <v/>
      </c>
      <c r="O1206" s="14" t="str">
        <f>IF(TOTALCO!O335="", "",TOTALCO!O335)</f>
        <v/>
      </c>
      <c r="P1206" s="14" t="str">
        <f>IF(TOTALCO!P335="", "",TOTALCO!P335)</f>
        <v/>
      </c>
      <c r="Q1206" s="14"/>
    </row>
    <row r="1207" spans="1:17" ht="15" x14ac:dyDescent="0.2">
      <c r="A1207" s="382">
        <f>IF(TOTALCO!A336="", "",TOTALCO!A336)</f>
        <v>4</v>
      </c>
      <c r="B1207" s="4" t="str">
        <f>IF(TOTALCO!B336="", "",TOTALCO!B336)</f>
        <v/>
      </c>
      <c r="C1207" s="4" t="str">
        <f>IF(TOTALCO!C336="", "",TOTALCO!C336)</f>
        <v/>
      </c>
      <c r="D1207" s="14" t="str">
        <f>IF(TOTALCO!D336="", "",TOTALCO!D336)</f>
        <v/>
      </c>
      <c r="E1207" s="14" t="str">
        <f>IF(TOTALCO!E336="", "",TOTALCO!E336)</f>
        <v/>
      </c>
      <c r="F1207" s="14" t="str">
        <f>IF(TOTALCO!F336="", "",TOTALCO!F336)</f>
        <v/>
      </c>
      <c r="G1207" s="14" t="str">
        <f>IF(TOTALCO!G336="", "",TOTALCO!G336)</f>
        <v/>
      </c>
      <c r="H1207" s="14" t="str">
        <f>IF(TOTALCO!H336="", "",TOTALCO!H336)</f>
        <v/>
      </c>
      <c r="I1207" s="14" t="str">
        <f>IF(TOTALCO!I336="", "",TOTALCO!I336)</f>
        <v/>
      </c>
      <c r="J1207" s="14" t="str">
        <f>IF(TOTALCO!J336="", "",TOTALCO!J336)</f>
        <v/>
      </c>
      <c r="K1207" s="14" t="str">
        <f>IF(TOTALCO!K336="", "",TOTALCO!K336)</f>
        <v/>
      </c>
      <c r="L1207" s="14" t="str">
        <f>IF(TOTALCO!L336="", "",TOTALCO!L336)</f>
        <v/>
      </c>
      <c r="M1207" s="14" t="str">
        <f>IF(TOTALCO!M336="", "",TOTALCO!M336)</f>
        <v/>
      </c>
      <c r="N1207" s="14" t="str">
        <f>IF(TOTALCO!N336="", "",TOTALCO!N336)</f>
        <v/>
      </c>
      <c r="O1207" s="14" t="str">
        <f>IF(TOTALCO!O336="", "",TOTALCO!O336)</f>
        <v/>
      </c>
      <c r="P1207" s="14" t="str">
        <f>IF(TOTALCO!P336="", "",TOTALCO!P336)</f>
        <v/>
      </c>
      <c r="Q1207" s="14"/>
    </row>
    <row r="1208" spans="1:17" ht="15" x14ac:dyDescent="0.2">
      <c r="A1208" s="382" t="str">
        <f>IF(TOTALCO!A337="", "",TOTALCO!A337)</f>
        <v/>
      </c>
      <c r="B1208" s="4" t="str">
        <f>IF(TOTALCO!B337="", "",TOTALCO!B337)</f>
        <v/>
      </c>
      <c r="C1208" s="4" t="str">
        <f>IF(TOTALCO!C337="", "",TOTALCO!C337)</f>
        <v/>
      </c>
      <c r="D1208" s="14" t="str">
        <f>IF(TOTALCO!D337="", "",TOTALCO!D337)</f>
        <v/>
      </c>
      <c r="E1208" s="14" t="str">
        <f>IF(TOTALCO!E337="", "",TOTALCO!E337)</f>
        <v/>
      </c>
      <c r="F1208" s="14" t="str">
        <f>IF(TOTALCO!F337="", "",TOTALCO!F337)</f>
        <v/>
      </c>
      <c r="G1208" s="14" t="str">
        <f>IF(TOTALCO!G337="", "",TOTALCO!G337)</f>
        <v/>
      </c>
      <c r="H1208" s="14" t="str">
        <f>IF(TOTALCO!H337="", "",TOTALCO!H337)</f>
        <v/>
      </c>
      <c r="I1208" s="14" t="str">
        <f>IF(TOTALCO!I337="", "",TOTALCO!I337)</f>
        <v/>
      </c>
      <c r="J1208" s="14" t="str">
        <f>IF(TOTALCO!J337="", "",TOTALCO!J337)</f>
        <v/>
      </c>
      <c r="K1208" s="14" t="str">
        <f>IF(TOTALCO!K337="", "",TOTALCO!K337)</f>
        <v/>
      </c>
      <c r="L1208" s="14" t="str">
        <f>IF(TOTALCO!L337="", "",TOTALCO!L337)</f>
        <v/>
      </c>
      <c r="M1208" s="14" t="str">
        <f>IF(TOTALCO!M337="", "",TOTALCO!M337)</f>
        <v/>
      </c>
      <c r="N1208" s="14" t="str">
        <f>IF(TOTALCO!N337="", "",TOTALCO!N337)</f>
        <v/>
      </c>
      <c r="O1208" s="14" t="str">
        <f>IF(TOTALCO!O337="", "",TOTALCO!O337)</f>
        <v/>
      </c>
      <c r="P1208" s="14" t="str">
        <f>IF(TOTALCO!P337="", "",TOTALCO!P337)</f>
        <v/>
      </c>
      <c r="Q1208" s="14"/>
    </row>
    <row r="1209" spans="1:17" ht="15" x14ac:dyDescent="0.2">
      <c r="A1209" s="382" t="str">
        <f>IF(TOTALCO!A338="", "",TOTALCO!A338)</f>
        <v/>
      </c>
      <c r="B1209" s="4" t="str">
        <f>IF(TOTALCO!B338="", "",TOTALCO!B338)</f>
        <v>CUSTOMER</v>
      </c>
      <c r="C1209" s="4" t="str">
        <f>IF(TOTALCO!C338="", "",TOTALCO!C338)</f>
        <v/>
      </c>
      <c r="D1209" s="14" t="str">
        <f>IF(TOTALCO!D338="", "",TOTALCO!D338)</f>
        <v/>
      </c>
      <c r="E1209" s="14" t="str">
        <f>IF(TOTALCO!E338="", "",TOTALCO!E338)</f>
        <v/>
      </c>
      <c r="F1209" s="14" t="str">
        <f>IF(TOTALCO!F338="", "",TOTALCO!F338)</f>
        <v/>
      </c>
      <c r="G1209" s="14" t="str">
        <f>IF(TOTALCO!G338="", "",TOTALCO!G338)</f>
        <v/>
      </c>
      <c r="H1209" s="14" t="str">
        <f>IF(TOTALCO!H338="", "",TOTALCO!H338)</f>
        <v/>
      </c>
      <c r="I1209" s="14" t="str">
        <f>IF(TOTALCO!I338="", "",TOTALCO!I338)</f>
        <v/>
      </c>
      <c r="J1209" s="14" t="str">
        <f>IF(TOTALCO!J338="", "",TOTALCO!J338)</f>
        <v/>
      </c>
      <c r="K1209" s="14" t="str">
        <f>IF(TOTALCO!K338="", "",TOTALCO!K338)</f>
        <v/>
      </c>
      <c r="L1209" s="14" t="str">
        <f>IF(TOTALCO!L338="", "",TOTALCO!L338)</f>
        <v/>
      </c>
      <c r="M1209" s="14" t="str">
        <f>IF(TOTALCO!M338="", "",TOTALCO!M338)</f>
        <v/>
      </c>
      <c r="N1209" s="14" t="str">
        <f>IF(TOTALCO!N338="", "",TOTALCO!N338)</f>
        <v/>
      </c>
      <c r="O1209" s="14" t="str">
        <f>IF(TOTALCO!O338="", "",TOTALCO!O338)</f>
        <v/>
      </c>
      <c r="P1209" s="14" t="str">
        <f>IF(TOTALCO!P338="", "",TOTALCO!P338)</f>
        <v/>
      </c>
      <c r="Q1209" s="14"/>
    </row>
    <row r="1210" spans="1:17" ht="15" x14ac:dyDescent="0.2">
      <c r="A1210" s="382" t="str">
        <f>IF(TOTALCO!A339="", "",TOTALCO!A339)</f>
        <v/>
      </c>
      <c r="B1210" s="4" t="str">
        <f>IF(TOTALCO!B339="", "",TOTALCO!B339)</f>
        <v>-</v>
      </c>
      <c r="C1210" s="4" t="str">
        <f>IF(TOTALCO!C339="", "",TOTALCO!C339)</f>
        <v/>
      </c>
      <c r="D1210" s="14" t="str">
        <f>IF(TOTALCO!D339="", "",TOTALCO!D339)</f>
        <v/>
      </c>
      <c r="E1210" s="14" t="str">
        <f>IF(TOTALCO!E339="", "",TOTALCO!E339)</f>
        <v/>
      </c>
      <c r="F1210" s="14" t="str">
        <f>IF(TOTALCO!F339="", "",TOTALCO!F339)</f>
        <v/>
      </c>
      <c r="G1210" s="14" t="str">
        <f>IF(TOTALCO!G339="", "",TOTALCO!G339)</f>
        <v/>
      </c>
      <c r="H1210" s="14" t="str">
        <f>IF(TOTALCO!H339="", "",TOTALCO!H339)</f>
        <v/>
      </c>
      <c r="I1210" s="14" t="str">
        <f>IF(TOTALCO!I339="", "",TOTALCO!I339)</f>
        <v/>
      </c>
      <c r="J1210" s="14" t="str">
        <f>IF(TOTALCO!J339="", "",TOTALCO!J339)</f>
        <v/>
      </c>
      <c r="K1210" s="14" t="str">
        <f>IF(TOTALCO!K339="", "",TOTALCO!K339)</f>
        <v/>
      </c>
      <c r="L1210" s="14" t="str">
        <f>IF(TOTALCO!L339="", "",TOTALCO!L339)</f>
        <v/>
      </c>
      <c r="M1210" s="14" t="str">
        <f>IF(TOTALCO!M339="", "",TOTALCO!M339)</f>
        <v/>
      </c>
      <c r="N1210" s="14" t="str">
        <f>IF(TOTALCO!N339="", "",TOTALCO!N339)</f>
        <v/>
      </c>
      <c r="O1210" s="14" t="str">
        <f>IF(TOTALCO!O339="", "",TOTALCO!O339)</f>
        <v/>
      </c>
      <c r="P1210" s="14" t="str">
        <f>IF(TOTALCO!P339="", "",TOTALCO!P339)</f>
        <v/>
      </c>
      <c r="Q1210" s="14"/>
    </row>
    <row r="1211" spans="1:17" ht="15" x14ac:dyDescent="0.2">
      <c r="A1211" s="382">
        <f>IF(TOTALCO!A340="", "",TOTALCO!A340)</f>
        <v>1</v>
      </c>
      <c r="B1211" s="4" t="str">
        <f>IF(TOTALCO!B340="", "",TOTALCO!B340)</f>
        <v>DIR ASSIGN ACCT 369-SERV KY</v>
      </c>
      <c r="C1211" s="4" t="str">
        <f>IF(TOTALCO!C340="", "",TOTALCO!C340)</f>
        <v>CUST369K</v>
      </c>
      <c r="D1211" s="14">
        <f>IF(TOTALCO!D340="", "",TOTALCO!D340)</f>
        <v>1</v>
      </c>
      <c r="E1211" s="14" t="str">
        <f>IF(TOTALCO!E340="", "",TOTALCO!E340)</f>
        <v/>
      </c>
      <c r="F1211" s="14">
        <f>IF(TOTALCO!F340="", "",TOTALCO!F340)</f>
        <v>1</v>
      </c>
      <c r="G1211" s="14" t="str">
        <f>IF(TOTALCO!G340="", "",TOTALCO!G340)</f>
        <v/>
      </c>
      <c r="H1211" s="14">
        <f>IF(TOTALCO!H340="", "",TOTALCO!H340)</f>
        <v>0</v>
      </c>
      <c r="I1211" s="14">
        <f>IF(TOTALCO!I340="", "",TOTALCO!I340)</f>
        <v>0</v>
      </c>
      <c r="J1211" s="14" t="str">
        <f>IF(TOTALCO!J340="", "",TOTALCO!J340)</f>
        <v/>
      </c>
      <c r="K1211" s="14" t="str">
        <f>IF(TOTALCO!K340="", "",TOTALCO!K340)</f>
        <v/>
      </c>
      <c r="L1211" s="14">
        <f>IF(TOTALCO!L340="", "",TOTALCO!L340)</f>
        <v>0</v>
      </c>
      <c r="M1211" s="14" t="str">
        <f>IF(TOTALCO!M340="", "",TOTALCO!M340)</f>
        <v/>
      </c>
      <c r="N1211" s="14">
        <f>IF(TOTALCO!N340="", "",TOTALCO!N340)</f>
        <v>0</v>
      </c>
      <c r="O1211" s="14">
        <f>IF(TOTALCO!O340="", "",TOTALCO!O340)</f>
        <v>0</v>
      </c>
      <c r="P1211" s="14">
        <f>IF(TOTALCO!P340="", "",TOTALCO!P340)</f>
        <v>0</v>
      </c>
      <c r="Q1211" s="14"/>
    </row>
    <row r="1212" spans="1:17" ht="15" x14ac:dyDescent="0.2">
      <c r="A1212" s="382">
        <f>IF(TOTALCO!A341="", "",TOTALCO!A341)</f>
        <v>2</v>
      </c>
      <c r="B1212" s="4" t="str">
        <f>IF(TOTALCO!B341="", "",TOTALCO!B341)</f>
        <v>DIR ASSIGN ACCT 370 METERS KY</v>
      </c>
      <c r="C1212" s="4" t="str">
        <f>IF(TOTALCO!C341="", "",TOTALCO!C341)</f>
        <v>CUST370K</v>
      </c>
      <c r="D1212" s="14">
        <f>IF(TOTALCO!D341="", "",TOTALCO!D341)</f>
        <v>1</v>
      </c>
      <c r="E1212" s="14" t="str">
        <f>IF(TOTALCO!E341="", "",TOTALCO!E341)</f>
        <v/>
      </c>
      <c r="F1212" s="14">
        <f>IF(TOTALCO!F341="", "",TOTALCO!F341)</f>
        <v>0.99531778314177088</v>
      </c>
      <c r="G1212" s="14" t="str">
        <f>IF(TOTALCO!G341="", "",TOTALCO!G341)</f>
        <v/>
      </c>
      <c r="H1212" s="14">
        <f>IF(TOTALCO!H341="", "",TOTALCO!H341)</f>
        <v>0</v>
      </c>
      <c r="I1212" s="14">
        <f>IF(TOTALCO!I341="", "",TOTALCO!I341)</f>
        <v>4.6822168582290715E-3</v>
      </c>
      <c r="J1212" s="14" t="str">
        <f>IF(TOTALCO!J341="", "",TOTALCO!J341)</f>
        <v/>
      </c>
      <c r="K1212" s="14" t="str">
        <f>IF(TOTALCO!K341="", "",TOTALCO!K341)</f>
        <v/>
      </c>
      <c r="L1212" s="14">
        <f>IF(TOTALCO!L341="", "",TOTALCO!L341)</f>
        <v>0</v>
      </c>
      <c r="M1212" s="14" t="str">
        <f>IF(TOTALCO!M341="", "",TOTALCO!M341)</f>
        <v/>
      </c>
      <c r="N1212" s="14">
        <f>IF(TOTALCO!N341="", "",TOTALCO!N341)</f>
        <v>4.6822168582290715E-3</v>
      </c>
      <c r="O1212" s="14">
        <f>IF(TOTALCO!O341="", "",TOTALCO!O341)</f>
        <v>9.9444458897850261E-4</v>
      </c>
      <c r="P1212" s="14">
        <f>IF(TOTALCO!P341="", "",TOTALCO!P341)</f>
        <v>3.6877722692505691E-3</v>
      </c>
      <c r="Q1212" s="14"/>
    </row>
    <row r="1213" spans="1:17" ht="15" x14ac:dyDescent="0.2">
      <c r="A1213" s="382">
        <f>IF(TOTALCO!A342="", "",TOTALCO!A342)</f>
        <v>3</v>
      </c>
      <c r="B1213" s="4" t="str">
        <f>IF(TOTALCO!B342="", "",TOTALCO!B342)</f>
        <v>DIR ASN ACCT 371 CUST INST KY</v>
      </c>
      <c r="C1213" s="4" t="str">
        <f>IF(TOTALCO!C342="", "",TOTALCO!C342)</f>
        <v>CUST371K</v>
      </c>
      <c r="D1213" s="14">
        <f>IF(TOTALCO!D342="", "",TOTALCO!D342)</f>
        <v>1</v>
      </c>
      <c r="E1213" s="14" t="str">
        <f>IF(TOTALCO!E342="", "",TOTALCO!E342)</f>
        <v/>
      </c>
      <c r="F1213" s="14">
        <f>IF(TOTALCO!F342="", "",TOTALCO!F342)</f>
        <v>1</v>
      </c>
      <c r="G1213" s="14" t="str">
        <f>IF(TOTALCO!G342="", "",TOTALCO!G342)</f>
        <v/>
      </c>
      <c r="H1213" s="14">
        <f>IF(TOTALCO!H342="", "",TOTALCO!H342)</f>
        <v>0</v>
      </c>
      <c r="I1213" s="14">
        <f>IF(TOTALCO!I342="", "",TOTALCO!I342)</f>
        <v>0</v>
      </c>
      <c r="J1213" s="14" t="str">
        <f>IF(TOTALCO!J342="", "",TOTALCO!J342)</f>
        <v/>
      </c>
      <c r="K1213" s="14" t="str">
        <f>IF(TOTALCO!K342="", "",TOTALCO!K342)</f>
        <v/>
      </c>
      <c r="L1213" s="14">
        <f>IF(TOTALCO!L342="", "",TOTALCO!L342)</f>
        <v>0</v>
      </c>
      <c r="M1213" s="14" t="str">
        <f>IF(TOTALCO!M342="", "",TOTALCO!M342)</f>
        <v/>
      </c>
      <c r="N1213" s="14">
        <f>IF(TOTALCO!N342="", "",TOTALCO!N342)</f>
        <v>0</v>
      </c>
      <c r="O1213" s="14">
        <f>IF(TOTALCO!O342="", "",TOTALCO!O342)</f>
        <v>0</v>
      </c>
      <c r="P1213" s="14">
        <f>IF(TOTALCO!P342="", "",TOTALCO!P342)</f>
        <v>0</v>
      </c>
      <c r="Q1213" s="14"/>
    </row>
    <row r="1214" spans="1:17" ht="15" x14ac:dyDescent="0.2">
      <c r="A1214" s="382">
        <f>IF(TOTALCO!A343="", "",TOTALCO!A343)</f>
        <v>4</v>
      </c>
      <c r="B1214" s="4" t="str">
        <f>IF(TOTALCO!B343="", "",TOTALCO!B343)</f>
        <v>DIR ASGN ACCT 373 ST LIGHT KY</v>
      </c>
      <c r="C1214" s="4" t="str">
        <f>IF(TOTALCO!C343="", "",TOTALCO!C343)</f>
        <v>CUST373K</v>
      </c>
      <c r="D1214" s="14">
        <f>IF(TOTALCO!D343="", "",TOTALCO!D343)</f>
        <v>1</v>
      </c>
      <c r="E1214" s="14" t="str">
        <f>IF(TOTALCO!E343="", "",TOTALCO!E343)</f>
        <v/>
      </c>
      <c r="F1214" s="14">
        <f>IF(TOTALCO!F343="", "",TOTALCO!F343)</f>
        <v>1</v>
      </c>
      <c r="G1214" s="14" t="str">
        <f>IF(TOTALCO!G343="", "",TOTALCO!G343)</f>
        <v/>
      </c>
      <c r="H1214" s="14">
        <f>IF(TOTALCO!H343="", "",TOTALCO!H343)</f>
        <v>0</v>
      </c>
      <c r="I1214" s="14">
        <f>IF(TOTALCO!I343="", "",TOTALCO!I343)</f>
        <v>0</v>
      </c>
      <c r="J1214" s="14" t="str">
        <f>IF(TOTALCO!J343="", "",TOTALCO!J343)</f>
        <v/>
      </c>
      <c r="K1214" s="14" t="str">
        <f>IF(TOTALCO!K343="", "",TOTALCO!K343)</f>
        <v/>
      </c>
      <c r="L1214" s="14">
        <f>IF(TOTALCO!L343="", "",TOTALCO!L343)</f>
        <v>0</v>
      </c>
      <c r="M1214" s="14" t="str">
        <f>IF(TOTALCO!M343="", "",TOTALCO!M343)</f>
        <v/>
      </c>
      <c r="N1214" s="14">
        <f>IF(TOTALCO!N343="", "",TOTALCO!N343)</f>
        <v>0</v>
      </c>
      <c r="O1214" s="14">
        <f>IF(TOTALCO!O343="", "",TOTALCO!O343)</f>
        <v>0</v>
      </c>
      <c r="P1214" s="14">
        <f>IF(TOTALCO!P343="", "",TOTALCO!P343)</f>
        <v>0</v>
      </c>
      <c r="Q1214" s="14"/>
    </row>
    <row r="1215" spans="1:17" ht="15" x14ac:dyDescent="0.2">
      <c r="A1215" s="382">
        <f>IF(TOTALCO!A344="", "",TOTALCO!A344)</f>
        <v>5</v>
      </c>
      <c r="B1215" s="4" t="str">
        <f>IF(TOTALCO!B344="", "",TOTALCO!B344)</f>
        <v>CUSTOMER ADVANCES</v>
      </c>
      <c r="C1215" s="4" t="str">
        <f>IF(TOTALCO!C344="", "",TOTALCO!C344)</f>
        <v>CUSTADV</v>
      </c>
      <c r="D1215" s="14">
        <f>IF(TOTALCO!D344="", "",TOTALCO!D344)</f>
        <v>1</v>
      </c>
      <c r="E1215" s="14" t="str">
        <f>IF(TOTALCO!E344="", "",TOTALCO!E344)</f>
        <v/>
      </c>
      <c r="F1215" s="14">
        <f>IF(TOTALCO!F344="", "",TOTALCO!F344)</f>
        <v>0.93274905720334322</v>
      </c>
      <c r="G1215" s="14" t="str">
        <f>IF(TOTALCO!G344="", "",TOTALCO!G344)</f>
        <v/>
      </c>
      <c r="H1215" s="14">
        <f>IF(TOTALCO!H344="", "",TOTALCO!H344)</f>
        <v>6.7250942796656804E-2</v>
      </c>
      <c r="I1215" s="14">
        <f>IF(TOTALCO!I344="", "",TOTALCO!I344)</f>
        <v>0</v>
      </c>
      <c r="J1215" s="14" t="str">
        <f>IF(TOTALCO!J344="", "",TOTALCO!J344)</f>
        <v/>
      </c>
      <c r="K1215" s="14" t="str">
        <f>IF(TOTALCO!K344="", "",TOTALCO!K344)</f>
        <v/>
      </c>
      <c r="L1215" s="14">
        <f>IF(TOTALCO!L344="", "",TOTALCO!L344)</f>
        <v>0</v>
      </c>
      <c r="M1215" s="14" t="str">
        <f>IF(TOTALCO!M344="", "",TOTALCO!M344)</f>
        <v/>
      </c>
      <c r="N1215" s="14">
        <f>IF(TOTALCO!N344="", "",TOTALCO!N344)</f>
        <v>0</v>
      </c>
      <c r="O1215" s="14">
        <f>IF(TOTALCO!O344="", "",TOTALCO!O344)</f>
        <v>0</v>
      </c>
      <c r="P1215" s="14">
        <f>IF(TOTALCO!P344="", "",TOTALCO!P344)</f>
        <v>0</v>
      </c>
      <c r="Q1215" s="14"/>
    </row>
    <row r="1216" spans="1:17" ht="15" x14ac:dyDescent="0.2">
      <c r="A1216" s="382">
        <f>IF(TOTALCO!A345="", "",TOTALCO!A345)</f>
        <v>6</v>
      </c>
      <c r="B1216" s="4" t="str">
        <f>IF(TOTALCO!B345="", "",TOTALCO!B345)</f>
        <v>CUSTOMER DEPOSITS</v>
      </c>
      <c r="C1216" s="4" t="str">
        <f>IF(TOTALCO!C345="", "",TOTALCO!C345)</f>
        <v>CUSTDEP</v>
      </c>
      <c r="D1216" s="14">
        <f>IF(TOTALCO!D345="", "",TOTALCO!D345)</f>
        <v>1</v>
      </c>
      <c r="E1216" s="14" t="str">
        <f>IF(TOTALCO!E345="", "",TOTALCO!E345)</f>
        <v/>
      </c>
      <c r="F1216" s="14">
        <f>IF(TOTALCO!F345="", "",TOTALCO!F345)</f>
        <v>0.97721534358700879</v>
      </c>
      <c r="G1216" s="14" t="str">
        <f>IF(TOTALCO!G345="", "",TOTALCO!G345)</f>
        <v/>
      </c>
      <c r="H1216" s="14">
        <f>IF(TOTALCO!H345="", "",TOTALCO!H345)</f>
        <v>2.2784656412991208E-2</v>
      </c>
      <c r="I1216" s="14">
        <f>IF(TOTALCO!I345="", "",TOTALCO!I345)</f>
        <v>0</v>
      </c>
      <c r="J1216" s="14" t="str">
        <f>IF(TOTALCO!J345="", "",TOTALCO!J345)</f>
        <v/>
      </c>
      <c r="K1216" s="14" t="str">
        <f>IF(TOTALCO!K345="", "",TOTALCO!K345)</f>
        <v/>
      </c>
      <c r="L1216" s="14">
        <f>IF(TOTALCO!L345="", "",TOTALCO!L345)</f>
        <v>0</v>
      </c>
      <c r="M1216" s="14" t="str">
        <f>IF(TOTALCO!M345="", "",TOTALCO!M345)</f>
        <v/>
      </c>
      <c r="N1216" s="14">
        <f>IF(TOTALCO!N345="", "",TOTALCO!N345)</f>
        <v>0</v>
      </c>
      <c r="O1216" s="14">
        <f>IF(TOTALCO!O345="", "",TOTALCO!O345)</f>
        <v>0</v>
      </c>
      <c r="P1216" s="14">
        <f>IF(TOTALCO!P345="", "",TOTALCO!P345)</f>
        <v>0</v>
      </c>
      <c r="Q1216" s="14"/>
    </row>
    <row r="1217" spans="1:17" ht="15" x14ac:dyDescent="0.2">
      <c r="A1217" s="382">
        <f>IF(TOTALCO!A346="", "",TOTALCO!A346)</f>
        <v>7</v>
      </c>
      <c r="B1217" s="4" t="str">
        <f>IF(TOTALCO!B346="", "",TOTALCO!B346)</f>
        <v>DIR ASSIGN 902-METER READING</v>
      </c>
      <c r="C1217" s="4" t="str">
        <f>IF(TOTALCO!C346="", "",TOTALCO!C346)</f>
        <v>CUST902</v>
      </c>
      <c r="D1217" s="14">
        <f>IF(TOTALCO!D346="", "",TOTALCO!D346)</f>
        <v>1</v>
      </c>
      <c r="E1217" s="14" t="str">
        <f>IF(TOTALCO!E346="", "",TOTALCO!E346)</f>
        <v/>
      </c>
      <c r="F1217" s="14">
        <f>IF(TOTALCO!F346="", "",TOTALCO!F346)</f>
        <v>0.94610805683145505</v>
      </c>
      <c r="G1217" s="14" t="str">
        <f>IF(TOTALCO!G346="", "",TOTALCO!G346)</f>
        <v/>
      </c>
      <c r="H1217" s="14">
        <f>IF(TOTALCO!H346="", "",TOTALCO!H346)</f>
        <v>5.2647634542542641E-2</v>
      </c>
      <c r="I1217" s="14">
        <f>IF(TOTALCO!I346="", "",TOTALCO!I346)</f>
        <v>1.2443086260023042E-3</v>
      </c>
      <c r="J1217" s="14" t="str">
        <f>IF(TOTALCO!J346="", "",TOTALCO!J346)</f>
        <v/>
      </c>
      <c r="K1217" s="14" t="str">
        <f>IF(TOTALCO!K346="", "",TOTALCO!K346)</f>
        <v/>
      </c>
      <c r="L1217" s="14">
        <f>IF(TOTALCO!L346="", "",TOTALCO!L346)</f>
        <v>9.3657638516302455E-6</v>
      </c>
      <c r="M1217" s="14" t="str">
        <f>IF(TOTALCO!M346="", "",TOTALCO!M346)</f>
        <v/>
      </c>
      <c r="N1217" s="14">
        <f>IF(TOTALCO!N346="", "",TOTALCO!N346)</f>
        <v>1.2349428621506739E-3</v>
      </c>
      <c r="O1217" s="14">
        <f>IF(TOTALCO!O346="", "",TOTALCO!O346)</f>
        <v>6.6095533467219162E-4</v>
      </c>
      <c r="P1217" s="14">
        <f>IF(TOTALCO!P346="", "",TOTALCO!P346)</f>
        <v>5.739875274784822E-4</v>
      </c>
      <c r="Q1217" s="14"/>
    </row>
    <row r="1218" spans="1:17" ht="15" x14ac:dyDescent="0.2">
      <c r="A1218" s="382">
        <f>IF(TOTALCO!A347="", "",TOTALCO!A347)</f>
        <v>8</v>
      </c>
      <c r="B1218" s="4" t="str">
        <f>IF(TOTALCO!B347="", "",TOTALCO!B347)</f>
        <v>DIR ASSIGN 903-CUSTOMER REC</v>
      </c>
      <c r="C1218" s="4" t="str">
        <f>IF(TOTALCO!C347="", "",TOTALCO!C347)</f>
        <v>CUST903</v>
      </c>
      <c r="D1218" s="14">
        <f>IF(TOTALCO!D347="", "",TOTALCO!D347)</f>
        <v>1</v>
      </c>
      <c r="E1218" s="14" t="str">
        <f>IF(TOTALCO!E347="", "",TOTALCO!E347)</f>
        <v/>
      </c>
      <c r="F1218" s="14">
        <f>IF(TOTALCO!F347="", "",TOTALCO!F347)</f>
        <v>0.94610805683145505</v>
      </c>
      <c r="G1218" s="14" t="str">
        <f>IF(TOTALCO!G347="", "",TOTALCO!G347)</f>
        <v/>
      </c>
      <c r="H1218" s="14">
        <f>IF(TOTALCO!H347="", "",TOTALCO!H347)</f>
        <v>5.2647634542542641E-2</v>
      </c>
      <c r="I1218" s="14">
        <f>IF(TOTALCO!I347="", "",TOTALCO!I347)</f>
        <v>1.2443086260023042E-3</v>
      </c>
      <c r="J1218" s="14" t="str">
        <f>IF(TOTALCO!J347="", "",TOTALCO!J347)</f>
        <v/>
      </c>
      <c r="K1218" s="14" t="str">
        <f>IF(TOTALCO!K347="", "",TOTALCO!K347)</f>
        <v/>
      </c>
      <c r="L1218" s="14">
        <f>IF(TOTALCO!L347="", "",TOTALCO!L347)</f>
        <v>9.3657638516302455E-6</v>
      </c>
      <c r="M1218" s="14" t="str">
        <f>IF(TOTALCO!M347="", "",TOTALCO!M347)</f>
        <v/>
      </c>
      <c r="N1218" s="14">
        <f>IF(TOTALCO!N347="", "",TOTALCO!N347)</f>
        <v>1.2349428621506739E-3</v>
      </c>
      <c r="O1218" s="14">
        <f>IF(TOTALCO!O347="", "",TOTALCO!O347)</f>
        <v>6.6095533467219162E-4</v>
      </c>
      <c r="P1218" s="14">
        <f>IF(TOTALCO!P347="", "",TOTALCO!P347)</f>
        <v>5.739875274784822E-4</v>
      </c>
      <c r="Q1218" s="14"/>
    </row>
    <row r="1219" spans="1:17" ht="15" x14ac:dyDescent="0.2">
      <c r="A1219" s="382">
        <f>IF(TOTALCO!A348="", "",TOTALCO!A348)</f>
        <v>9</v>
      </c>
      <c r="B1219" s="4" t="str">
        <f>IF(TOTALCO!B348="", "",TOTALCO!B348)</f>
        <v>DIR ASSIGN 904-UNCOLL ACCTS</v>
      </c>
      <c r="C1219" s="4" t="str">
        <f>IF(TOTALCO!C348="", "",TOTALCO!C348)</f>
        <v>CUST904</v>
      </c>
      <c r="D1219" s="14">
        <f>IF(TOTALCO!D348="", "",TOTALCO!D348)</f>
        <v>1</v>
      </c>
      <c r="E1219" s="14" t="str">
        <f>IF(TOTALCO!E348="", "",TOTALCO!E348)</f>
        <v/>
      </c>
      <c r="F1219" s="14">
        <f>IF(TOTALCO!F348="", "",TOTALCO!F348)</f>
        <v>0.94610805683145505</v>
      </c>
      <c r="G1219" s="14" t="str">
        <f>IF(TOTALCO!G348="", "",TOTALCO!G348)</f>
        <v/>
      </c>
      <c r="H1219" s="14">
        <f>IF(TOTALCO!H348="", "",TOTALCO!H348)</f>
        <v>5.2647634542542641E-2</v>
      </c>
      <c r="I1219" s="14">
        <f>IF(TOTALCO!I348="", "",TOTALCO!I348)</f>
        <v>1.2443086260023042E-3</v>
      </c>
      <c r="J1219" s="14" t="str">
        <f>IF(TOTALCO!J348="", "",TOTALCO!J348)</f>
        <v/>
      </c>
      <c r="K1219" s="14" t="str">
        <f>IF(TOTALCO!K348="", "",TOTALCO!K348)</f>
        <v/>
      </c>
      <c r="L1219" s="14">
        <f>IF(TOTALCO!L348="", "",TOTALCO!L348)</f>
        <v>9.3657638516302455E-6</v>
      </c>
      <c r="M1219" s="14" t="str">
        <f>IF(TOTALCO!M348="", "",TOTALCO!M348)</f>
        <v/>
      </c>
      <c r="N1219" s="14">
        <f>IF(TOTALCO!N348="", "",TOTALCO!N348)</f>
        <v>1.2349428621506739E-3</v>
      </c>
      <c r="O1219" s="14">
        <f>IF(TOTALCO!O348="", "",TOTALCO!O348)</f>
        <v>6.6095533467219162E-4</v>
      </c>
      <c r="P1219" s="14">
        <f>IF(TOTALCO!P348="", "",TOTALCO!P348)</f>
        <v>5.739875274784822E-4</v>
      </c>
      <c r="Q1219" s="14"/>
    </row>
    <row r="1220" spans="1:17" ht="15" x14ac:dyDescent="0.2">
      <c r="A1220" s="382">
        <f>IF(TOTALCO!A349="", "",TOTALCO!A349)</f>
        <v>10</v>
      </c>
      <c r="B1220" s="4" t="str">
        <f>IF(TOTALCO!B349="", "",TOTALCO!B349)</f>
        <v>DIR ASSIGN ACCT 369-SERV VA</v>
      </c>
      <c r="C1220" s="4" t="str">
        <f>IF(TOTALCO!C349="", "",TOTALCO!C349)</f>
        <v>CUST369V</v>
      </c>
      <c r="D1220" s="14">
        <f>IF(TOTALCO!D349="", "",TOTALCO!D349)</f>
        <v>1</v>
      </c>
      <c r="E1220" s="14" t="str">
        <f>IF(TOTALCO!E349="", "",TOTALCO!E349)</f>
        <v/>
      </c>
      <c r="F1220" s="14">
        <f>IF(TOTALCO!F349="", "",TOTALCO!F349)</f>
        <v>0</v>
      </c>
      <c r="G1220" s="14" t="str">
        <f>IF(TOTALCO!G349="", "",TOTALCO!G349)</f>
        <v/>
      </c>
      <c r="H1220" s="14">
        <f>IF(TOTALCO!H349="", "",TOTALCO!H349)</f>
        <v>1</v>
      </c>
      <c r="I1220" s="14">
        <f>IF(TOTALCO!I349="", "",TOTALCO!I349)</f>
        <v>0</v>
      </c>
      <c r="J1220" s="14" t="str">
        <f>IF(TOTALCO!J349="", "",TOTALCO!J349)</f>
        <v/>
      </c>
      <c r="K1220" s="14" t="str">
        <f>IF(TOTALCO!K349="", "",TOTALCO!K349)</f>
        <v/>
      </c>
      <c r="L1220" s="14">
        <f>IF(TOTALCO!L349="", "",TOTALCO!L349)</f>
        <v>0</v>
      </c>
      <c r="M1220" s="14" t="str">
        <f>IF(TOTALCO!M349="", "",TOTALCO!M349)</f>
        <v/>
      </c>
      <c r="N1220" s="14">
        <f>IF(TOTALCO!N349="", "",TOTALCO!N349)</f>
        <v>0</v>
      </c>
      <c r="O1220" s="14">
        <f>IF(TOTALCO!O349="", "",TOTALCO!O349)</f>
        <v>0</v>
      </c>
      <c r="P1220" s="14">
        <f>IF(TOTALCO!P349="", "",TOTALCO!P349)</f>
        <v>0</v>
      </c>
      <c r="Q1220" s="14"/>
    </row>
    <row r="1221" spans="1:17" ht="15" x14ac:dyDescent="0.2">
      <c r="A1221" s="382">
        <f>IF(TOTALCO!A350="", "",TOTALCO!A350)</f>
        <v>11</v>
      </c>
      <c r="B1221" s="4" t="str">
        <f>IF(TOTALCO!B350="", "",TOTALCO!B350)</f>
        <v>DIR ASSIGN ACCT 370 METERS VA</v>
      </c>
      <c r="C1221" s="4" t="str">
        <f>IF(TOTALCO!C350="", "",TOTALCO!C350)</f>
        <v>CUST370V</v>
      </c>
      <c r="D1221" s="14">
        <f>IF(TOTALCO!D350="", "",TOTALCO!D350)</f>
        <v>1</v>
      </c>
      <c r="E1221" s="14" t="str">
        <f>IF(TOTALCO!E350="", "",TOTALCO!E350)</f>
        <v/>
      </c>
      <c r="F1221" s="14">
        <f>IF(TOTALCO!F350="", "",TOTALCO!F350)</f>
        <v>0</v>
      </c>
      <c r="G1221" s="14" t="str">
        <f>IF(TOTALCO!G350="", "",TOTALCO!G350)</f>
        <v/>
      </c>
      <c r="H1221" s="14">
        <f>IF(TOTALCO!H350="", "",TOTALCO!H350)</f>
        <v>1</v>
      </c>
      <c r="I1221" s="14">
        <f>IF(TOTALCO!I350="", "",TOTALCO!I350)</f>
        <v>0</v>
      </c>
      <c r="J1221" s="14" t="str">
        <f>IF(TOTALCO!J350="", "",TOTALCO!J350)</f>
        <v/>
      </c>
      <c r="K1221" s="14" t="str">
        <f>IF(TOTALCO!K350="", "",TOTALCO!K350)</f>
        <v/>
      </c>
      <c r="L1221" s="14">
        <f>IF(TOTALCO!L350="", "",TOTALCO!L350)</f>
        <v>0</v>
      </c>
      <c r="M1221" s="14" t="str">
        <f>IF(TOTALCO!M350="", "",TOTALCO!M350)</f>
        <v/>
      </c>
      <c r="N1221" s="14">
        <f>IF(TOTALCO!N350="", "",TOTALCO!N350)</f>
        <v>0</v>
      </c>
      <c r="O1221" s="14">
        <f>IF(TOTALCO!O350="", "",TOTALCO!O350)</f>
        <v>0</v>
      </c>
      <c r="P1221" s="14">
        <f>IF(TOTALCO!P350="", "",TOTALCO!P350)</f>
        <v>0</v>
      </c>
      <c r="Q1221" s="14"/>
    </row>
    <row r="1222" spans="1:17" ht="15" x14ac:dyDescent="0.2">
      <c r="A1222" s="382">
        <f>IF(TOTALCO!A351="", "",TOTALCO!A351)</f>
        <v>12</v>
      </c>
      <c r="B1222" s="4" t="str">
        <f>IF(TOTALCO!B351="", "",TOTALCO!B351)</f>
        <v>DIR ASN ACCT 371 CUST INST VA</v>
      </c>
      <c r="C1222" s="4" t="str">
        <f>IF(TOTALCO!C351="", "",TOTALCO!C351)</f>
        <v>CUST371V</v>
      </c>
      <c r="D1222" s="14">
        <f>IF(TOTALCO!D351="", "",TOTALCO!D351)</f>
        <v>1</v>
      </c>
      <c r="E1222" s="14" t="str">
        <f>IF(TOTALCO!E351="", "",TOTALCO!E351)</f>
        <v/>
      </c>
      <c r="F1222" s="14">
        <f>IF(TOTALCO!F351="", "",TOTALCO!F351)</f>
        <v>0</v>
      </c>
      <c r="G1222" s="14" t="str">
        <f>IF(TOTALCO!G351="", "",TOTALCO!G351)</f>
        <v/>
      </c>
      <c r="H1222" s="14">
        <f>IF(TOTALCO!H351="", "",TOTALCO!H351)</f>
        <v>1</v>
      </c>
      <c r="I1222" s="14">
        <f>IF(TOTALCO!I351="", "",TOTALCO!I351)</f>
        <v>0</v>
      </c>
      <c r="J1222" s="14" t="str">
        <f>IF(TOTALCO!J351="", "",TOTALCO!J351)</f>
        <v/>
      </c>
      <c r="K1222" s="14" t="str">
        <f>IF(TOTALCO!K351="", "",TOTALCO!K351)</f>
        <v/>
      </c>
      <c r="L1222" s="14">
        <f>IF(TOTALCO!L351="", "",TOTALCO!L351)</f>
        <v>0</v>
      </c>
      <c r="M1222" s="14" t="str">
        <f>IF(TOTALCO!M351="", "",TOTALCO!M351)</f>
        <v/>
      </c>
      <c r="N1222" s="14">
        <f>IF(TOTALCO!N351="", "",TOTALCO!N351)</f>
        <v>0</v>
      </c>
      <c r="O1222" s="14">
        <f>IF(TOTALCO!O351="", "",TOTALCO!O351)</f>
        <v>0</v>
      </c>
      <c r="P1222" s="14">
        <f>IF(TOTALCO!P351="", "",TOTALCO!P351)</f>
        <v>0</v>
      </c>
      <c r="Q1222" s="14"/>
    </row>
    <row r="1223" spans="1:17" ht="15" x14ac:dyDescent="0.2">
      <c r="A1223" s="382">
        <f>IF(TOTALCO!A352="", "",TOTALCO!A352)</f>
        <v>13</v>
      </c>
      <c r="B1223" s="4" t="str">
        <f>IF(TOTALCO!B352="", "",TOTALCO!B352)</f>
        <v>DIR ASGN ACCT 373 ST LIGHT VA</v>
      </c>
      <c r="C1223" s="4" t="str">
        <f>IF(TOTALCO!C352="", "",TOTALCO!C352)</f>
        <v>CUST373V</v>
      </c>
      <c r="D1223" s="14">
        <f>IF(TOTALCO!D352="", "",TOTALCO!D352)</f>
        <v>1</v>
      </c>
      <c r="E1223" s="14" t="str">
        <f>IF(TOTALCO!E352="", "",TOTALCO!E352)</f>
        <v/>
      </c>
      <c r="F1223" s="14">
        <f>IF(TOTALCO!F352="", "",TOTALCO!F352)</f>
        <v>0</v>
      </c>
      <c r="G1223" s="14" t="str">
        <f>IF(TOTALCO!G352="", "",TOTALCO!G352)</f>
        <v/>
      </c>
      <c r="H1223" s="14">
        <f>IF(TOTALCO!H352="", "",TOTALCO!H352)</f>
        <v>1</v>
      </c>
      <c r="I1223" s="14">
        <f>IF(TOTALCO!I352="", "",TOTALCO!I352)</f>
        <v>0</v>
      </c>
      <c r="J1223" s="14" t="str">
        <f>IF(TOTALCO!J352="", "",TOTALCO!J352)</f>
        <v/>
      </c>
      <c r="K1223" s="14" t="str">
        <f>IF(TOTALCO!K352="", "",TOTALCO!K352)</f>
        <v/>
      </c>
      <c r="L1223" s="14">
        <f>IF(TOTALCO!L352="", "",TOTALCO!L352)</f>
        <v>0</v>
      </c>
      <c r="M1223" s="14" t="str">
        <f>IF(TOTALCO!M352="", "",TOTALCO!M352)</f>
        <v/>
      </c>
      <c r="N1223" s="14">
        <f>IF(TOTALCO!N352="", "",TOTALCO!N352)</f>
        <v>0</v>
      </c>
      <c r="O1223" s="14">
        <f>IF(TOTALCO!O352="", "",TOTALCO!O352)</f>
        <v>0</v>
      </c>
      <c r="P1223" s="14">
        <f>IF(TOTALCO!P352="", "",TOTALCO!P352)</f>
        <v>0</v>
      </c>
      <c r="Q1223" s="14"/>
    </row>
    <row r="1224" spans="1:17" ht="15" x14ac:dyDescent="0.2">
      <c r="A1224" s="382">
        <f>IF(TOTALCO!A353="", "",TOTALCO!A353)</f>
        <v>14</v>
      </c>
      <c r="B1224" s="4" t="str">
        <f>IF(TOTALCO!B353="", "",TOTALCO!B353)</f>
        <v>DIR ASSIGN 908-CUST ASSIST</v>
      </c>
      <c r="C1224" s="4" t="str">
        <f>IF(TOTALCO!C353="", "",TOTALCO!C353)</f>
        <v>CUST908</v>
      </c>
      <c r="D1224" s="14">
        <f>IF(TOTALCO!D353="", "",TOTALCO!D353)</f>
        <v>1</v>
      </c>
      <c r="E1224" s="14" t="str">
        <f>IF(TOTALCO!E353="", "",TOTALCO!E353)</f>
        <v/>
      </c>
      <c r="F1224" s="14">
        <f>IF(TOTALCO!F353="", "",TOTALCO!F353)</f>
        <v>1</v>
      </c>
      <c r="G1224" s="14" t="str">
        <f>IF(TOTALCO!G353="", "",TOTALCO!G353)</f>
        <v/>
      </c>
      <c r="H1224" s="14">
        <f>IF(TOTALCO!H353="", "",TOTALCO!H353)</f>
        <v>0</v>
      </c>
      <c r="I1224" s="14">
        <f>IF(TOTALCO!I353="", "",TOTALCO!I353)</f>
        <v>0</v>
      </c>
      <c r="J1224" s="14" t="str">
        <f>IF(TOTALCO!J353="", "",TOTALCO!J353)</f>
        <v/>
      </c>
      <c r="K1224" s="14" t="str">
        <f>IF(TOTALCO!K353="", "",TOTALCO!K353)</f>
        <v/>
      </c>
      <c r="L1224" s="14">
        <f>IF(TOTALCO!L353="", "",TOTALCO!L353)</f>
        <v>0</v>
      </c>
      <c r="M1224" s="14" t="str">
        <f>IF(TOTALCO!M353="", "",TOTALCO!M353)</f>
        <v/>
      </c>
      <c r="N1224" s="14">
        <f>IF(TOTALCO!N353="", "",TOTALCO!N353)</f>
        <v>0</v>
      </c>
      <c r="O1224" s="14">
        <f>IF(TOTALCO!O353="", "",TOTALCO!O353)</f>
        <v>0</v>
      </c>
      <c r="P1224" s="14">
        <f>IF(TOTALCO!P353="", "",TOTALCO!P353)</f>
        <v>0</v>
      </c>
      <c r="Q1224" s="14"/>
    </row>
    <row r="1225" spans="1:17" ht="15" x14ac:dyDescent="0.2">
      <c r="A1225" s="382">
        <f>IF(TOTALCO!A354="", "",TOTALCO!A354)</f>
        <v>15</v>
      </c>
      <c r="B1225" s="4" t="str">
        <f>IF(TOTALCO!B354="", "",TOTALCO!B354)</f>
        <v>DIR ASSIGN 909-INFO &amp; INSTRCT</v>
      </c>
      <c r="C1225" s="4" t="str">
        <f>IF(TOTALCO!C354="", "",TOTALCO!C354)</f>
        <v>CUST909</v>
      </c>
      <c r="D1225" s="14">
        <f>IF(TOTALCO!D354="", "",TOTALCO!D354)</f>
        <v>1</v>
      </c>
      <c r="E1225" s="14" t="str">
        <f>IF(TOTALCO!E354="", "",TOTALCO!E354)</f>
        <v/>
      </c>
      <c r="F1225" s="14">
        <f>IF(TOTALCO!F354="", "",TOTALCO!F354)</f>
        <v>0.94596923008515088</v>
      </c>
      <c r="G1225" s="14" t="str">
        <f>IF(TOTALCO!G354="", "",TOTALCO!G354)</f>
        <v/>
      </c>
      <c r="H1225" s="14">
        <f>IF(TOTALCO!H354="", "",TOTALCO!H354)</f>
        <v>5.4023359049037697E-2</v>
      </c>
      <c r="I1225" s="14">
        <f>IF(TOTALCO!I354="", "",TOTALCO!I354)</f>
        <v>7.4108658114527521E-6</v>
      </c>
      <c r="J1225" s="14" t="str">
        <f>IF(TOTALCO!J354="", "",TOTALCO!J354)</f>
        <v/>
      </c>
      <c r="K1225" s="14" t="str">
        <f>IF(TOTALCO!K354="", "",TOTALCO!K354)</f>
        <v/>
      </c>
      <c r="L1225" s="14">
        <f>IF(TOTALCO!L354="", "",TOTALCO!L354)</f>
        <v>7.4108658114527521E-6</v>
      </c>
      <c r="M1225" s="14" t="str">
        <f>IF(TOTALCO!M354="", "",TOTALCO!M354)</f>
        <v/>
      </c>
      <c r="N1225" s="14">
        <f>IF(TOTALCO!N354="", "",TOTALCO!N354)</f>
        <v>0</v>
      </c>
      <c r="O1225" s="14">
        <f>IF(TOTALCO!O354="", "",TOTALCO!O354)</f>
        <v>0</v>
      </c>
      <c r="P1225" s="14">
        <f>IF(TOTALCO!P354="", "",TOTALCO!P354)</f>
        <v>0</v>
      </c>
      <c r="Q1225" s="14"/>
    </row>
    <row r="1226" spans="1:17" ht="15" x14ac:dyDescent="0.2">
      <c r="A1226" s="382">
        <f>IF(TOTALCO!A355="", "",TOTALCO!A355)</f>
        <v>16</v>
      </c>
      <c r="B1226" s="4" t="str">
        <f>IF(TOTALCO!B355="", "",TOTALCO!B355)</f>
        <v>DIR ASSIGN 912-DEM &amp; SELLING</v>
      </c>
      <c r="C1226" s="4" t="str">
        <f>IF(TOTALCO!C355="", "",TOTALCO!C355)</f>
        <v>CUST912</v>
      </c>
      <c r="D1226" s="14">
        <f>IF(TOTALCO!D355="", "",TOTALCO!D355)</f>
        <v>1</v>
      </c>
      <c r="E1226" s="14" t="str">
        <f>IF(TOTALCO!E355="", "",TOTALCO!E355)</f>
        <v/>
      </c>
      <c r="F1226" s="14">
        <f>IF(TOTALCO!F355="", "",TOTALCO!F355)</f>
        <v>0.94596923008515088</v>
      </c>
      <c r="G1226" s="14" t="str">
        <f>IF(TOTALCO!G355="", "",TOTALCO!G355)</f>
        <v/>
      </c>
      <c r="H1226" s="14">
        <f>IF(TOTALCO!H355="", "",TOTALCO!H355)</f>
        <v>5.4023359049037697E-2</v>
      </c>
      <c r="I1226" s="14">
        <f>IF(TOTALCO!I355="", "",TOTALCO!I355)</f>
        <v>7.4108658114527521E-6</v>
      </c>
      <c r="J1226" s="14" t="str">
        <f>IF(TOTALCO!J355="", "",TOTALCO!J355)</f>
        <v/>
      </c>
      <c r="K1226" s="14" t="str">
        <f>IF(TOTALCO!K355="", "",TOTALCO!K355)</f>
        <v/>
      </c>
      <c r="L1226" s="14">
        <f>IF(TOTALCO!L355="", "",TOTALCO!L355)</f>
        <v>7.4108658114527521E-6</v>
      </c>
      <c r="M1226" s="14" t="str">
        <f>IF(TOTALCO!M355="", "",TOTALCO!M355)</f>
        <v/>
      </c>
      <c r="N1226" s="14">
        <f>IF(TOTALCO!N355="", "",TOTALCO!N355)</f>
        <v>0</v>
      </c>
      <c r="O1226" s="14">
        <f>IF(TOTALCO!O355="", "",TOTALCO!O355)</f>
        <v>0</v>
      </c>
      <c r="P1226" s="14">
        <f>IF(TOTALCO!P355="", "",TOTALCO!P355)</f>
        <v>0</v>
      </c>
      <c r="Q1226" s="14"/>
    </row>
    <row r="1227" spans="1:17" ht="15" x14ac:dyDescent="0.2">
      <c r="A1227" s="382">
        <f>IF(TOTALCO!A356="", "",TOTALCO!A356)</f>
        <v>17</v>
      </c>
      <c r="B1227" s="4" t="str">
        <f>IF(TOTALCO!B356="", "",TOTALCO!B356)</f>
        <v>DIR ASSIGN 913-ADVERTISING</v>
      </c>
      <c r="C1227" s="4" t="str">
        <f>IF(TOTALCO!C356="", "",TOTALCO!C356)</f>
        <v>CUST913</v>
      </c>
      <c r="D1227" s="14">
        <f>IF(TOTALCO!D356="", "",TOTALCO!D356)</f>
        <v>1</v>
      </c>
      <c r="E1227" s="14" t="str">
        <f>IF(TOTALCO!E356="", "",TOTALCO!E356)</f>
        <v/>
      </c>
      <c r="F1227" s="14">
        <f>IF(TOTALCO!F356="", "",TOTALCO!F356)</f>
        <v>0.94596923008515088</v>
      </c>
      <c r="G1227" s="14" t="str">
        <f>IF(TOTALCO!G356="", "",TOTALCO!G356)</f>
        <v/>
      </c>
      <c r="H1227" s="14">
        <f>IF(TOTALCO!H356="", "",TOTALCO!H356)</f>
        <v>5.4023359049037697E-2</v>
      </c>
      <c r="I1227" s="14">
        <f>IF(TOTALCO!I356="", "",TOTALCO!I356)</f>
        <v>7.4108658114527521E-6</v>
      </c>
      <c r="J1227" s="14" t="str">
        <f>IF(TOTALCO!J356="", "",TOTALCO!J356)</f>
        <v/>
      </c>
      <c r="K1227" s="14" t="str">
        <f>IF(TOTALCO!K356="", "",TOTALCO!K356)</f>
        <v/>
      </c>
      <c r="L1227" s="14">
        <f>IF(TOTALCO!L356="", "",TOTALCO!L356)</f>
        <v>7.4108658114527521E-6</v>
      </c>
      <c r="M1227" s="14" t="str">
        <f>IF(TOTALCO!M356="", "",TOTALCO!M356)</f>
        <v/>
      </c>
      <c r="N1227" s="14">
        <f>IF(TOTALCO!N356="", "",TOTALCO!N356)</f>
        <v>0</v>
      </c>
      <c r="O1227" s="14">
        <f>IF(TOTALCO!O356="", "",TOTALCO!O356)</f>
        <v>0</v>
      </c>
      <c r="P1227" s="14">
        <f>IF(TOTALCO!P356="", "",TOTALCO!P356)</f>
        <v>0</v>
      </c>
      <c r="Q1227" s="14"/>
    </row>
    <row r="1228" spans="1:17" ht="15" x14ac:dyDescent="0.2">
      <c r="A1228" s="382">
        <f>IF(TOTALCO!A357="", "",TOTALCO!A357)</f>
        <v>18</v>
      </c>
      <c r="B1228" s="4" t="str">
        <f>IF(TOTALCO!B357="", "",TOTALCO!B357)</f>
        <v>CUSTOMER ANNUALIZATION</v>
      </c>
      <c r="C1228" s="4" t="str">
        <f>IF(TOTALCO!C357="", "",TOTALCO!C357)</f>
        <v>CUSTANN</v>
      </c>
      <c r="D1228" s="14">
        <f>IF(TOTALCO!D357="", "",TOTALCO!D357)</f>
        <v>0</v>
      </c>
      <c r="E1228" s="14" t="str">
        <f>IF(TOTALCO!E357="", "",TOTALCO!E357)</f>
        <v/>
      </c>
      <c r="F1228" s="14">
        <f>IF(TOTALCO!F357="", "",TOTALCO!F357)</f>
        <v>0</v>
      </c>
      <c r="G1228" s="14" t="str">
        <f>IF(TOTALCO!G357="", "",TOTALCO!G357)</f>
        <v/>
      </c>
      <c r="H1228" s="14">
        <f>IF(TOTALCO!H357="", "",TOTALCO!H357)</f>
        <v>0</v>
      </c>
      <c r="I1228" s="14">
        <f>IF(TOTALCO!I357="", "",TOTALCO!I357)</f>
        <v>0</v>
      </c>
      <c r="J1228" s="14" t="str">
        <f>IF(TOTALCO!J357="", "",TOTALCO!J357)</f>
        <v/>
      </c>
      <c r="K1228" s="14" t="str">
        <f>IF(TOTALCO!K357="", "",TOTALCO!K357)</f>
        <v/>
      </c>
      <c r="L1228" s="14">
        <f>IF(TOTALCO!L357="", "",TOTALCO!L357)</f>
        <v>0</v>
      </c>
      <c r="M1228" s="14" t="str">
        <f>IF(TOTALCO!M357="", "",TOTALCO!M357)</f>
        <v/>
      </c>
      <c r="N1228" s="14">
        <f>IF(TOTALCO!N357="", "",TOTALCO!N357)</f>
        <v>0</v>
      </c>
      <c r="O1228" s="14">
        <f>IF(TOTALCO!O357="", "",TOTALCO!O357)</f>
        <v>0</v>
      </c>
      <c r="P1228" s="14">
        <f>IF(TOTALCO!P357="", "",TOTALCO!P357)</f>
        <v>0</v>
      </c>
      <c r="Q1228" s="14"/>
    </row>
    <row r="1229" spans="1:17" ht="15" x14ac:dyDescent="0.2">
      <c r="A1229" s="382">
        <f>IF(TOTALCO!A358="", "",TOTALCO!A358)</f>
        <v>19</v>
      </c>
      <c r="B1229" s="4" t="str">
        <f>IF(TOTALCO!B358="", "",TOTALCO!B358)</f>
        <v>CUSTOMER DEPOSITS INTEREST</v>
      </c>
      <c r="C1229" s="4" t="str">
        <f>IF(TOTALCO!C358="", "",TOTALCO!C358)</f>
        <v>CUSTDEPI</v>
      </c>
      <c r="D1229" s="14">
        <f>IF(TOTALCO!D358="", "",TOTALCO!D358)</f>
        <v>1</v>
      </c>
      <c r="E1229" s="14" t="str">
        <f>IF(TOTALCO!E358="", "",TOTALCO!E358)</f>
        <v/>
      </c>
      <c r="F1229" s="14">
        <f>IF(TOTALCO!F358="", "",TOTALCO!F358)</f>
        <v>0.99874776562154655</v>
      </c>
      <c r="G1229" s="14" t="str">
        <f>IF(TOTALCO!G358="", "",TOTALCO!G358)</f>
        <v/>
      </c>
      <c r="H1229" s="14">
        <f>IF(TOTALCO!H358="", "",TOTALCO!H358)</f>
        <v>1.2522343784535082E-3</v>
      </c>
      <c r="I1229" s="14">
        <f>IF(TOTALCO!I358="", "",TOTALCO!I358)</f>
        <v>0</v>
      </c>
      <c r="J1229" s="14" t="str">
        <f>IF(TOTALCO!J358="", "",TOTALCO!J358)</f>
        <v/>
      </c>
      <c r="K1229" s="14" t="str">
        <f>IF(TOTALCO!K358="", "",TOTALCO!K358)</f>
        <v/>
      </c>
      <c r="L1229" s="14">
        <f>IF(TOTALCO!L358="", "",TOTALCO!L358)</f>
        <v>0</v>
      </c>
      <c r="M1229" s="14" t="str">
        <f>IF(TOTALCO!M358="", "",TOTALCO!M358)</f>
        <v/>
      </c>
      <c r="N1229" s="14">
        <f>IF(TOTALCO!N358="", "",TOTALCO!N358)</f>
        <v>0</v>
      </c>
      <c r="O1229" s="14">
        <f>IF(TOTALCO!O358="", "",TOTALCO!O358)</f>
        <v>0</v>
      </c>
      <c r="P1229" s="14">
        <f>IF(TOTALCO!P358="", "",TOTALCO!P358)</f>
        <v>0</v>
      </c>
      <c r="Q1229" s="14"/>
    </row>
    <row r="1230" spans="1:17" ht="15" x14ac:dyDescent="0.2">
      <c r="A1230" s="382">
        <f>IF(TOTALCO!A359="", "",TOTALCO!A359)</f>
        <v>20</v>
      </c>
      <c r="B1230" s="4" t="str">
        <f>IF(TOTALCO!B359="", "",TOTALCO!B359)</f>
        <v>LATE PAYMENT REVENUES</v>
      </c>
      <c r="C1230" s="4" t="str">
        <f>IF(TOTALCO!C359="", "",TOTALCO!C359)</f>
        <v>DIR450REV</v>
      </c>
      <c r="D1230" s="14">
        <f>IF(TOTALCO!D359="", "",TOTALCO!D359)</f>
        <v>1</v>
      </c>
      <c r="E1230" s="14" t="str">
        <f>IF(TOTALCO!E359="", "",TOTALCO!E359)</f>
        <v/>
      </c>
      <c r="F1230" s="14">
        <f>IF(TOTALCO!F359="", "",TOTALCO!F359)</f>
        <v>0.96980515251594113</v>
      </c>
      <c r="G1230" s="14" t="str">
        <f>IF(TOTALCO!G359="", "",TOTALCO!G359)</f>
        <v/>
      </c>
      <c r="H1230" s="14">
        <f>IF(TOTALCO!H359="", "",TOTALCO!H359)</f>
        <v>3.0022870657172535E-2</v>
      </c>
      <c r="I1230" s="14">
        <f>IF(TOTALCO!I359="", "",TOTALCO!I359)</f>
        <v>1.719768268863525E-4</v>
      </c>
      <c r="J1230" s="14" t="str">
        <f>IF(TOTALCO!J359="", "",TOTALCO!J359)</f>
        <v/>
      </c>
      <c r="K1230" s="14" t="str">
        <f>IF(TOTALCO!K359="", "",TOTALCO!K359)</f>
        <v/>
      </c>
      <c r="L1230" s="14">
        <f>IF(TOTALCO!L359="", "",TOTALCO!L359)</f>
        <v>0</v>
      </c>
      <c r="M1230" s="14" t="str">
        <f>IF(TOTALCO!M359="", "",TOTALCO!M359)</f>
        <v/>
      </c>
      <c r="N1230" s="14">
        <f>IF(TOTALCO!N359="", "",TOTALCO!N359)</f>
        <v>1.719768268863525E-4</v>
      </c>
      <c r="O1230" s="14">
        <f>IF(TOTALCO!O359="", "",TOTALCO!O359)</f>
        <v>1.6821303136537526E-4</v>
      </c>
      <c r="P1230" s="14">
        <f>IF(TOTALCO!P359="", "",TOTALCO!P359)</f>
        <v>3.7637955209772364E-6</v>
      </c>
      <c r="Q1230" s="14"/>
    </row>
    <row r="1231" spans="1:17" ht="15" x14ac:dyDescent="0.2">
      <c r="A1231" s="382">
        <f>IF(TOTALCO!A360="", "",TOTALCO!A360)</f>
        <v>21</v>
      </c>
      <c r="B1231" s="4" t="str">
        <f>IF(TOTALCO!B360="", "",TOTALCO!B360)</f>
        <v/>
      </c>
      <c r="C1231" s="4" t="str">
        <f>IF(TOTALCO!C360="", "",TOTALCO!C360)</f>
        <v/>
      </c>
      <c r="D1231" s="14" t="str">
        <f>IF(TOTALCO!D360="", "",TOTALCO!D360)</f>
        <v/>
      </c>
      <c r="E1231" s="14" t="str">
        <f>IF(TOTALCO!E360="", "",TOTALCO!E360)</f>
        <v/>
      </c>
      <c r="F1231" s="14" t="str">
        <f>IF(TOTALCO!F360="", "",TOTALCO!F360)</f>
        <v/>
      </c>
      <c r="G1231" s="14" t="str">
        <f>IF(TOTALCO!G360="", "",TOTALCO!G360)</f>
        <v/>
      </c>
      <c r="H1231" s="14" t="str">
        <f>IF(TOTALCO!H360="", "",TOTALCO!H360)</f>
        <v/>
      </c>
      <c r="I1231" s="14" t="str">
        <f>IF(TOTALCO!I360="", "",TOTALCO!I360)</f>
        <v/>
      </c>
      <c r="J1231" s="14" t="str">
        <f>IF(TOTALCO!J360="", "",TOTALCO!J360)</f>
        <v/>
      </c>
      <c r="K1231" s="14" t="str">
        <f>IF(TOTALCO!K360="", "",TOTALCO!K360)</f>
        <v/>
      </c>
      <c r="L1231" s="14" t="str">
        <f>IF(TOTALCO!L360="", "",TOTALCO!L360)</f>
        <v/>
      </c>
      <c r="M1231" s="14" t="str">
        <f>IF(TOTALCO!M360="", "",TOTALCO!M360)</f>
        <v/>
      </c>
      <c r="N1231" s="14" t="str">
        <f>IF(TOTALCO!N360="", "",TOTALCO!N360)</f>
        <v/>
      </c>
      <c r="O1231" s="14" t="str">
        <f>IF(TOTALCO!O360="", "",TOTALCO!O360)</f>
        <v/>
      </c>
      <c r="P1231" s="14" t="str">
        <f>IF(TOTALCO!P360="", "",TOTALCO!P360)</f>
        <v/>
      </c>
      <c r="Q1231" s="14"/>
    </row>
    <row r="1232" spans="1:17" ht="15" x14ac:dyDescent="0.2">
      <c r="A1232" s="382">
        <f>IF(TOTALCO!A361="", "",TOTALCO!A361)</f>
        <v>22</v>
      </c>
      <c r="B1232" s="4" t="str">
        <f>IF(TOTALCO!B361="", "",TOTALCO!B361)</f>
        <v/>
      </c>
      <c r="C1232" s="4" t="str">
        <f>IF(TOTALCO!C361="", "",TOTALCO!C361)</f>
        <v/>
      </c>
      <c r="D1232" s="14" t="str">
        <f>IF(TOTALCO!D361="", "",TOTALCO!D361)</f>
        <v/>
      </c>
      <c r="E1232" s="14" t="str">
        <f>IF(TOTALCO!E361="", "",TOTALCO!E361)</f>
        <v/>
      </c>
      <c r="F1232" s="14" t="str">
        <f>IF(TOTALCO!F361="", "",TOTALCO!F361)</f>
        <v/>
      </c>
      <c r="G1232" s="14" t="str">
        <f>IF(TOTALCO!G361="", "",TOTALCO!G361)</f>
        <v/>
      </c>
      <c r="H1232" s="14" t="str">
        <f>IF(TOTALCO!H361="", "",TOTALCO!H361)</f>
        <v/>
      </c>
      <c r="I1232" s="14" t="str">
        <f>IF(TOTALCO!I361="", "",TOTALCO!I361)</f>
        <v/>
      </c>
      <c r="J1232" s="14" t="str">
        <f>IF(TOTALCO!J361="", "",TOTALCO!J361)</f>
        <v/>
      </c>
      <c r="K1232" s="14" t="str">
        <f>IF(TOTALCO!K361="", "",TOTALCO!K361)</f>
        <v/>
      </c>
      <c r="L1232" s="14" t="str">
        <f>IF(TOTALCO!L361="", "",TOTALCO!L361)</f>
        <v/>
      </c>
      <c r="M1232" s="14" t="str">
        <f>IF(TOTALCO!M361="", "",TOTALCO!M361)</f>
        <v/>
      </c>
      <c r="N1232" s="14" t="str">
        <f>IF(TOTALCO!N361="", "",TOTALCO!N361)</f>
        <v/>
      </c>
      <c r="O1232" s="14" t="str">
        <f>IF(TOTALCO!O361="", "",TOTALCO!O361)</f>
        <v/>
      </c>
      <c r="P1232" s="14" t="str">
        <f>IF(TOTALCO!P361="", "",TOTALCO!P361)</f>
        <v/>
      </c>
      <c r="Q1232" s="14"/>
    </row>
    <row r="1233" spans="1:17" ht="15" x14ac:dyDescent="0.2">
      <c r="A1233" s="382">
        <f>IF(TOTALCO!A362="", "",TOTALCO!A362)</f>
        <v>23</v>
      </c>
      <c r="B1233" s="4" t="str">
        <f>IF(TOTALCO!B362="", "",TOTALCO!B362)</f>
        <v/>
      </c>
      <c r="C1233" s="4" t="str">
        <f>IF(TOTALCO!C362="", "",TOTALCO!C362)</f>
        <v/>
      </c>
      <c r="D1233" s="14" t="str">
        <f>IF(TOTALCO!D362="", "",TOTALCO!D362)</f>
        <v/>
      </c>
      <c r="E1233" s="14" t="str">
        <f>IF(TOTALCO!E362="", "",TOTALCO!E362)</f>
        <v/>
      </c>
      <c r="F1233" s="14" t="str">
        <f>IF(TOTALCO!F362="", "",TOTALCO!F362)</f>
        <v/>
      </c>
      <c r="G1233" s="14" t="str">
        <f>IF(TOTALCO!G362="", "",TOTALCO!G362)</f>
        <v/>
      </c>
      <c r="H1233" s="14" t="str">
        <f>IF(TOTALCO!H362="", "",TOTALCO!H362)</f>
        <v/>
      </c>
      <c r="I1233" s="14" t="str">
        <f>IF(TOTALCO!I362="", "",TOTALCO!I362)</f>
        <v/>
      </c>
      <c r="J1233" s="14" t="str">
        <f>IF(TOTALCO!J362="", "",TOTALCO!J362)</f>
        <v/>
      </c>
      <c r="K1233" s="14" t="str">
        <f>IF(TOTALCO!K362="", "",TOTALCO!K362)</f>
        <v/>
      </c>
      <c r="L1233" s="14" t="str">
        <f>IF(TOTALCO!L362="", "",TOTALCO!L362)</f>
        <v/>
      </c>
      <c r="M1233" s="14" t="str">
        <f>IF(TOTALCO!M362="", "",TOTALCO!M362)</f>
        <v/>
      </c>
      <c r="N1233" s="14" t="str">
        <f>IF(TOTALCO!N362="", "",TOTALCO!N362)</f>
        <v/>
      </c>
      <c r="O1233" s="14" t="str">
        <f>IF(TOTALCO!O362="", "",TOTALCO!O362)</f>
        <v/>
      </c>
      <c r="P1233" s="14" t="str">
        <f>IF(TOTALCO!P362="", "",TOTALCO!P362)</f>
        <v/>
      </c>
      <c r="Q1233" s="14"/>
    </row>
    <row r="1234" spans="1:17" ht="15" x14ac:dyDescent="0.2">
      <c r="A1234" s="382">
        <f>IF(TOTALCO!A363="", "",TOTALCO!A363)</f>
        <v>24</v>
      </c>
      <c r="B1234" s="4" t="str">
        <f>IF(TOTALCO!B363="", "",TOTALCO!B363)</f>
        <v/>
      </c>
      <c r="C1234" s="4" t="str">
        <f>IF(TOTALCO!C363="", "",TOTALCO!C363)</f>
        <v/>
      </c>
      <c r="D1234" s="14" t="str">
        <f>IF(TOTALCO!D363="", "",TOTALCO!D363)</f>
        <v/>
      </c>
      <c r="E1234" s="14" t="str">
        <f>IF(TOTALCO!E363="", "",TOTALCO!E363)</f>
        <v/>
      </c>
      <c r="F1234" s="14" t="str">
        <f>IF(TOTALCO!F363="", "",TOTALCO!F363)</f>
        <v/>
      </c>
      <c r="G1234" s="14" t="str">
        <f>IF(TOTALCO!G363="", "",TOTALCO!G363)</f>
        <v/>
      </c>
      <c r="H1234" s="14" t="str">
        <f>IF(TOTALCO!H363="", "",TOTALCO!H363)</f>
        <v/>
      </c>
      <c r="I1234" s="14" t="str">
        <f>IF(TOTALCO!I363="", "",TOTALCO!I363)</f>
        <v/>
      </c>
      <c r="J1234" s="14" t="str">
        <f>IF(TOTALCO!J363="", "",TOTALCO!J363)</f>
        <v/>
      </c>
      <c r="K1234" s="14" t="str">
        <f>IF(TOTALCO!K363="", "",TOTALCO!K363)</f>
        <v/>
      </c>
      <c r="L1234" s="14" t="str">
        <f>IF(TOTALCO!L363="", "",TOTALCO!L363)</f>
        <v/>
      </c>
      <c r="M1234" s="14" t="str">
        <f>IF(TOTALCO!M363="", "",TOTALCO!M363)</f>
        <v/>
      </c>
      <c r="N1234" s="14" t="str">
        <f>IF(TOTALCO!N363="", "",TOTALCO!N363)</f>
        <v/>
      </c>
      <c r="O1234" s="14" t="str">
        <f>IF(TOTALCO!O363="", "",TOTALCO!O363)</f>
        <v/>
      </c>
      <c r="P1234" s="14" t="str">
        <f>IF(TOTALCO!P363="", "",TOTALCO!P363)</f>
        <v/>
      </c>
      <c r="Q1234" s="14"/>
    </row>
    <row r="1235" spans="1:17" ht="15" x14ac:dyDescent="0.2">
      <c r="A1235" s="382">
        <f>IF(TOTALCO!A364="", "",TOTALCO!A364)</f>
        <v>25</v>
      </c>
      <c r="B1235" s="4" t="str">
        <f>IF(TOTALCO!B364="", "",TOTALCO!B364)</f>
        <v/>
      </c>
      <c r="C1235" s="4" t="str">
        <f>IF(TOTALCO!C364="", "",TOTALCO!C364)</f>
        <v/>
      </c>
      <c r="D1235" s="14" t="str">
        <f>IF(TOTALCO!D364="", "",TOTALCO!D364)</f>
        <v/>
      </c>
      <c r="E1235" s="14" t="str">
        <f>IF(TOTALCO!E364="", "",TOTALCO!E364)</f>
        <v/>
      </c>
      <c r="F1235" s="14" t="str">
        <f>IF(TOTALCO!F364="", "",TOTALCO!F364)</f>
        <v/>
      </c>
      <c r="G1235" s="14" t="str">
        <f>IF(TOTALCO!G364="", "",TOTALCO!G364)</f>
        <v/>
      </c>
      <c r="H1235" s="14" t="str">
        <f>IF(TOTALCO!H364="", "",TOTALCO!H364)</f>
        <v/>
      </c>
      <c r="I1235" s="14" t="str">
        <f>IF(TOTALCO!I364="", "",TOTALCO!I364)</f>
        <v/>
      </c>
      <c r="J1235" s="14" t="str">
        <f>IF(TOTALCO!J364="", "",TOTALCO!J364)</f>
        <v/>
      </c>
      <c r="K1235" s="14" t="str">
        <f>IF(TOTALCO!K364="", "",TOTALCO!K364)</f>
        <v/>
      </c>
      <c r="L1235" s="14" t="str">
        <f>IF(TOTALCO!L364="", "",TOTALCO!L364)</f>
        <v/>
      </c>
      <c r="M1235" s="14" t="str">
        <f>IF(TOTALCO!M364="", "",TOTALCO!M364)</f>
        <v/>
      </c>
      <c r="N1235" s="14" t="str">
        <f>IF(TOTALCO!N364="", "",TOTALCO!N364)</f>
        <v/>
      </c>
      <c r="O1235" s="14" t="str">
        <f>IF(TOTALCO!O364="", "",TOTALCO!O364)</f>
        <v/>
      </c>
      <c r="P1235" s="14" t="str">
        <f>IF(TOTALCO!P364="", "",TOTALCO!P364)</f>
        <v/>
      </c>
      <c r="Q1235" s="14"/>
    </row>
    <row r="1236" spans="1:17" ht="15" x14ac:dyDescent="0.2">
      <c r="A1236" s="382" t="str">
        <f>IF(TOTALCO!A365="", "",TOTALCO!A365)</f>
        <v/>
      </c>
      <c r="B1236" s="4" t="str">
        <f>IF(TOTALCO!B365="", "",TOTALCO!B365)</f>
        <v/>
      </c>
      <c r="C1236" s="4" t="str">
        <f>IF(TOTALCO!C365="", "",TOTALCO!C365)</f>
        <v/>
      </c>
      <c r="D1236" s="14" t="str">
        <f>IF(TOTALCO!D365="", "",TOTALCO!D365)</f>
        <v/>
      </c>
      <c r="E1236" s="14" t="str">
        <f>IF(TOTALCO!E365="", "",TOTALCO!E365)</f>
        <v/>
      </c>
      <c r="F1236" s="14" t="str">
        <f>IF(TOTALCO!F365="", "",TOTALCO!F365)</f>
        <v/>
      </c>
      <c r="G1236" s="14" t="str">
        <f>IF(TOTALCO!G365="", "",TOTALCO!G365)</f>
        <v/>
      </c>
      <c r="H1236" s="14" t="str">
        <f>IF(TOTALCO!H365="", "",TOTALCO!H365)</f>
        <v/>
      </c>
      <c r="I1236" s="14" t="str">
        <f>IF(TOTALCO!I365="", "",TOTALCO!I365)</f>
        <v/>
      </c>
      <c r="J1236" s="14" t="str">
        <f>IF(TOTALCO!J365="", "",TOTALCO!J365)</f>
        <v/>
      </c>
      <c r="K1236" s="14" t="str">
        <f>IF(TOTALCO!K365="", "",TOTALCO!K365)</f>
        <v/>
      </c>
      <c r="L1236" s="14" t="str">
        <f>IF(TOTALCO!L365="", "",TOTALCO!L365)</f>
        <v/>
      </c>
      <c r="M1236" s="14" t="str">
        <f>IF(TOTALCO!M365="", "",TOTALCO!M365)</f>
        <v/>
      </c>
      <c r="N1236" s="14" t="str">
        <f>IF(TOTALCO!N365="", "",TOTALCO!N365)</f>
        <v/>
      </c>
      <c r="O1236" s="14" t="str">
        <f>IF(TOTALCO!O365="", "",TOTALCO!O365)</f>
        <v/>
      </c>
      <c r="P1236" s="14" t="str">
        <f>IF(TOTALCO!P365="", "",TOTALCO!P365)</f>
        <v/>
      </c>
      <c r="Q1236" s="14"/>
    </row>
    <row r="1237" spans="1:17" ht="15" x14ac:dyDescent="0.2">
      <c r="A1237" s="382" t="str">
        <f>IF(TOTALCO!A366="", "",TOTALCO!A366)</f>
        <v/>
      </c>
      <c r="B1237" s="4" t="str">
        <f>IF(TOTALCO!B366="", "",TOTALCO!B366)</f>
        <v>INTERNALLY DEVELOPED</v>
      </c>
      <c r="C1237" s="4" t="str">
        <f>IF(TOTALCO!C366="", "",TOTALCO!C366)</f>
        <v/>
      </c>
      <c r="D1237" s="14" t="str">
        <f>IF(TOTALCO!D366="", "",TOTALCO!D366)</f>
        <v/>
      </c>
      <c r="E1237" s="14" t="str">
        <f>IF(TOTALCO!E366="", "",TOTALCO!E366)</f>
        <v/>
      </c>
      <c r="F1237" s="14" t="str">
        <f>IF(TOTALCO!F366="", "",TOTALCO!F366)</f>
        <v/>
      </c>
      <c r="G1237" s="14" t="str">
        <f>IF(TOTALCO!G366="", "",TOTALCO!G366)</f>
        <v/>
      </c>
      <c r="H1237" s="14" t="str">
        <f>IF(TOTALCO!H366="", "",TOTALCO!H366)</f>
        <v/>
      </c>
      <c r="I1237" s="14" t="str">
        <f>IF(TOTALCO!I366="", "",TOTALCO!I366)</f>
        <v/>
      </c>
      <c r="J1237" s="14" t="str">
        <f>IF(TOTALCO!J366="", "",TOTALCO!J366)</f>
        <v/>
      </c>
      <c r="K1237" s="14" t="str">
        <f>IF(TOTALCO!K366="", "",TOTALCO!K366)</f>
        <v/>
      </c>
      <c r="L1237" s="14" t="str">
        <f>IF(TOTALCO!L366="", "",TOTALCO!L366)</f>
        <v/>
      </c>
      <c r="M1237" s="14" t="str">
        <f>IF(TOTALCO!M366="", "",TOTALCO!M366)</f>
        <v/>
      </c>
      <c r="N1237" s="14" t="str">
        <f>IF(TOTALCO!N366="", "",TOTALCO!N366)</f>
        <v/>
      </c>
      <c r="O1237" s="14" t="str">
        <f>IF(TOTALCO!O366="", "",TOTALCO!O366)</f>
        <v/>
      </c>
      <c r="P1237" s="14" t="str">
        <f>IF(TOTALCO!P366="", "",TOTALCO!P366)</f>
        <v/>
      </c>
      <c r="Q1237" s="14"/>
    </row>
    <row r="1238" spans="1:17" ht="15" x14ac:dyDescent="0.2">
      <c r="A1238" s="382" t="str">
        <f>IF(TOTALCO!A367="", "",TOTALCO!A367)</f>
        <v/>
      </c>
      <c r="B1238" s="4" t="str">
        <f>IF(TOTALCO!B367="", "",TOTALCO!B367)</f>
        <v>-</v>
      </c>
      <c r="C1238" s="4" t="str">
        <f>IF(TOTALCO!C367="", "",TOTALCO!C367)</f>
        <v/>
      </c>
      <c r="D1238" s="14" t="str">
        <f>IF(TOTALCO!D367="", "",TOTALCO!D367)</f>
        <v/>
      </c>
      <c r="E1238" s="14" t="str">
        <f>IF(TOTALCO!E367="", "",TOTALCO!E367)</f>
        <v/>
      </c>
      <c r="F1238" s="14" t="str">
        <f>IF(TOTALCO!F367="", "",TOTALCO!F367)</f>
        <v/>
      </c>
      <c r="G1238" s="14" t="str">
        <f>IF(TOTALCO!G367="", "",TOTALCO!G367)</f>
        <v/>
      </c>
      <c r="H1238" s="14" t="str">
        <f>IF(TOTALCO!H367="", "",TOTALCO!H367)</f>
        <v/>
      </c>
      <c r="I1238" s="14" t="str">
        <f>IF(TOTALCO!I367="", "",TOTALCO!I367)</f>
        <v/>
      </c>
      <c r="J1238" s="14" t="str">
        <f>IF(TOTALCO!J367="", "",TOTALCO!J367)</f>
        <v/>
      </c>
      <c r="K1238" s="14" t="str">
        <f>IF(TOTALCO!K367="", "",TOTALCO!K367)</f>
        <v/>
      </c>
      <c r="L1238" s="14" t="str">
        <f>IF(TOTALCO!L367="", "",TOTALCO!L367)</f>
        <v/>
      </c>
      <c r="M1238" s="14" t="str">
        <f>IF(TOTALCO!M367="", "",TOTALCO!M367)</f>
        <v/>
      </c>
      <c r="N1238" s="14" t="str">
        <f>IF(TOTALCO!N367="", "",TOTALCO!N367)</f>
        <v/>
      </c>
      <c r="O1238" s="14" t="str">
        <f>IF(TOTALCO!O367="", "",TOTALCO!O367)</f>
        <v/>
      </c>
      <c r="P1238" s="14" t="str">
        <f>IF(TOTALCO!P367="", "",TOTALCO!P367)</f>
        <v/>
      </c>
      <c r="Q1238" s="14"/>
    </row>
    <row r="1239" spans="1:17" ht="15" x14ac:dyDescent="0.2">
      <c r="A1239" s="382">
        <f>IF(TOTALCO!A368="", "",TOTALCO!A368)</f>
        <v>1</v>
      </c>
      <c r="B1239" s="4" t="str">
        <f>IF(TOTALCO!B368="", "",TOTALCO!B368)</f>
        <v>PROD-TRANSM-DISTR-GENL PLT</v>
      </c>
      <c r="C1239" s="4" t="str">
        <f>IF(TOTALCO!C368="", "",TOTALCO!C368)</f>
        <v>PTDGPLT</v>
      </c>
      <c r="D1239" s="14">
        <f ca="1">IF(TOTALCO!D368="", "",TOTALCO!D368)</f>
        <v>1</v>
      </c>
      <c r="E1239" s="14" t="str">
        <f>IF(TOTALCO!E368="", "",TOTALCO!E368)</f>
        <v/>
      </c>
      <c r="F1239" s="14">
        <f ca="1">IF(TOTALCO!F368="", "",TOTALCO!F368)</f>
        <v>0.87069393411336549</v>
      </c>
      <c r="G1239" s="14" t="str">
        <f>IF(TOTALCO!G368="", "",TOTALCO!G368)</f>
        <v/>
      </c>
      <c r="H1239" s="14">
        <f ca="1">IF(TOTALCO!H368="", "",TOTALCO!H368)</f>
        <v>5.9394533807123652E-2</v>
      </c>
      <c r="I1239" s="14">
        <f ca="1">IF(TOTALCO!I368="", "",TOTALCO!I368)</f>
        <v>6.991153207951091E-2</v>
      </c>
      <c r="J1239" s="14" t="str">
        <f>IF(TOTALCO!J368="", "",TOTALCO!J368)</f>
        <v/>
      </c>
      <c r="K1239" s="14" t="str">
        <f>IF(TOTALCO!K368="", "",TOTALCO!K368)</f>
        <v/>
      </c>
      <c r="L1239" s="14">
        <f ca="1">IF(TOTALCO!L368="", "",TOTALCO!L368)</f>
        <v>3.153235764200856E-5</v>
      </c>
      <c r="M1239" s="14" t="str">
        <f>IF(TOTALCO!M368="", "",TOTALCO!M368)</f>
        <v/>
      </c>
      <c r="N1239" s="14">
        <f ca="1">IF(TOTALCO!N368="", "",TOTALCO!N368)</f>
        <v>6.9879999721868896E-2</v>
      </c>
      <c r="O1239" s="14">
        <f ca="1">IF(TOTALCO!O368="", "",TOTALCO!O368)</f>
        <v>2.2187681801154498E-2</v>
      </c>
      <c r="P1239" s="14">
        <f ca="1">IF(TOTALCO!P368="", "",TOTALCO!P368)</f>
        <v>4.7692317920714405E-2</v>
      </c>
      <c r="Q1239" s="14"/>
    </row>
    <row r="1240" spans="1:17" ht="15" x14ac:dyDescent="0.2">
      <c r="A1240" s="382">
        <f>IF(TOTALCO!A369="", "",TOTALCO!A369)</f>
        <v>2</v>
      </c>
      <c r="B1240" s="4" t="str">
        <f>IF(TOTALCO!B369="", "",TOTALCO!B369)</f>
        <v>PROD-TRANSM-DISTR-GENL PLT KY</v>
      </c>
      <c r="C1240" s="4" t="str">
        <f>IF(TOTALCO!C369="", "",TOTALCO!C369)</f>
        <v>KURETPLT</v>
      </c>
      <c r="D1240" s="14">
        <f ca="1">IF(TOTALCO!D369="", "",TOTALCO!D369)</f>
        <v>1</v>
      </c>
      <c r="E1240" s="14" t="str">
        <f>IF(TOTALCO!E369="", "",TOTALCO!E369)</f>
        <v/>
      </c>
      <c r="F1240" s="14">
        <f ca="1">IF(TOTALCO!F369="", "",TOTALCO!F369)</f>
        <v>1</v>
      </c>
      <c r="G1240" s="14" t="str">
        <f>IF(TOTALCO!G369="", "",TOTALCO!G369)</f>
        <v/>
      </c>
      <c r="H1240" s="14">
        <f>IF(TOTALCO!H369="", "",TOTALCO!H369)</f>
        <v>0</v>
      </c>
      <c r="I1240" s="14">
        <f>IF(TOTALCO!I369="", "",TOTALCO!I369)</f>
        <v>0</v>
      </c>
      <c r="J1240" s="14" t="str">
        <f>IF(TOTALCO!J369="", "",TOTALCO!J369)</f>
        <v/>
      </c>
      <c r="K1240" s="14" t="str">
        <f>IF(TOTALCO!K369="", "",TOTALCO!K369)</f>
        <v/>
      </c>
      <c r="L1240" s="14">
        <f>IF(TOTALCO!L369="", "",TOTALCO!L369)</f>
        <v>0</v>
      </c>
      <c r="M1240" s="14" t="str">
        <f>IF(TOTALCO!M369="", "",TOTALCO!M369)</f>
        <v/>
      </c>
      <c r="N1240" s="14">
        <f>IF(TOTALCO!N369="", "",TOTALCO!N369)</f>
        <v>0</v>
      </c>
      <c r="O1240" s="14">
        <f>IF(TOTALCO!O369="", "",TOTALCO!O369)</f>
        <v>0</v>
      </c>
      <c r="P1240" s="14">
        <f>IF(TOTALCO!P369="", "",TOTALCO!P369)</f>
        <v>0</v>
      </c>
      <c r="Q1240" s="14"/>
    </row>
    <row r="1241" spans="1:17" ht="15" x14ac:dyDescent="0.2">
      <c r="A1241" s="382">
        <f>IF(TOTALCO!A370="", "",TOTALCO!A370)</f>
        <v>3</v>
      </c>
      <c r="B1241" s="4" t="str">
        <f>IF(TOTALCO!B370="", "",TOTALCO!B370)</f>
        <v>ALLOCATED O&amp;M LABOR EXPENSE</v>
      </c>
      <c r="C1241" s="4" t="str">
        <f>IF(TOTALCO!C370="", "",TOTALCO!C370)</f>
        <v>LABOR</v>
      </c>
      <c r="D1241" s="14">
        <f ca="1">IF(TOTALCO!D370="", "",TOTALCO!D370)</f>
        <v>0.99999999999999989</v>
      </c>
      <c r="E1241" s="14" t="str">
        <f>IF(TOTALCO!E370="", "",TOTALCO!E370)</f>
        <v/>
      </c>
      <c r="F1241" s="14">
        <f ca="1">IF(TOTALCO!F370="", "",TOTALCO!F370)</f>
        <v>0.889378826025083</v>
      </c>
      <c r="G1241" s="14" t="str">
        <f>IF(TOTALCO!G370="", "",TOTALCO!G370)</f>
        <v/>
      </c>
      <c r="H1241" s="14">
        <f ca="1">IF(TOTALCO!H370="", "",TOTALCO!H370)</f>
        <v>5.4792985936032601E-2</v>
      </c>
      <c r="I1241" s="14">
        <f ca="1">IF(TOTALCO!I370="", "",TOTALCO!I370)</f>
        <v>5.5828188038884292E-2</v>
      </c>
      <c r="J1241" s="14" t="str">
        <f>IF(TOTALCO!J370="", "",TOTALCO!J370)</f>
        <v/>
      </c>
      <c r="K1241" s="14" t="str">
        <f>IF(TOTALCO!K370="", "",TOTALCO!K370)</f>
        <v/>
      </c>
      <c r="L1241" s="14">
        <f ca="1">IF(TOTALCO!L370="", "",TOTALCO!L370)</f>
        <v>3.0698630802607451E-5</v>
      </c>
      <c r="M1241" s="14" t="str">
        <f>IF(TOTALCO!M370="", "",TOTALCO!M370)</f>
        <v/>
      </c>
      <c r="N1241" s="14">
        <f ca="1">IF(TOTALCO!N370="", "",TOTALCO!N370)</f>
        <v>5.5797489408081685E-2</v>
      </c>
      <c r="O1241" s="14">
        <f ca="1">IF(TOTALCO!O370="", "",TOTALCO!O370)</f>
        <v>1.812651544897452E-2</v>
      </c>
      <c r="P1241" s="14">
        <f ca="1">IF(TOTALCO!P370="", "",TOTALCO!P370)</f>
        <v>3.7670973959107165E-2</v>
      </c>
      <c r="Q1241" s="14"/>
    </row>
    <row r="1242" spans="1:17" ht="15" x14ac:dyDescent="0.2">
      <c r="A1242" s="382">
        <f>IF(TOTALCO!A371="", "",TOTALCO!A371)</f>
        <v>4</v>
      </c>
      <c r="B1242" s="4" t="str">
        <f>IF(TOTALCO!B371="", "",TOTALCO!B371)</f>
        <v>ALLOCATED O&amp;M LABOR EXPENSE</v>
      </c>
      <c r="C1242" s="4" t="str">
        <f>IF(TOTALCO!C371="", "",TOTALCO!C371)</f>
        <v>PTDCUSTLABOR</v>
      </c>
      <c r="D1242" s="14">
        <f ca="1">IF(TOTALCO!D371="", "",TOTALCO!D371)</f>
        <v>0.99999999999999989</v>
      </c>
      <c r="E1242" s="14" t="str">
        <f>IF(TOTALCO!E371="", "",TOTALCO!E371)</f>
        <v/>
      </c>
      <c r="F1242" s="14">
        <f ca="1">IF(TOTALCO!F371="", "",TOTALCO!F371)</f>
        <v>0.889378826025083</v>
      </c>
      <c r="G1242" s="14" t="str">
        <f>IF(TOTALCO!G371="", "",TOTALCO!G371)</f>
        <v/>
      </c>
      <c r="H1242" s="14">
        <f ca="1">IF(TOTALCO!H371="", "",TOTALCO!H371)</f>
        <v>5.4792985936032601E-2</v>
      </c>
      <c r="I1242" s="14">
        <f ca="1">IF(TOTALCO!I371="", "",TOTALCO!I371)</f>
        <v>5.5828188038884306E-2</v>
      </c>
      <c r="J1242" s="14" t="str">
        <f>IF(TOTALCO!J371="", "",TOTALCO!J371)</f>
        <v/>
      </c>
      <c r="K1242" s="14" t="str">
        <f>IF(TOTALCO!K371="", "",TOTALCO!K371)</f>
        <v/>
      </c>
      <c r="L1242" s="14">
        <f ca="1">IF(TOTALCO!L371="", "",TOTALCO!L371)</f>
        <v>3.0698630802607458E-5</v>
      </c>
      <c r="M1242" s="14" t="str">
        <f>IF(TOTALCO!M371="", "",TOTALCO!M371)</f>
        <v/>
      </c>
      <c r="N1242" s="14">
        <f ca="1">IF(TOTALCO!N371="", "",TOTALCO!N371)</f>
        <v>5.5797489408081699E-2</v>
      </c>
      <c r="O1242" s="14">
        <f ca="1">IF(TOTALCO!O371="", "",TOTALCO!O371)</f>
        <v>1.8126515448974524E-2</v>
      </c>
      <c r="P1242" s="14">
        <f ca="1">IF(TOTALCO!P371="", "",TOTALCO!P371)</f>
        <v>3.7670973959107172E-2</v>
      </c>
      <c r="Q1242" s="14"/>
    </row>
    <row r="1243" spans="1:17" ht="15" x14ac:dyDescent="0.2">
      <c r="A1243" s="382">
        <f>IF(TOTALCO!A372="", "",TOTALCO!A372)</f>
        <v>5</v>
      </c>
      <c r="B1243" s="4" t="str">
        <f>IF(TOTALCO!B372="", "",TOTALCO!B372)</f>
        <v>TOTAL STEAM PROD PLANT-SYSTEM</v>
      </c>
      <c r="C1243" s="4" t="str">
        <f>IF(TOTALCO!C372="", "",TOTALCO!C372)</f>
        <v>STMSYS</v>
      </c>
      <c r="D1243" s="14">
        <f ca="1">IF(TOTALCO!D372="", "",TOTALCO!D372)</f>
        <v>1</v>
      </c>
      <c r="E1243" s="14" t="str">
        <f>IF(TOTALCO!E372="", "",TOTALCO!E372)</f>
        <v/>
      </c>
      <c r="F1243" s="14">
        <f ca="1">IF(TOTALCO!F372="", "",TOTALCO!F372)</f>
        <v>0.86549017314247356</v>
      </c>
      <c r="G1243" s="14" t="str">
        <f>IF(TOTALCO!G372="", "",TOTALCO!G372)</f>
        <v/>
      </c>
      <c r="H1243" s="14">
        <f ca="1">IF(TOTALCO!H372="", "",TOTALCO!H372)</f>
        <v>5.0827668687646085E-2</v>
      </c>
      <c r="I1243" s="14">
        <f ca="1">IF(TOTALCO!I372="", "",TOTALCO!I372)</f>
        <v>8.3682158169880339E-2</v>
      </c>
      <c r="J1243" s="14" t="str">
        <f>IF(TOTALCO!J372="", "",TOTALCO!J372)</f>
        <v/>
      </c>
      <c r="K1243" s="14" t="str">
        <f>IF(TOTALCO!K372="", "",TOTALCO!K372)</f>
        <v/>
      </c>
      <c r="L1243" s="14">
        <f ca="1">IF(TOTALCO!L372="", "",TOTALCO!L372)</f>
        <v>7.6524644215064863E-6</v>
      </c>
      <c r="M1243" s="14" t="str">
        <f>IF(TOTALCO!M372="", "",TOTALCO!M372)</f>
        <v/>
      </c>
      <c r="N1243" s="14">
        <f ca="1">IF(TOTALCO!N372="", "",TOTALCO!N372)</f>
        <v>8.3674505705458826E-2</v>
      </c>
      <c r="O1243" s="14">
        <f ca="1">IF(TOTALCO!O372="", "",TOTALCO!O372)</f>
        <v>2.6108568792375518E-2</v>
      </c>
      <c r="P1243" s="14">
        <f ca="1">IF(TOTALCO!P372="", "",TOTALCO!P372)</f>
        <v>5.7565936913083308E-2</v>
      </c>
      <c r="Q1243" s="14"/>
    </row>
    <row r="1244" spans="1:17" ht="15" x14ac:dyDescent="0.2">
      <c r="A1244" s="382">
        <f>IF(TOTALCO!A373="", "",TOTALCO!A373)</f>
        <v>6</v>
      </c>
      <c r="B1244" s="4" t="str">
        <f>IF(TOTALCO!B373="", "",TOTALCO!B373)</f>
        <v>TOT HYDRAULIC PROD PLANT-SYS</v>
      </c>
      <c r="C1244" s="4" t="str">
        <f>IF(TOTALCO!C373="", "",TOTALCO!C373)</f>
        <v>HYDSYS</v>
      </c>
      <c r="D1244" s="14">
        <f ca="1">IF(TOTALCO!D373="", "",TOTALCO!D373)</f>
        <v>1</v>
      </c>
      <c r="E1244" s="14" t="str">
        <f>IF(TOTALCO!E373="", "",TOTALCO!E373)</f>
        <v/>
      </c>
      <c r="F1244" s="14">
        <f ca="1">IF(TOTALCO!F373="", "",TOTALCO!F373)</f>
        <v>0.86549017314247356</v>
      </c>
      <c r="G1244" s="14" t="str">
        <f>IF(TOTALCO!G373="", "",TOTALCO!G373)</f>
        <v/>
      </c>
      <c r="H1244" s="14">
        <f ca="1">IF(TOTALCO!H373="", "",TOTALCO!H373)</f>
        <v>5.0827668687646085E-2</v>
      </c>
      <c r="I1244" s="14">
        <f ca="1">IF(TOTALCO!I373="", "",TOTALCO!I373)</f>
        <v>8.3682158169880339E-2</v>
      </c>
      <c r="J1244" s="14" t="str">
        <f>IF(TOTALCO!J373="", "",TOTALCO!J373)</f>
        <v/>
      </c>
      <c r="K1244" s="14" t="str">
        <f>IF(TOTALCO!K373="", "",TOTALCO!K373)</f>
        <v/>
      </c>
      <c r="L1244" s="14">
        <f ca="1">IF(TOTALCO!L373="", "",TOTALCO!L373)</f>
        <v>7.652464421506488E-6</v>
      </c>
      <c r="M1244" s="14" t="str">
        <f>IF(TOTALCO!M373="", "",TOTALCO!M373)</f>
        <v/>
      </c>
      <c r="N1244" s="14">
        <f ca="1">IF(TOTALCO!N373="", "",TOTALCO!N373)</f>
        <v>8.3674505705458826E-2</v>
      </c>
      <c r="O1244" s="14">
        <f ca="1">IF(TOTALCO!O373="", "",TOTALCO!O373)</f>
        <v>2.6108568792375522E-2</v>
      </c>
      <c r="P1244" s="14">
        <f ca="1">IF(TOTALCO!P373="", "",TOTALCO!P373)</f>
        <v>5.7565936913083302E-2</v>
      </c>
      <c r="Q1244" s="14"/>
    </row>
    <row r="1245" spans="1:17" ht="15" x14ac:dyDescent="0.2">
      <c r="A1245" s="382">
        <f>IF(TOTALCO!A374="", "",TOTALCO!A374)</f>
        <v>7</v>
      </c>
      <c r="B1245" s="4" t="str">
        <f>IF(TOTALCO!B374="", "",TOTALCO!B374)</f>
        <v>TOTAL OTHER PROD PLANT-SYS</v>
      </c>
      <c r="C1245" s="4" t="str">
        <f>IF(TOTALCO!C374="", "",TOTALCO!C374)</f>
        <v>OTHSYS</v>
      </c>
      <c r="D1245" s="14">
        <f ca="1">IF(TOTALCO!D374="", "",TOTALCO!D374)</f>
        <v>1.0000000000000002</v>
      </c>
      <c r="E1245" s="14" t="str">
        <f>IF(TOTALCO!E374="", "",TOTALCO!E374)</f>
        <v/>
      </c>
      <c r="F1245" s="14">
        <f ca="1">IF(TOTALCO!F374="", "",TOTALCO!F374)</f>
        <v>0.86549017314247367</v>
      </c>
      <c r="G1245" s="14" t="str">
        <f>IF(TOTALCO!G374="", "",TOTALCO!G374)</f>
        <v/>
      </c>
      <c r="H1245" s="14">
        <f ca="1">IF(TOTALCO!H374="", "",TOTALCO!H374)</f>
        <v>5.0827668687646078E-2</v>
      </c>
      <c r="I1245" s="14">
        <f ca="1">IF(TOTALCO!I374="", "",TOTALCO!I374)</f>
        <v>8.3682158169880352E-2</v>
      </c>
      <c r="J1245" s="14" t="str">
        <f>IF(TOTALCO!J374="", "",TOTALCO!J374)</f>
        <v/>
      </c>
      <c r="K1245" s="14" t="str">
        <f>IF(TOTALCO!K374="", "",TOTALCO!K374)</f>
        <v/>
      </c>
      <c r="L1245" s="14">
        <f ca="1">IF(TOTALCO!L374="", "",TOTALCO!L374)</f>
        <v>7.6524644215064863E-6</v>
      </c>
      <c r="M1245" s="14" t="str">
        <f>IF(TOTALCO!M374="", "",TOTALCO!M374)</f>
        <v/>
      </c>
      <c r="N1245" s="14">
        <f ca="1">IF(TOTALCO!N374="", "",TOTALCO!N374)</f>
        <v>8.367450570545884E-2</v>
      </c>
      <c r="O1245" s="14">
        <f ca="1">IF(TOTALCO!O374="", "",TOTALCO!O374)</f>
        <v>2.6108568792375525E-2</v>
      </c>
      <c r="P1245" s="14">
        <f ca="1">IF(TOTALCO!P374="", "",TOTALCO!P374)</f>
        <v>5.7565936913083315E-2</v>
      </c>
      <c r="Q1245" s="14"/>
    </row>
    <row r="1246" spans="1:17" ht="15" x14ac:dyDescent="0.2">
      <c r="A1246" s="382">
        <f>IF(TOTALCO!A375="", "",TOTALCO!A375)</f>
        <v>8</v>
      </c>
      <c r="B1246" s="4" t="str">
        <f>IF(TOTALCO!B375="", "",TOTALCO!B375)</f>
        <v>TRANSM KENTUCKY SYSTEM PROP</v>
      </c>
      <c r="C1246" s="4" t="str">
        <f>IF(TOTALCO!C375="", "",TOTALCO!C375)</f>
        <v>KYTRPLT</v>
      </c>
      <c r="D1246" s="14">
        <f ca="1">IF(TOTALCO!D375="", "",TOTALCO!D375)</f>
        <v>1</v>
      </c>
      <c r="E1246" s="14" t="str">
        <f>IF(TOTALCO!E375="", "",TOTALCO!E375)</f>
        <v/>
      </c>
      <c r="F1246" s="14">
        <f ca="1">IF(TOTALCO!F375="", "",TOTALCO!F375)</f>
        <v>0.85904272823294758</v>
      </c>
      <c r="G1246" s="14" t="str">
        <f>IF(TOTALCO!G375="", "",TOTALCO!G375)</f>
        <v/>
      </c>
      <c r="H1246" s="14">
        <f ca="1">IF(TOTALCO!H375="", "",TOTALCO!H375)</f>
        <v>5.239046771966293E-2</v>
      </c>
      <c r="I1246" s="14">
        <f ca="1">IF(TOTALCO!I375="", "",TOTALCO!I375)</f>
        <v>8.8566804047389577E-2</v>
      </c>
      <c r="J1246" s="14" t="str">
        <f>IF(TOTALCO!J375="", "",TOTALCO!J375)</f>
        <v/>
      </c>
      <c r="K1246" s="14" t="str">
        <f>IF(TOTALCO!K375="", "",TOTALCO!K375)</f>
        <v/>
      </c>
      <c r="L1246" s="14">
        <f ca="1">IF(TOTALCO!L375="", "",TOTALCO!L375)</f>
        <v>7.5954576011972191E-6</v>
      </c>
      <c r="M1246" s="14" t="str">
        <f>IF(TOTALCO!M375="", "",TOTALCO!M375)</f>
        <v/>
      </c>
      <c r="N1246" s="14">
        <f ca="1">IF(TOTALCO!N375="", "",TOTALCO!N375)</f>
        <v>8.8559208589788385E-2</v>
      </c>
      <c r="O1246" s="14">
        <f ca="1">IF(TOTALCO!O375="", "",TOTALCO!O375)</f>
        <v>2.7632720028293881E-2</v>
      </c>
      <c r="P1246" s="14">
        <f ca="1">IF(TOTALCO!P375="", "",TOTALCO!P375)</f>
        <v>6.0926488561494505E-2</v>
      </c>
      <c r="Q1246" s="14"/>
    </row>
    <row r="1247" spans="1:17" ht="15" x14ac:dyDescent="0.2">
      <c r="A1247" s="382">
        <f>IF(TOTALCO!A376="", "",TOTALCO!A376)</f>
        <v>9</v>
      </c>
      <c r="B1247" s="4" t="str">
        <f>IF(TOTALCO!B376="", "",TOTALCO!B376)</f>
        <v>TRANSM VIRGINIA PROPERTY</v>
      </c>
      <c r="C1247" s="4" t="str">
        <f>IF(TOTALCO!C376="", "",TOTALCO!C376)</f>
        <v>VATRPLT</v>
      </c>
      <c r="D1247" s="14">
        <f ca="1">IF(TOTALCO!D376="", "",TOTALCO!D376)</f>
        <v>1</v>
      </c>
      <c r="E1247" s="14" t="str">
        <f>IF(TOTALCO!E376="", "",TOTALCO!E376)</f>
        <v/>
      </c>
      <c r="F1247" s="14">
        <f ca="1">IF(TOTALCO!F376="", "",TOTALCO!F376)</f>
        <v>0</v>
      </c>
      <c r="G1247" s="14" t="str">
        <f>IF(TOTALCO!G376="", "",TOTALCO!G376)</f>
        <v/>
      </c>
      <c r="H1247" s="14">
        <f ca="1">IF(TOTALCO!H376="", "",TOTALCO!H376)</f>
        <v>0.9998981235864246</v>
      </c>
      <c r="I1247" s="14">
        <f ca="1">IF(TOTALCO!I376="", "",TOTALCO!I376)</f>
        <v>1.0187641357537594E-4</v>
      </c>
      <c r="J1247" s="14" t="str">
        <f>IF(TOTALCO!J376="", "",TOTALCO!J376)</f>
        <v/>
      </c>
      <c r="K1247" s="14" t="str">
        <f>IF(TOTALCO!K376="", "",TOTALCO!K376)</f>
        <v/>
      </c>
      <c r="L1247" s="14">
        <f ca="1">IF(TOTALCO!L376="", "",TOTALCO!L376)</f>
        <v>0</v>
      </c>
      <c r="M1247" s="14" t="str">
        <f>IF(TOTALCO!M376="", "",TOTALCO!M376)</f>
        <v/>
      </c>
      <c r="N1247" s="14">
        <f ca="1">IF(TOTALCO!N376="", "",TOTALCO!N376)</f>
        <v>1.0187641357537594E-4</v>
      </c>
      <c r="O1247" s="14">
        <f ca="1">IF(TOTALCO!O376="", "",TOTALCO!O376)</f>
        <v>3.1788025871537078E-5</v>
      </c>
      <c r="P1247" s="14">
        <f ca="1">IF(TOTALCO!P376="", "",TOTALCO!P376)</f>
        <v>7.0088387703838865E-5</v>
      </c>
      <c r="Q1247" s="14"/>
    </row>
    <row r="1248" spans="1:17" ht="15" x14ac:dyDescent="0.2">
      <c r="A1248" s="382">
        <f>IF(TOTALCO!A377="", "",TOTALCO!A377)</f>
        <v>10</v>
      </c>
      <c r="B1248" s="4" t="str">
        <f>IF(TOTALCO!B377="", "",TOTALCO!B377)</f>
        <v>TRANSM VIRGINIA PROP TOTAL</v>
      </c>
      <c r="C1248" s="4" t="str">
        <f>IF(TOTALCO!C377="", "",TOTALCO!C377)</f>
        <v>VATRPLTT</v>
      </c>
      <c r="D1248" s="14">
        <f ca="1">IF(TOTALCO!D377="", "",TOTALCO!D377)</f>
        <v>1</v>
      </c>
      <c r="E1248" s="14" t="str">
        <f>IF(TOTALCO!E377="", "",TOTALCO!E377)</f>
        <v/>
      </c>
      <c r="F1248" s="14">
        <f ca="1">IF(TOTALCO!F377="", "",TOTALCO!F377)</f>
        <v>0.14232577723379158</v>
      </c>
      <c r="G1248" s="14" t="str">
        <f>IF(TOTALCO!G377="", "",TOTALCO!G377)</f>
        <v/>
      </c>
      <c r="H1248" s="14">
        <f ca="1">IF(TOTALCO!H377="", "",TOTALCO!H377)</f>
        <v>0.84382711167009894</v>
      </c>
      <c r="I1248" s="14">
        <f ca="1">IF(TOTALCO!I377="", "",TOTALCO!I377)</f>
        <v>1.3847111096109496E-2</v>
      </c>
      <c r="J1248" s="14" t="str">
        <f>IF(TOTALCO!J377="", "",TOTALCO!J377)</f>
        <v/>
      </c>
      <c r="K1248" s="14" t="str">
        <f>IF(TOTALCO!K377="", "",TOTALCO!K377)</f>
        <v/>
      </c>
      <c r="L1248" s="14">
        <f ca="1">IF(TOTALCO!L377="", "",TOTALCO!L377)</f>
        <v>1.2584116843179426E-6</v>
      </c>
      <c r="M1248" s="14" t="str">
        <f>IF(TOTALCO!M377="", "",TOTALCO!M377)</f>
        <v/>
      </c>
      <c r="N1248" s="14">
        <f ca="1">IF(TOTALCO!N377="", "",TOTALCO!N377)</f>
        <v>1.3845852684425178E-2</v>
      </c>
      <c r="O1248" s="14">
        <f ca="1">IF(TOTALCO!O377="", "",TOTALCO!O377)</f>
        <v>4.3202573382734484E-3</v>
      </c>
      <c r="P1248" s="14">
        <f ca="1">IF(TOTALCO!P377="", "",TOTALCO!P377)</f>
        <v>9.5255953461517301E-3</v>
      </c>
      <c r="Q1248" s="14"/>
    </row>
    <row r="1249" spans="1:17" ht="15" x14ac:dyDescent="0.2">
      <c r="A1249" s="382">
        <f>IF(TOTALCO!A378="", "",TOTALCO!A378)</f>
        <v>11</v>
      </c>
      <c r="B1249" s="4" t="str">
        <f>IF(TOTALCO!B378="", "",TOTALCO!B378)</f>
        <v>TOTAL DISTRIBUTION PLANT</v>
      </c>
      <c r="C1249" s="4" t="str">
        <f>IF(TOTALCO!C378="", "",TOTALCO!C378)</f>
        <v>DISTPLT</v>
      </c>
      <c r="D1249" s="14">
        <f ca="1">IF(TOTALCO!D378="", "",TOTALCO!D378)</f>
        <v>1</v>
      </c>
      <c r="E1249" s="14" t="str">
        <f>IF(TOTALCO!E378="", "",TOTALCO!E378)</f>
        <v/>
      </c>
      <c r="F1249" s="14">
        <f ca="1">IF(TOTALCO!F378="", "",TOTALCO!F378)</f>
        <v>0.94084668465142995</v>
      </c>
      <c r="G1249" s="14" t="str">
        <f>IF(TOTALCO!G378="", "",TOTALCO!G378)</f>
        <v/>
      </c>
      <c r="H1249" s="14">
        <f ca="1">IF(TOTALCO!H378="", "",TOTALCO!H378)</f>
        <v>5.6025851478961691E-2</v>
      </c>
      <c r="I1249" s="14">
        <f ca="1">IF(TOTALCO!I378="", "",TOTALCO!I378)</f>
        <v>3.1274638696084083E-3</v>
      </c>
      <c r="J1249" s="14" t="str">
        <f>IF(TOTALCO!J378="", "",TOTALCO!J378)</f>
        <v/>
      </c>
      <c r="K1249" s="14" t="str">
        <f>IF(TOTALCO!K378="", "",TOTALCO!K378)</f>
        <v/>
      </c>
      <c r="L1249" s="14">
        <f ca="1">IF(TOTALCO!L378="", "",TOTALCO!L378)</f>
        <v>1.1301941664240649E-4</v>
      </c>
      <c r="M1249" s="14" t="str">
        <f>IF(TOTALCO!M378="", "",TOTALCO!M378)</f>
        <v/>
      </c>
      <c r="N1249" s="14">
        <f ca="1">IF(TOTALCO!N378="", "",TOTALCO!N378)</f>
        <v>3.0144444529660018E-3</v>
      </c>
      <c r="O1249" s="14">
        <f ca="1">IF(TOTALCO!O378="", "",TOTALCO!O378)</f>
        <v>2.5904362890761048E-3</v>
      </c>
      <c r="P1249" s="14">
        <f ca="1">IF(TOTALCO!P378="", "",TOTALCO!P378)</f>
        <v>4.2400816388989679E-4</v>
      </c>
      <c r="Q1249" s="14"/>
    </row>
    <row r="1250" spans="1:17" ht="15" x14ac:dyDescent="0.2">
      <c r="A1250" s="382">
        <f>IF(TOTALCO!A379="", "",TOTALCO!A379)</f>
        <v>12</v>
      </c>
      <c r="B1250" s="4" t="str">
        <f>IF(TOTALCO!B379="", "",TOTALCO!B379)</f>
        <v>TOTAL DIST PLANT KY &amp; FERC</v>
      </c>
      <c r="C1250" s="4" t="str">
        <f>IF(TOTALCO!C379="", "",TOTALCO!C379)</f>
        <v>DISTPLTKF</v>
      </c>
      <c r="D1250" s="14">
        <f ca="1">IF(TOTALCO!D379="", "",TOTALCO!D379)</f>
        <v>1</v>
      </c>
      <c r="E1250" s="14" t="str">
        <f>IF(TOTALCO!E379="", "",TOTALCO!E379)</f>
        <v/>
      </c>
      <c r="F1250" s="14">
        <f ca="1">IF(TOTALCO!F379="", "",TOTALCO!F379)</f>
        <v>0.99680626274351791</v>
      </c>
      <c r="G1250" s="14" t="str">
        <f>IF(TOTALCO!G379="", "",TOTALCO!G379)</f>
        <v/>
      </c>
      <c r="H1250" s="14">
        <f ca="1">IF(TOTALCO!H379="", "",TOTALCO!H379)</f>
        <v>0</v>
      </c>
      <c r="I1250" s="14">
        <f ca="1">IF(TOTALCO!I379="", "",TOTALCO!I379)</f>
        <v>3.1937372564821327E-3</v>
      </c>
      <c r="J1250" s="14" t="str">
        <f>IF(TOTALCO!J379="", "",TOTALCO!J379)</f>
        <v/>
      </c>
      <c r="K1250" s="14" t="str">
        <f>IF(TOTALCO!K379="", "",TOTALCO!K379)</f>
        <v/>
      </c>
      <c r="L1250" s="14">
        <f ca="1">IF(TOTALCO!L379="", "",TOTALCO!L379)</f>
        <v>0</v>
      </c>
      <c r="M1250" s="14" t="str">
        <f>IF(TOTALCO!M379="", "",TOTALCO!M379)</f>
        <v/>
      </c>
      <c r="N1250" s="14">
        <f ca="1">IF(TOTALCO!N379="", "",TOTALCO!N379)</f>
        <v>3.1937372564821327E-3</v>
      </c>
      <c r="O1250" s="14">
        <f ca="1">IF(TOTALCO!O379="", "",TOTALCO!O379)</f>
        <v>2.7445099805456542E-3</v>
      </c>
      <c r="P1250" s="14">
        <f ca="1">IF(TOTALCO!P379="", "",TOTALCO!P379)</f>
        <v>4.492272759364787E-4</v>
      </c>
      <c r="Q1250" s="14"/>
    </row>
    <row r="1251" spans="1:17" ht="15" x14ac:dyDescent="0.2">
      <c r="A1251" s="382">
        <f>IF(TOTALCO!A380="", "",TOTALCO!A380)</f>
        <v>13</v>
      </c>
      <c r="B1251" s="4" t="str">
        <f>IF(TOTALCO!B380="", "",TOTALCO!B380)</f>
        <v>TOTAL GENERAL PLANT</v>
      </c>
      <c r="C1251" s="4" t="str">
        <f>IF(TOTALCO!C380="", "",TOTALCO!C380)</f>
        <v>GENPLT</v>
      </c>
      <c r="D1251" s="14">
        <f ca="1">IF(TOTALCO!D380="", "",TOTALCO!D380)</f>
        <v>1</v>
      </c>
      <c r="E1251" s="14" t="str">
        <f>IF(TOTALCO!E380="", "",TOTALCO!E380)</f>
        <v/>
      </c>
      <c r="F1251" s="14">
        <f ca="1">IF(TOTALCO!F380="", "",TOTALCO!F380)</f>
        <v>0.889378826025083</v>
      </c>
      <c r="G1251" s="14" t="str">
        <f>IF(TOTALCO!G380="", "",TOTALCO!G380)</f>
        <v/>
      </c>
      <c r="H1251" s="14">
        <f ca="1">IF(TOTALCO!H380="", "",TOTALCO!H380)</f>
        <v>5.4792985936032615E-2</v>
      </c>
      <c r="I1251" s="14">
        <f ca="1">IF(TOTALCO!I380="", "",TOTALCO!I380)</f>
        <v>5.5828188038884306E-2</v>
      </c>
      <c r="J1251" s="14" t="str">
        <f>IF(TOTALCO!J380="", "",TOTALCO!J380)</f>
        <v/>
      </c>
      <c r="K1251" s="14" t="str">
        <f>IF(TOTALCO!K380="", "",TOTALCO!K380)</f>
        <v/>
      </c>
      <c r="L1251" s="14">
        <f ca="1">IF(TOTALCO!L380="", "",TOTALCO!L380)</f>
        <v>3.0698630802607458E-5</v>
      </c>
      <c r="M1251" s="14" t="str">
        <f>IF(TOTALCO!M380="", "",TOTALCO!M380)</f>
        <v/>
      </c>
      <c r="N1251" s="14">
        <f ca="1">IF(TOTALCO!N380="", "",TOTALCO!N380)</f>
        <v>5.5797489408081699E-2</v>
      </c>
      <c r="O1251" s="14">
        <f ca="1">IF(TOTALCO!O380="", "",TOTALCO!O380)</f>
        <v>1.8126515448974527E-2</v>
      </c>
      <c r="P1251" s="14">
        <f ca="1">IF(TOTALCO!P380="", "",TOTALCO!P380)</f>
        <v>3.7670973959107172E-2</v>
      </c>
      <c r="Q1251" s="14"/>
    </row>
    <row r="1252" spans="1:17" ht="15" x14ac:dyDescent="0.2">
      <c r="A1252" s="382">
        <f>IF(TOTALCO!A381="", "",TOTALCO!A381)</f>
        <v>14</v>
      </c>
      <c r="B1252" s="4" t="str">
        <f>IF(TOTALCO!B381="", "",TOTALCO!B381)</f>
        <v>ACCT 302-FRANCHISE</v>
      </c>
      <c r="C1252" s="4" t="str">
        <f>IF(TOTALCO!C381="", "",TOTALCO!C381)</f>
        <v>PLT302TOT</v>
      </c>
      <c r="D1252" s="14">
        <f ca="1">IF(TOTALCO!D381="", "",TOTALCO!D381)</f>
        <v>1</v>
      </c>
      <c r="E1252" s="14" t="str">
        <f>IF(TOTALCO!E381="", "",TOTALCO!E381)</f>
        <v/>
      </c>
      <c r="F1252" s="14">
        <f ca="1">IF(TOTALCO!F381="", "",TOTALCO!F381)</f>
        <v>1</v>
      </c>
      <c r="G1252" s="14" t="str">
        <f>IF(TOTALCO!G381="", "",TOTALCO!G381)</f>
        <v/>
      </c>
      <c r="H1252" s="14">
        <f ca="1">IF(TOTALCO!H381="", "",TOTALCO!H381)</f>
        <v>0</v>
      </c>
      <c r="I1252" s="14">
        <f ca="1">IF(TOTALCO!I381="", "",TOTALCO!I381)</f>
        <v>0</v>
      </c>
      <c r="J1252" s="14" t="str">
        <f>IF(TOTALCO!J381="", "",TOTALCO!J381)</f>
        <v/>
      </c>
      <c r="K1252" s="14" t="str">
        <f>IF(TOTALCO!K381="", "",TOTALCO!K381)</f>
        <v/>
      </c>
      <c r="L1252" s="14">
        <f ca="1">IF(TOTALCO!L381="", "",TOTALCO!L381)</f>
        <v>0</v>
      </c>
      <c r="M1252" s="14" t="str">
        <f>IF(TOTALCO!M381="", "",TOTALCO!M381)</f>
        <v/>
      </c>
      <c r="N1252" s="14">
        <f ca="1">IF(TOTALCO!N381="", "",TOTALCO!N381)</f>
        <v>0</v>
      </c>
      <c r="O1252" s="14">
        <f ca="1">IF(TOTALCO!O381="", "",TOTALCO!O381)</f>
        <v>0</v>
      </c>
      <c r="P1252" s="14">
        <f ca="1">IF(TOTALCO!P381="", "",TOTALCO!P381)</f>
        <v>0</v>
      </c>
      <c r="Q1252" s="14"/>
    </row>
    <row r="1253" spans="1:17" ht="15" x14ac:dyDescent="0.2">
      <c r="A1253" s="382">
        <f>IF(TOTALCO!A382="", "",TOTALCO!A382)</f>
        <v>15</v>
      </c>
      <c r="B1253" s="4" t="str">
        <f>IF(TOTALCO!B382="", "",TOTALCO!B382)</f>
        <v>ACCT 303-SOFTWARE</v>
      </c>
      <c r="C1253" s="4" t="str">
        <f>IF(TOTALCO!C382="", "",TOTALCO!C382)</f>
        <v>PLT303TOT</v>
      </c>
      <c r="D1253" s="14">
        <f ca="1">IF(TOTALCO!D382="", "",TOTALCO!D382)</f>
        <v>1</v>
      </c>
      <c r="E1253" s="14" t="str">
        <f>IF(TOTALCO!E382="", "",TOTALCO!E382)</f>
        <v/>
      </c>
      <c r="F1253" s="14">
        <f ca="1">IF(TOTALCO!F382="", "",TOTALCO!F382)</f>
        <v>0.87069393411336549</v>
      </c>
      <c r="G1253" s="14" t="str">
        <f>IF(TOTALCO!G382="", "",TOTALCO!G382)</f>
        <v/>
      </c>
      <c r="H1253" s="14">
        <f ca="1">IF(TOTALCO!H382="", "",TOTALCO!H382)</f>
        <v>5.9394533807123652E-2</v>
      </c>
      <c r="I1253" s="14">
        <f ca="1">IF(TOTALCO!I382="", "",TOTALCO!I382)</f>
        <v>6.991153207951091E-2</v>
      </c>
      <c r="J1253" s="14" t="str">
        <f>IF(TOTALCO!J382="", "",TOTALCO!J382)</f>
        <v/>
      </c>
      <c r="K1253" s="14" t="str">
        <f>IF(TOTALCO!K382="", "",TOTALCO!K382)</f>
        <v/>
      </c>
      <c r="L1253" s="14">
        <f ca="1">IF(TOTALCO!L382="", "",TOTALCO!L382)</f>
        <v>3.153235764200856E-5</v>
      </c>
      <c r="M1253" s="14" t="str">
        <f>IF(TOTALCO!M382="", "",TOTALCO!M382)</f>
        <v/>
      </c>
      <c r="N1253" s="14">
        <f ca="1">IF(TOTALCO!N382="", "",TOTALCO!N382)</f>
        <v>6.9879999721868896E-2</v>
      </c>
      <c r="O1253" s="14">
        <f ca="1">IF(TOTALCO!O382="", "",TOTALCO!O382)</f>
        <v>2.2187681801154498E-2</v>
      </c>
      <c r="P1253" s="14">
        <f ca="1">IF(TOTALCO!P382="", "",TOTALCO!P382)</f>
        <v>4.7692317920714405E-2</v>
      </c>
      <c r="Q1253" s="14"/>
    </row>
    <row r="1254" spans="1:17" ht="15" x14ac:dyDescent="0.2">
      <c r="A1254" s="382">
        <f>IF(TOTALCO!A383="", "",TOTALCO!A383)</f>
        <v>16</v>
      </c>
      <c r="B1254" s="4" t="str">
        <f>IF(TOTALCO!B383="", "",TOTALCO!B383)</f>
        <v>TOTAL PRODUCTION PLANT SYSTEM</v>
      </c>
      <c r="C1254" s="4" t="str">
        <f>IF(TOTALCO!C383="", "",TOTALCO!C383)</f>
        <v>PRODSYS</v>
      </c>
      <c r="D1254" s="14">
        <f ca="1">IF(TOTALCO!D383="", "",TOTALCO!D383)</f>
        <v>1</v>
      </c>
      <c r="E1254" s="14" t="str">
        <f>IF(TOTALCO!E383="", "",TOTALCO!E383)</f>
        <v/>
      </c>
      <c r="F1254" s="14">
        <f ca="1">IF(TOTALCO!F383="", "",TOTALCO!F383)</f>
        <v>0.86549017314247356</v>
      </c>
      <c r="G1254" s="14" t="str">
        <f>IF(TOTALCO!G383="", "",TOTALCO!G383)</f>
        <v/>
      </c>
      <c r="H1254" s="14">
        <f ca="1">IF(TOTALCO!H383="", "",TOTALCO!H383)</f>
        <v>5.0827668687646071E-2</v>
      </c>
      <c r="I1254" s="14">
        <f ca="1">IF(TOTALCO!I383="", "",TOTALCO!I383)</f>
        <v>8.3682158169880325E-2</v>
      </c>
      <c r="J1254" s="14" t="str">
        <f>IF(TOTALCO!J383="", "",TOTALCO!J383)</f>
        <v/>
      </c>
      <c r="K1254" s="14" t="str">
        <f>IF(TOTALCO!K383="", "",TOTALCO!K383)</f>
        <v/>
      </c>
      <c r="L1254" s="14">
        <f ca="1">IF(TOTALCO!L383="", "",TOTALCO!L383)</f>
        <v>7.6524644215064863E-6</v>
      </c>
      <c r="M1254" s="14" t="str">
        <f>IF(TOTALCO!M383="", "",TOTALCO!M383)</f>
        <v/>
      </c>
      <c r="N1254" s="14">
        <f ca="1">IF(TOTALCO!N383="", "",TOTALCO!N383)</f>
        <v>8.3674505705458813E-2</v>
      </c>
      <c r="O1254" s="14">
        <f ca="1">IF(TOTALCO!O383="", "",TOTALCO!O383)</f>
        <v>2.6108568792375518E-2</v>
      </c>
      <c r="P1254" s="14">
        <f ca="1">IF(TOTALCO!P383="", "",TOTALCO!P383)</f>
        <v>5.7565936913083302E-2</v>
      </c>
      <c r="Q1254" s="14"/>
    </row>
    <row r="1255" spans="1:17" ht="15" x14ac:dyDescent="0.2">
      <c r="A1255" s="382">
        <f>IF(TOTALCO!A384="", "",TOTALCO!A384)</f>
        <v>17</v>
      </c>
      <c r="B1255" s="4" t="str">
        <f>IF(TOTALCO!B384="", "",TOTALCO!B384)</f>
        <v>TOTAL PRODUCTION PLANT</v>
      </c>
      <c r="C1255" s="4" t="str">
        <f>IF(TOTALCO!C384="", "",TOTALCO!C384)</f>
        <v>PRODPLT</v>
      </c>
      <c r="D1255" s="14">
        <f ca="1">IF(TOTALCO!D384="", "",TOTALCO!D384)</f>
        <v>1</v>
      </c>
      <c r="E1255" s="14" t="str">
        <f>IF(TOTALCO!E384="", "",TOTALCO!E384)</f>
        <v/>
      </c>
      <c r="F1255" s="14">
        <f ca="1">IF(TOTALCO!F384="", "",TOTALCO!F384)</f>
        <v>0.85693239087841977</v>
      </c>
      <c r="G1255" s="14" t="str">
        <f>IF(TOTALCO!G384="", "",TOTALCO!G384)</f>
        <v/>
      </c>
      <c r="H1255" s="14">
        <f ca="1">IF(TOTALCO!H384="", "",TOTALCO!H384)</f>
        <v>5.1868508658992278E-2</v>
      </c>
      <c r="I1255" s="14">
        <f ca="1">IF(TOTALCO!I384="", "",TOTALCO!I384)</f>
        <v>9.1199100462587945E-2</v>
      </c>
      <c r="J1255" s="14" t="str">
        <f>IF(TOTALCO!J384="", "",TOTALCO!J384)</f>
        <v/>
      </c>
      <c r="K1255" s="14" t="str">
        <f>IF(TOTALCO!K384="", "",TOTALCO!K384)</f>
        <v/>
      </c>
      <c r="L1255" s="14">
        <f ca="1">IF(TOTALCO!L384="", "",TOTALCO!L384)</f>
        <v>7.5767984852141167E-6</v>
      </c>
      <c r="M1255" s="14" t="str">
        <f>IF(TOTALCO!M384="", "",TOTALCO!M384)</f>
        <v/>
      </c>
      <c r="N1255" s="14">
        <f ca="1">IF(TOTALCO!N384="", "",TOTALCO!N384)</f>
        <v>9.1191523664102728E-2</v>
      </c>
      <c r="O1255" s="14">
        <f ca="1">IF(TOTALCO!O384="", "",TOTALCO!O384)</f>
        <v>2.8454069119292574E-2</v>
      </c>
      <c r="P1255" s="14">
        <f ca="1">IF(TOTALCO!P384="", "",TOTALCO!P384)</f>
        <v>6.2737454544810153E-2</v>
      </c>
      <c r="Q1255" s="14"/>
    </row>
    <row r="1256" spans="1:17" ht="15" x14ac:dyDescent="0.2">
      <c r="A1256" s="382">
        <f>IF(TOTALCO!A385="", "",TOTALCO!A385)</f>
        <v>18</v>
      </c>
      <c r="B1256" s="4" t="str">
        <f>IF(TOTALCO!B385="", "",TOTALCO!B385)</f>
        <v>TOTAL TRANSMISSION PLANT</v>
      </c>
      <c r="C1256" s="4" t="str">
        <f>IF(TOTALCO!C385="", "",TOTALCO!C385)</f>
        <v>TRANPLT</v>
      </c>
      <c r="D1256" s="14">
        <f ca="1">IF(TOTALCO!D385="", "",TOTALCO!D385)</f>
        <v>1</v>
      </c>
      <c r="E1256" s="14" t="str">
        <f>IF(TOTALCO!E385="", "",TOTALCO!E385)</f>
        <v/>
      </c>
      <c r="F1256" s="14">
        <f ca="1">IF(TOTALCO!F385="", "",TOTALCO!F385)</f>
        <v>0.80246280753473243</v>
      </c>
      <c r="G1256" s="14" t="str">
        <f>IF(TOTALCO!G385="", "",TOTALCO!G385)</f>
        <v/>
      </c>
      <c r="H1256" s="14">
        <f ca="1">IF(TOTALCO!H385="", "",TOTALCO!H385)</f>
        <v>0.11486899915379654</v>
      </c>
      <c r="I1256" s="14">
        <f ca="1">IF(TOTALCO!I385="", "",TOTALCO!I385)</f>
        <v>8.2668193311471044E-2</v>
      </c>
      <c r="J1256" s="14" t="str">
        <f>IF(TOTALCO!J385="", "",TOTALCO!J385)</f>
        <v/>
      </c>
      <c r="K1256" s="14" t="str">
        <f>IF(TOTALCO!K385="", "",TOTALCO!K385)</f>
        <v/>
      </c>
      <c r="L1256" s="14">
        <f ca="1">IF(TOTALCO!L385="", "",TOTALCO!L385)</f>
        <v>7.0951909967334427E-6</v>
      </c>
      <c r="M1256" s="14" t="str">
        <f>IF(TOTALCO!M385="", "",TOTALCO!M385)</f>
        <v/>
      </c>
      <c r="N1256" s="14">
        <f ca="1">IF(TOTALCO!N385="", "",TOTALCO!N385)</f>
        <v>8.2661098120474313E-2</v>
      </c>
      <c r="O1256" s="14">
        <f ca="1">IF(TOTALCO!O385="", "",TOTALCO!O385)</f>
        <v>2.5792359913408013E-2</v>
      </c>
      <c r="P1256" s="14">
        <f ca="1">IF(TOTALCO!P385="", "",TOTALCO!P385)</f>
        <v>5.6868738207066297E-2</v>
      </c>
      <c r="Q1256" s="14"/>
    </row>
    <row r="1257" spans="1:17" ht="15" x14ac:dyDescent="0.2">
      <c r="A1257" s="382">
        <f>IF(TOTALCO!A386="", "",TOTALCO!A386)</f>
        <v>19</v>
      </c>
      <c r="B1257" s="4" t="str">
        <f>IF(TOTALCO!B386="", "",TOTALCO!B386)</f>
        <v>MAT &amp; SUPPLIES DISTRIBUTED</v>
      </c>
      <c r="C1257" s="4" t="str">
        <f>IF(TOTALCO!C386="", "",TOTALCO!C386)</f>
        <v>M_S</v>
      </c>
      <c r="D1257" s="14">
        <f ca="1">IF(TOTALCO!D386="", "",TOTALCO!D386)</f>
        <v>1</v>
      </c>
      <c r="E1257" s="14" t="str">
        <f>IF(TOTALCO!E386="", "",TOTALCO!E386)</f>
        <v/>
      </c>
      <c r="F1257" s="14">
        <f ca="1">IF(TOTALCO!F386="", "",TOTALCO!F386)</f>
        <v>0.86664594038188369</v>
      </c>
      <c r="G1257" s="14" t="str">
        <f>IF(TOTALCO!G386="", "",TOTALCO!G386)</f>
        <v/>
      </c>
      <c r="H1257" s="14">
        <f ca="1">IF(TOTALCO!H386="", "",TOTALCO!H386)</f>
        <v>5.8973457580167699E-2</v>
      </c>
      <c r="I1257" s="14">
        <f ca="1">IF(TOTALCO!I386="", "",TOTALCO!I386)</f>
        <v>7.438060203794869E-2</v>
      </c>
      <c r="J1257" s="14" t="str">
        <f>IF(TOTALCO!J386="", "",TOTALCO!J386)</f>
        <v/>
      </c>
      <c r="K1257" s="14" t="str">
        <f>IF(TOTALCO!K386="", "",TOTALCO!K386)</f>
        <v/>
      </c>
      <c r="L1257" s="14">
        <f ca="1">IF(TOTALCO!L386="", "",TOTALCO!L386)</f>
        <v>2.663425465374707E-5</v>
      </c>
      <c r="M1257" s="14" t="str">
        <f>IF(TOTALCO!M386="", "",TOTALCO!M386)</f>
        <v/>
      </c>
      <c r="N1257" s="14">
        <f ca="1">IF(TOTALCO!N386="", "",TOTALCO!N386)</f>
        <v>7.435396778329495E-2</v>
      </c>
      <c r="O1257" s="14">
        <f ca="1">IF(TOTALCO!O386="", "",TOTALCO!O386)</f>
        <v>2.3499274876262501E-2</v>
      </c>
      <c r="P1257" s="14">
        <f ca="1">IF(TOTALCO!P386="", "",TOTALCO!P386)</f>
        <v>5.0854692907032449E-2</v>
      </c>
      <c r="Q1257" s="14"/>
    </row>
    <row r="1258" spans="1:17" ht="15" x14ac:dyDescent="0.2">
      <c r="A1258" s="382">
        <f>IF(TOTALCO!A387="", "",TOTALCO!A387)</f>
        <v>20</v>
      </c>
      <c r="B1258" s="4" t="str">
        <f>IF(TOTALCO!B387="", "",TOTALCO!B387)</f>
        <v>ACCT 924 &amp; 925 INSURANCE</v>
      </c>
      <c r="C1258" s="4" t="str">
        <f>IF(TOTALCO!C387="", "",TOTALCO!C387)</f>
        <v>EXP9245TOT</v>
      </c>
      <c r="D1258" s="14">
        <f ca="1">IF(TOTALCO!D387="", "",TOTALCO!D387)</f>
        <v>1</v>
      </c>
      <c r="E1258" s="14" t="str">
        <f>IF(TOTALCO!E387="", "",TOTALCO!E387)</f>
        <v/>
      </c>
      <c r="F1258" s="14">
        <f ca="1">IF(TOTALCO!F387="", "",TOTALCO!F387)</f>
        <v>0.87918431421558041</v>
      </c>
      <c r="G1258" s="14" t="str">
        <f>IF(TOTALCO!G387="", "",TOTALCO!G387)</f>
        <v/>
      </c>
      <c r="H1258" s="14">
        <f ca="1">IF(TOTALCO!H387="", "",TOTALCO!H387)</f>
        <v>5.7303469550810747E-2</v>
      </c>
      <c r="I1258" s="14">
        <f ca="1">IF(TOTALCO!I387="", "",TOTALCO!I387)</f>
        <v>6.3512216233608795E-2</v>
      </c>
      <c r="J1258" s="14" t="str">
        <f>IF(TOTALCO!J387="", "",TOTALCO!J387)</f>
        <v/>
      </c>
      <c r="K1258" s="14" t="str">
        <f>IF(TOTALCO!K387="", "",TOTALCO!K387)</f>
        <v/>
      </c>
      <c r="L1258" s="14">
        <f ca="1">IF(TOTALCO!L387="", "",TOTALCO!L387)</f>
        <v>3.1153392648877589E-5</v>
      </c>
      <c r="M1258" s="14" t="str">
        <f>IF(TOTALCO!M387="", "",TOTALCO!M387)</f>
        <v/>
      </c>
      <c r="N1258" s="14">
        <f ca="1">IF(TOTALCO!N387="", "",TOTALCO!N387)</f>
        <v>6.3481062840959918E-2</v>
      </c>
      <c r="O1258" s="14">
        <f ca="1">IF(TOTALCO!O387="", "",TOTALCO!O387)</f>
        <v>2.0342323177227332E-2</v>
      </c>
      <c r="P1258" s="14">
        <f ca="1">IF(TOTALCO!P387="", "",TOTALCO!P387)</f>
        <v>4.3138739663732592E-2</v>
      </c>
      <c r="Q1258" s="14"/>
    </row>
    <row r="1259" spans="1:17" ht="15" x14ac:dyDescent="0.2">
      <c r="A1259" s="382">
        <f>IF(TOTALCO!A388="", "",TOTALCO!A388)</f>
        <v>21</v>
      </c>
      <c r="B1259" s="4" t="str">
        <f>IF(TOTALCO!B388="", "",TOTALCO!B388)</f>
        <v>REVENUE SALE OF ELECT-KY</v>
      </c>
      <c r="C1259" s="4" t="str">
        <f>IF(TOTALCO!C388="", "",TOTALCO!C388)</f>
        <v>REVKY</v>
      </c>
      <c r="D1259" s="14">
        <f ca="1">IF(TOTALCO!D388="", "",TOTALCO!D388)</f>
        <v>1</v>
      </c>
      <c r="E1259" s="14" t="str">
        <f>IF(TOTALCO!E388="", "",TOTALCO!E388)</f>
        <v/>
      </c>
      <c r="F1259" s="14">
        <f ca="1">IF(TOTALCO!F388="", "",TOTALCO!F388)</f>
        <v>1</v>
      </c>
      <c r="G1259" s="14" t="str">
        <f>IF(TOTALCO!G388="", "",TOTALCO!G388)</f>
        <v/>
      </c>
      <c r="H1259" s="14">
        <f>IF(TOTALCO!H388="", "",TOTALCO!H388)</f>
        <v>0</v>
      </c>
      <c r="I1259" s="14">
        <f>IF(TOTALCO!I388="", "",TOTALCO!I388)</f>
        <v>0</v>
      </c>
      <c r="J1259" s="14" t="str">
        <f>IF(TOTALCO!J388="", "",TOTALCO!J388)</f>
        <v/>
      </c>
      <c r="K1259" s="14" t="str">
        <f>IF(TOTALCO!K388="", "",TOTALCO!K388)</f>
        <v/>
      </c>
      <c r="L1259" s="14">
        <f>IF(TOTALCO!L388="", "",TOTALCO!L388)</f>
        <v>0</v>
      </c>
      <c r="M1259" s="14" t="str">
        <f>IF(TOTALCO!M388="", "",TOTALCO!M388)</f>
        <v/>
      </c>
      <c r="N1259" s="14">
        <f>IF(TOTALCO!N388="", "",TOTALCO!N388)</f>
        <v>0</v>
      </c>
      <c r="O1259" s="14">
        <f>IF(TOTALCO!O388="", "",TOTALCO!O388)</f>
        <v>0</v>
      </c>
      <c r="P1259" s="14">
        <f>IF(TOTALCO!P388="", "",TOTALCO!P388)</f>
        <v>0</v>
      </c>
      <c r="Q1259" s="14"/>
    </row>
    <row r="1260" spans="1:17" ht="15" x14ac:dyDescent="0.2">
      <c r="A1260" s="382">
        <f>IF(TOTALCO!A389="", "",TOTALCO!A389)</f>
        <v>22</v>
      </c>
      <c r="B1260" s="4" t="str">
        <f>IF(TOTALCO!B389="", "",TOTALCO!B389)</f>
        <v>CWIP PROD FERC-POST ALLOC</v>
      </c>
      <c r="C1260" s="4" t="str">
        <f>IF(TOTALCO!C389="", "",TOTALCO!C389)</f>
        <v>CWIPPP</v>
      </c>
      <c r="D1260" s="14">
        <f ca="1">IF(TOTALCO!D389="", "",TOTALCO!D389)</f>
        <v>1</v>
      </c>
      <c r="E1260" s="14" t="str">
        <f>IF(TOTALCO!E389="", "",TOTALCO!E389)</f>
        <v/>
      </c>
      <c r="F1260" s="14">
        <f>IF(TOTALCO!F389="", "",TOTALCO!F389)</f>
        <v>0</v>
      </c>
      <c r="G1260" s="14" t="str">
        <f>IF(TOTALCO!G389="", "",TOTALCO!G389)</f>
        <v/>
      </c>
      <c r="H1260" s="14">
        <f>IF(TOTALCO!H389="", "",TOTALCO!H389)</f>
        <v>0</v>
      </c>
      <c r="I1260" s="14">
        <f ca="1">IF(TOTALCO!I389="", "",TOTALCO!I389)</f>
        <v>1</v>
      </c>
      <c r="J1260" s="14" t="str">
        <f>IF(TOTALCO!J389="", "",TOTALCO!J389)</f>
        <v/>
      </c>
      <c r="K1260" s="14" t="str">
        <f>IF(TOTALCO!K389="", "",TOTALCO!K389)</f>
        <v/>
      </c>
      <c r="L1260" s="14">
        <f>IF(TOTALCO!L389="", "",TOTALCO!L389)</f>
        <v>0</v>
      </c>
      <c r="M1260" s="14" t="str">
        <f>IF(TOTALCO!M389="", "",TOTALCO!M389)</f>
        <v/>
      </c>
      <c r="N1260" s="14">
        <f ca="1">IF(TOTALCO!N389="", "",TOTALCO!N389)</f>
        <v>1</v>
      </c>
      <c r="O1260" s="14">
        <f ca="1">IF(TOTALCO!O389="", "",TOTALCO!O389)</f>
        <v>0.31202537227145194</v>
      </c>
      <c r="P1260" s="14">
        <f ca="1">IF(TOTALCO!P389="", "",TOTALCO!P389)</f>
        <v>0.687974627728548</v>
      </c>
      <c r="Q1260" s="14"/>
    </row>
    <row r="1261" spans="1:17" ht="15" x14ac:dyDescent="0.2">
      <c r="A1261" s="382">
        <f>IF(TOTALCO!A390="", "",TOTALCO!A390)</f>
        <v>23</v>
      </c>
      <c r="B1261" s="4" t="str">
        <f>IF(TOTALCO!B390="", "",TOTALCO!B390)</f>
        <v>CWIP TRAN FERC-POST ALLOC</v>
      </c>
      <c r="C1261" s="4" t="str">
        <f>IF(TOTALCO!C390="", "",TOTALCO!C390)</f>
        <v>CWIPTP</v>
      </c>
      <c r="D1261" s="14">
        <f ca="1">IF(TOTALCO!D390="", "",TOTALCO!D390)</f>
        <v>1</v>
      </c>
      <c r="E1261" s="14" t="str">
        <f>IF(TOTALCO!E390="", "",TOTALCO!E390)</f>
        <v/>
      </c>
      <c r="F1261" s="14">
        <f>IF(TOTALCO!F390="", "",TOTALCO!F390)</f>
        <v>0</v>
      </c>
      <c r="G1261" s="14" t="str">
        <f>IF(TOTALCO!G390="", "",TOTALCO!G390)</f>
        <v/>
      </c>
      <c r="H1261" s="14">
        <f>IF(TOTALCO!H390="", "",TOTALCO!H390)</f>
        <v>0</v>
      </c>
      <c r="I1261" s="14">
        <f ca="1">IF(TOTALCO!I390="", "",TOTALCO!I390)</f>
        <v>1</v>
      </c>
      <c r="J1261" s="14" t="str">
        <f>IF(TOTALCO!J390="", "",TOTALCO!J390)</f>
        <v/>
      </c>
      <c r="K1261" s="14" t="str">
        <f>IF(TOTALCO!K390="", "",TOTALCO!K390)</f>
        <v/>
      </c>
      <c r="L1261" s="14">
        <f>IF(TOTALCO!L390="", "",TOTALCO!L390)</f>
        <v>0</v>
      </c>
      <c r="M1261" s="14" t="str">
        <f>IF(TOTALCO!M390="", "",TOTALCO!M390)</f>
        <v/>
      </c>
      <c r="N1261" s="14">
        <f ca="1">IF(TOTALCO!N390="", "",TOTALCO!N390)</f>
        <v>1</v>
      </c>
      <c r="O1261" s="14">
        <f ca="1">IF(TOTALCO!O390="", "",TOTALCO!O390)</f>
        <v>0.31202537227145188</v>
      </c>
      <c r="P1261" s="14">
        <f ca="1">IF(TOTALCO!P390="", "",TOTALCO!P390)</f>
        <v>0.68797462772854823</v>
      </c>
      <c r="Q1261" s="14"/>
    </row>
    <row r="1262" spans="1:17" ht="15" x14ac:dyDescent="0.2">
      <c r="A1262" s="382">
        <f>IF(TOTALCO!A391="", "",TOTALCO!A391)</f>
        <v>24</v>
      </c>
      <c r="B1262" s="4" t="str">
        <f>IF(TOTALCO!B391="", "",TOTALCO!B391)</f>
        <v>ACC DEF INC TX PROD FERC-POST</v>
      </c>
      <c r="C1262" s="4" t="str">
        <f>IF(TOTALCO!C391="", "",TOTALCO!C391)</f>
        <v>ADITPP</v>
      </c>
      <c r="D1262" s="14">
        <f ca="1">IF(TOTALCO!D391="", "",TOTALCO!D391)</f>
        <v>1</v>
      </c>
      <c r="E1262" s="14" t="str">
        <f>IF(TOTALCO!E391="", "",TOTALCO!E391)</f>
        <v/>
      </c>
      <c r="F1262" s="14">
        <f>IF(TOTALCO!F391="", "",TOTALCO!F391)</f>
        <v>0</v>
      </c>
      <c r="G1262" s="14" t="str">
        <f>IF(TOTALCO!G391="", "",TOTALCO!G391)</f>
        <v/>
      </c>
      <c r="H1262" s="14">
        <f>IF(TOTALCO!H391="", "",TOTALCO!H391)</f>
        <v>0</v>
      </c>
      <c r="I1262" s="14">
        <f ca="1">IF(TOTALCO!I391="", "",TOTALCO!I391)</f>
        <v>1</v>
      </c>
      <c r="J1262" s="14" t="str">
        <f>IF(TOTALCO!J391="", "",TOTALCO!J391)</f>
        <v/>
      </c>
      <c r="K1262" s="14" t="str">
        <f>IF(TOTALCO!K391="", "",TOTALCO!K391)</f>
        <v/>
      </c>
      <c r="L1262" s="14">
        <f>IF(TOTALCO!L391="", "",TOTALCO!L391)</f>
        <v>0</v>
      </c>
      <c r="M1262" s="14" t="str">
        <f>IF(TOTALCO!M391="", "",TOTALCO!M391)</f>
        <v/>
      </c>
      <c r="N1262" s="14">
        <f ca="1">IF(TOTALCO!N391="", "",TOTALCO!N391)</f>
        <v>1</v>
      </c>
      <c r="O1262" s="14">
        <f ca="1">IF(TOTALCO!O391="", "",TOTALCO!O391)</f>
        <v>0.312025372271452</v>
      </c>
      <c r="P1262" s="14">
        <f ca="1">IF(TOTALCO!P391="", "",TOTALCO!P391)</f>
        <v>0.687974627728548</v>
      </c>
      <c r="Q1262" s="14"/>
    </row>
    <row r="1263" spans="1:17" ht="15" x14ac:dyDescent="0.2">
      <c r="A1263" s="382">
        <f>IF(TOTALCO!A392="", "",TOTALCO!A392)</f>
        <v>25</v>
      </c>
      <c r="B1263" s="4" t="str">
        <f>IF(TOTALCO!B392="", "",TOTALCO!B392)</f>
        <v>ACC DEF INC TX TRAN FERC-POST</v>
      </c>
      <c r="C1263" s="4" t="str">
        <f>IF(TOTALCO!C392="", "",TOTALCO!C392)</f>
        <v>ADITTP</v>
      </c>
      <c r="D1263" s="14">
        <f ca="1">IF(TOTALCO!D392="", "",TOTALCO!D392)</f>
        <v>1</v>
      </c>
      <c r="E1263" s="14" t="str">
        <f>IF(TOTALCO!E392="", "",TOTALCO!E392)</f>
        <v/>
      </c>
      <c r="F1263" s="14">
        <f>IF(TOTALCO!F392="", "",TOTALCO!F392)</f>
        <v>0</v>
      </c>
      <c r="G1263" s="14" t="str">
        <f>IF(TOTALCO!G392="", "",TOTALCO!G392)</f>
        <v/>
      </c>
      <c r="H1263" s="14">
        <f>IF(TOTALCO!H392="", "",TOTALCO!H392)</f>
        <v>0</v>
      </c>
      <c r="I1263" s="14">
        <f ca="1">IF(TOTALCO!I392="", "",TOTALCO!I392)</f>
        <v>1</v>
      </c>
      <c r="J1263" s="14" t="str">
        <f>IF(TOTALCO!J392="", "",TOTALCO!J392)</f>
        <v/>
      </c>
      <c r="K1263" s="14" t="str">
        <f>IF(TOTALCO!K392="", "",TOTALCO!K392)</f>
        <v/>
      </c>
      <c r="L1263" s="14">
        <f>IF(TOTALCO!L392="", "",TOTALCO!L392)</f>
        <v>0</v>
      </c>
      <c r="M1263" s="14" t="str">
        <f>IF(TOTALCO!M392="", "",TOTALCO!M392)</f>
        <v/>
      </c>
      <c r="N1263" s="14">
        <f ca="1">IF(TOTALCO!N392="", "",TOTALCO!N392)</f>
        <v>1</v>
      </c>
      <c r="O1263" s="14">
        <f ca="1">IF(TOTALCO!O392="", "",TOTALCO!O392)</f>
        <v>0.31202537227145183</v>
      </c>
      <c r="P1263" s="14">
        <f ca="1">IF(TOTALCO!P392="", "",TOTALCO!P392)</f>
        <v>0.68797462772854823</v>
      </c>
      <c r="Q1263" s="14"/>
    </row>
    <row r="1264" spans="1:17" ht="15" x14ac:dyDescent="0.2">
      <c r="A1264" s="382">
        <f>IF(TOTALCO!A393="", "",TOTALCO!A393)</f>
        <v>26</v>
      </c>
      <c r="B1264" s="4" t="str">
        <f>IF(TOTALCO!B393="", "",TOTALCO!B393)</f>
        <v>TRANSMISSION PLANT EXCL VA</v>
      </c>
      <c r="C1264" s="4" t="str">
        <f>IF(TOTALCO!C393="", "",TOTALCO!C393)</f>
        <v>TRANPLTX</v>
      </c>
      <c r="D1264" s="14">
        <f ca="1">IF(TOTALCO!D393="", "",TOTALCO!D393)</f>
        <v>1</v>
      </c>
      <c r="E1264" s="14" t="str">
        <f>IF(TOTALCO!E393="", "",TOTALCO!E393)</f>
        <v/>
      </c>
      <c r="F1264" s="14">
        <f ca="1">IF(TOTALCO!F393="", "",TOTALCO!F393)</f>
        <v>0.85904272823294758</v>
      </c>
      <c r="G1264" s="14" t="str">
        <f>IF(TOTALCO!G393="", "",TOTALCO!G393)</f>
        <v/>
      </c>
      <c r="H1264" s="14">
        <f ca="1">IF(TOTALCO!H393="", "",TOTALCO!H393)</f>
        <v>5.239046771966293E-2</v>
      </c>
      <c r="I1264" s="14">
        <f ca="1">IF(TOTALCO!I393="", "",TOTALCO!I393)</f>
        <v>8.8566804047389577E-2</v>
      </c>
      <c r="J1264" s="14" t="str">
        <f>IF(TOTALCO!J393="", "",TOTALCO!J393)</f>
        <v/>
      </c>
      <c r="K1264" s="14" t="str">
        <f>IF(TOTALCO!K393="", "",TOTALCO!K393)</f>
        <v/>
      </c>
      <c r="L1264" s="14">
        <f ca="1">IF(TOTALCO!L393="", "",TOTALCO!L393)</f>
        <v>7.5954576011972191E-6</v>
      </c>
      <c r="M1264" s="14" t="str">
        <f>IF(TOTALCO!M393="", "",TOTALCO!M393)</f>
        <v/>
      </c>
      <c r="N1264" s="14">
        <f ca="1">IF(TOTALCO!N393="", "",TOTALCO!N393)</f>
        <v>8.8559208589788385E-2</v>
      </c>
      <c r="O1264" s="14">
        <f ca="1">IF(TOTALCO!O393="", "",TOTALCO!O393)</f>
        <v>2.7632720028293881E-2</v>
      </c>
      <c r="P1264" s="14">
        <f ca="1">IF(TOTALCO!P393="", "",TOTALCO!P393)</f>
        <v>6.0926488561494505E-2</v>
      </c>
      <c r="Q1264" s="14"/>
    </row>
    <row r="1265" spans="1:17" ht="15" x14ac:dyDescent="0.2">
      <c r="A1265" s="382">
        <f>IF(TOTALCO!A394="", "",TOTALCO!A394)</f>
        <v>27</v>
      </c>
      <c r="B1265" s="4" t="str">
        <f>IF(TOTALCO!B394="", "",TOTALCO!B394)</f>
        <v>TRANSM PLANT VA &amp; 500 KV</v>
      </c>
      <c r="C1265" s="4" t="str">
        <f>IF(TOTALCO!C394="", "",TOTALCO!C394)</f>
        <v>TRPLTVA</v>
      </c>
      <c r="D1265" s="14">
        <f ca="1">IF(TOTALCO!D394="", "",TOTALCO!D394)</f>
        <v>1</v>
      </c>
      <c r="E1265" s="14" t="str">
        <f>IF(TOTALCO!E394="", "",TOTALCO!E394)</f>
        <v/>
      </c>
      <c r="F1265" s="14">
        <f ca="1">IF(TOTALCO!F394="", "",TOTALCO!F394)</f>
        <v>0.14232577723379158</v>
      </c>
      <c r="G1265" s="14" t="str">
        <f>IF(TOTALCO!G394="", "",TOTALCO!G394)</f>
        <v/>
      </c>
      <c r="H1265" s="14">
        <f ca="1">IF(TOTALCO!H394="", "",TOTALCO!H394)</f>
        <v>0.84382711167009894</v>
      </c>
      <c r="I1265" s="14">
        <f ca="1">IF(TOTALCO!I394="", "",TOTALCO!I394)</f>
        <v>1.3847111096109496E-2</v>
      </c>
      <c r="J1265" s="14" t="str">
        <f>IF(TOTALCO!J394="", "",TOTALCO!J394)</f>
        <v/>
      </c>
      <c r="K1265" s="14" t="str">
        <f>IF(TOTALCO!K394="", "",TOTALCO!K394)</f>
        <v/>
      </c>
      <c r="L1265" s="14">
        <f ca="1">IF(TOTALCO!L394="", "",TOTALCO!L394)</f>
        <v>1.2584116843179426E-6</v>
      </c>
      <c r="M1265" s="14" t="str">
        <f>IF(TOTALCO!M394="", "",TOTALCO!M394)</f>
        <v/>
      </c>
      <c r="N1265" s="14">
        <f ca="1">IF(TOTALCO!N394="", "",TOTALCO!N394)</f>
        <v>1.3845852684425178E-2</v>
      </c>
      <c r="O1265" s="14">
        <f ca="1">IF(TOTALCO!O394="", "",TOTALCO!O394)</f>
        <v>4.3202573382734484E-3</v>
      </c>
      <c r="P1265" s="14">
        <f ca="1">IF(TOTALCO!P394="", "",TOTALCO!P394)</f>
        <v>9.5255953461517301E-3</v>
      </c>
      <c r="Q1265" s="14"/>
    </row>
    <row r="1266" spans="1:17" ht="15" x14ac:dyDescent="0.2">
      <c r="A1266" s="382">
        <f>IF(TOTALCO!A395="", "",TOTALCO!A395)</f>
        <v>28</v>
      </c>
      <c r="B1266" s="4" t="str">
        <f>IF(TOTALCO!B395="", "",TOTALCO!B395)</f>
        <v>TOT ACCT 364 &amp; 365-OVHD LINE</v>
      </c>
      <c r="C1266" s="4" t="str">
        <f>IF(TOTALCO!C395="", "",TOTALCO!C395)</f>
        <v>PLT3645TOT</v>
      </c>
      <c r="D1266" s="14">
        <f ca="1">IF(TOTALCO!D395="", "",TOTALCO!D395)</f>
        <v>1</v>
      </c>
      <c r="E1266" s="14" t="str">
        <f>IF(TOTALCO!E395="", "",TOTALCO!E395)</f>
        <v/>
      </c>
      <c r="F1266" s="14">
        <f ca="1">IF(TOTALCO!F395="", "",TOTALCO!F395)</f>
        <v>0.92494067000166846</v>
      </c>
      <c r="G1266" s="14" t="str">
        <f>IF(TOTALCO!G395="", "",TOTALCO!G395)</f>
        <v/>
      </c>
      <c r="H1266" s="14">
        <f ca="1">IF(TOTALCO!H395="", "",TOTALCO!H395)</f>
        <v>7.4895952198311397E-2</v>
      </c>
      <c r="I1266" s="14">
        <f ca="1">IF(TOTALCO!I395="", "",TOTALCO!I395)</f>
        <v>1.6337780002018083E-4</v>
      </c>
      <c r="J1266" s="14" t="str">
        <f>IF(TOTALCO!J395="", "",TOTALCO!J395)</f>
        <v/>
      </c>
      <c r="K1266" s="14" t="str">
        <f>IF(TOTALCO!K395="", "",TOTALCO!K395)</f>
        <v/>
      </c>
      <c r="L1266" s="14">
        <f ca="1">IF(TOTALCO!L395="", "",TOTALCO!L395)</f>
        <v>1.6337780002018083E-4</v>
      </c>
      <c r="M1266" s="14" t="str">
        <f>IF(TOTALCO!M395="", "",TOTALCO!M395)</f>
        <v/>
      </c>
      <c r="N1266" s="14">
        <f ca="1">IF(TOTALCO!N395="", "",TOTALCO!N395)</f>
        <v>0</v>
      </c>
      <c r="O1266" s="14">
        <f ca="1">IF(TOTALCO!O395="", "",TOTALCO!O395)</f>
        <v>0</v>
      </c>
      <c r="P1266" s="14">
        <f ca="1">IF(TOTALCO!P395="", "",TOTALCO!P395)</f>
        <v>0</v>
      </c>
      <c r="Q1266" s="14"/>
    </row>
    <row r="1267" spans="1:17" ht="15" x14ac:dyDescent="0.2">
      <c r="A1267" s="382">
        <f>IF(TOTALCO!A396="", "",TOTALCO!A396)</f>
        <v>29</v>
      </c>
      <c r="B1267" s="4" t="str">
        <f>IF(TOTALCO!B396="", "",TOTALCO!B396)</f>
        <v>TOTAL ELECTRIC PLANT</v>
      </c>
      <c r="C1267" s="4" t="str">
        <f>IF(TOTALCO!C396="", "",TOTALCO!C396)</f>
        <v>PLANT</v>
      </c>
      <c r="D1267" s="14">
        <f ca="1">IF(TOTALCO!D396="", "",TOTALCO!D396)</f>
        <v>1</v>
      </c>
      <c r="E1267" s="14" t="str">
        <f>IF(TOTALCO!E396="", "",TOTALCO!E396)</f>
        <v/>
      </c>
      <c r="F1267" s="14">
        <f ca="1">IF(TOTALCO!F396="", "",TOTALCO!F396)</f>
        <v>0.87069504779313966</v>
      </c>
      <c r="G1267" s="14" t="str">
        <f>IF(TOTALCO!G396="", "",TOTALCO!G396)</f>
        <v/>
      </c>
      <c r="H1267" s="14">
        <f ca="1">IF(TOTALCO!H396="", "",TOTALCO!H396)</f>
        <v>5.9394022257332528E-2</v>
      </c>
      <c r="I1267" s="14">
        <f ca="1">IF(TOTALCO!I396="", "",TOTALCO!I396)</f>
        <v>6.9910929949527884E-2</v>
      </c>
      <c r="J1267" s="14" t="str">
        <f>IF(TOTALCO!J396="", "",TOTALCO!J396)</f>
        <v/>
      </c>
      <c r="K1267" s="14" t="str">
        <f>IF(TOTALCO!K396="", "",TOTALCO!K396)</f>
        <v/>
      </c>
      <c r="L1267" s="14">
        <f ca="1">IF(TOTALCO!L396="", "",TOTALCO!L396)</f>
        <v>3.1532086061950063E-5</v>
      </c>
      <c r="M1267" s="14" t="str">
        <f>IF(TOTALCO!M396="", "",TOTALCO!M396)</f>
        <v/>
      </c>
      <c r="N1267" s="14">
        <f ca="1">IF(TOTALCO!N396="", "",TOTALCO!N396)</f>
        <v>6.9879397863465934E-2</v>
      </c>
      <c r="O1267" s="14">
        <f ca="1">IF(TOTALCO!O396="", "",TOTALCO!O396)</f>
        <v>2.2187490704377345E-2</v>
      </c>
      <c r="P1267" s="14">
        <f ca="1">IF(TOTALCO!P396="", "",TOTALCO!P396)</f>
        <v>4.7691907159088588E-2</v>
      </c>
      <c r="Q1267" s="14"/>
    </row>
    <row r="1268" spans="1:17" ht="15" x14ac:dyDescent="0.2">
      <c r="A1268" s="382">
        <f>IF(TOTALCO!A397="", "",TOTALCO!A397)</f>
        <v>30</v>
      </c>
      <c r="B1268" s="4" t="str">
        <f>IF(TOTALCO!B397="", "",TOTALCO!B397)</f>
        <v>TOTAL ELECTRIC PLANT KY</v>
      </c>
      <c r="C1268" s="4" t="str">
        <f>IF(TOTALCO!C397="", "",TOTALCO!C397)</f>
        <v>PLANTKY</v>
      </c>
      <c r="D1268" s="14">
        <f ca="1">IF(TOTALCO!D397="", "",TOTALCO!D397)</f>
        <v>1</v>
      </c>
      <c r="E1268" s="14" t="str">
        <f>IF(TOTALCO!E397="", "",TOTALCO!E397)</f>
        <v/>
      </c>
      <c r="F1268" s="14">
        <f ca="1">IF(TOTALCO!F397="", "",TOTALCO!F397)</f>
        <v>1</v>
      </c>
      <c r="G1268" s="14" t="str">
        <f>IF(TOTALCO!G397="", "",TOTALCO!G397)</f>
        <v/>
      </c>
      <c r="H1268" s="14">
        <f>IF(TOTALCO!H397="", "",TOTALCO!H397)</f>
        <v>0</v>
      </c>
      <c r="I1268" s="14">
        <f>IF(TOTALCO!I397="", "",TOTALCO!I397)</f>
        <v>0</v>
      </c>
      <c r="J1268" s="14" t="str">
        <f>IF(TOTALCO!J397="", "",TOTALCO!J397)</f>
        <v/>
      </c>
      <c r="K1268" s="14" t="str">
        <f>IF(TOTALCO!K397="", "",TOTALCO!K397)</f>
        <v/>
      </c>
      <c r="L1268" s="14">
        <f>IF(TOTALCO!L397="", "",TOTALCO!L397)</f>
        <v>0</v>
      </c>
      <c r="M1268" s="14" t="str">
        <f>IF(TOTALCO!M397="", "",TOTALCO!M397)</f>
        <v/>
      </c>
      <c r="N1268" s="14">
        <f>IF(TOTALCO!N397="", "",TOTALCO!N397)</f>
        <v>0</v>
      </c>
      <c r="O1268" s="14">
        <f>IF(TOTALCO!O397="", "",TOTALCO!O397)</f>
        <v>0</v>
      </c>
      <c r="P1268" s="14">
        <f>IF(TOTALCO!P397="", "",TOTALCO!P397)</f>
        <v>0</v>
      </c>
      <c r="Q1268" s="14"/>
    </row>
    <row r="1269" spans="1:17" ht="15" x14ac:dyDescent="0.2">
      <c r="A1269" s="382">
        <f>IF(TOTALCO!A398="", "",TOTALCO!A398)</f>
        <v>31</v>
      </c>
      <c r="B1269" s="4" t="str">
        <f>IF(TOTALCO!B398="", "",TOTALCO!B398)</f>
        <v>TOTAL ELECTRIC PLANT KY &amp; FERC</v>
      </c>
      <c r="C1269" s="4" t="str">
        <f>IF(TOTALCO!C398="", "",TOTALCO!C398)</f>
        <v>PLANTKF</v>
      </c>
      <c r="D1269" s="14">
        <f ca="1">IF(TOTALCO!D398="", "",TOTALCO!D398)</f>
        <v>1</v>
      </c>
      <c r="E1269" s="14" t="str">
        <f>IF(TOTALCO!E398="", "",TOTALCO!E398)</f>
        <v/>
      </c>
      <c r="F1269" s="14">
        <f ca="1">IF(TOTALCO!F398="", "",TOTALCO!F398)</f>
        <v>0.92570561725745826</v>
      </c>
      <c r="G1269" s="14" t="str">
        <f>IF(TOTALCO!G398="", "",TOTALCO!G398)</f>
        <v/>
      </c>
      <c r="H1269" s="14">
        <f>IF(TOTALCO!H398="", "",TOTALCO!H398)</f>
        <v>0</v>
      </c>
      <c r="I1269" s="14">
        <f ca="1">IF(TOTALCO!I398="", "",TOTALCO!I398)</f>
        <v>7.4294382742541798E-2</v>
      </c>
      <c r="J1269" s="14" t="str">
        <f>IF(TOTALCO!J398="", "",TOTALCO!J398)</f>
        <v/>
      </c>
      <c r="K1269" s="14" t="str">
        <f>IF(TOTALCO!K398="", "",TOTALCO!K398)</f>
        <v/>
      </c>
      <c r="L1269" s="14">
        <f>IF(TOTALCO!L398="", "",TOTALCO!L398)</f>
        <v>0</v>
      </c>
      <c r="M1269" s="14" t="str">
        <f>IF(TOTALCO!M398="", "",TOTALCO!M398)</f>
        <v/>
      </c>
      <c r="N1269" s="14">
        <f ca="1">IF(TOTALCO!N398="", "",TOTALCO!N398)</f>
        <v>7.4294382742541798E-2</v>
      </c>
      <c r="O1269" s="14">
        <f ca="1">IF(TOTALCO!O398="", "",TOTALCO!O398)</f>
        <v>2.3589297802885215E-2</v>
      </c>
      <c r="P1269" s="14">
        <f ca="1">IF(TOTALCO!P398="", "",TOTALCO!P398)</f>
        <v>5.0705084939656586E-2</v>
      </c>
      <c r="Q1269" s="14"/>
    </row>
    <row r="1270" spans="1:17" ht="15" x14ac:dyDescent="0.2">
      <c r="A1270" s="382">
        <f>IF(TOTALCO!A399="", "",TOTALCO!A399)</f>
        <v>32</v>
      </c>
      <c r="B1270" s="4" t="str">
        <f>IF(TOTALCO!B399="", "",TOTALCO!B399)</f>
        <v>TOTAL ELECTRIC PLANT VA</v>
      </c>
      <c r="C1270" s="4" t="str">
        <f>IF(TOTALCO!C399="", "",TOTALCO!C399)</f>
        <v>PLANTVA</v>
      </c>
      <c r="D1270" s="14">
        <f ca="1">IF(TOTALCO!D399="", "",TOTALCO!D399)</f>
        <v>1</v>
      </c>
      <c r="E1270" s="14" t="str">
        <f>IF(TOTALCO!E399="", "",TOTALCO!E399)</f>
        <v/>
      </c>
      <c r="F1270" s="14">
        <f>IF(TOTALCO!F399="", "",TOTALCO!F399)</f>
        <v>0</v>
      </c>
      <c r="G1270" s="14" t="str">
        <f>IF(TOTALCO!G399="", "",TOTALCO!G399)</f>
        <v/>
      </c>
      <c r="H1270" s="14">
        <f ca="1">IF(TOTALCO!H399="", "",TOTALCO!H399)</f>
        <v>1</v>
      </c>
      <c r="I1270" s="14">
        <f>IF(TOTALCO!I399="", "",TOTALCO!I399)</f>
        <v>0</v>
      </c>
      <c r="J1270" s="14" t="str">
        <f>IF(TOTALCO!J399="", "",TOTALCO!J399)</f>
        <v/>
      </c>
      <c r="K1270" s="14" t="str">
        <f>IF(TOTALCO!K399="", "",TOTALCO!K399)</f>
        <v/>
      </c>
      <c r="L1270" s="14">
        <f>IF(TOTALCO!L399="", "",TOTALCO!L399)</f>
        <v>0</v>
      </c>
      <c r="M1270" s="14" t="str">
        <f>IF(TOTALCO!M399="", "",TOTALCO!M399)</f>
        <v/>
      </c>
      <c r="N1270" s="14">
        <f>IF(TOTALCO!N399="", "",TOTALCO!N399)</f>
        <v>0</v>
      </c>
      <c r="O1270" s="14">
        <f>IF(TOTALCO!O399="", "",TOTALCO!O399)</f>
        <v>0</v>
      </c>
      <c r="P1270" s="14">
        <f>IF(TOTALCO!P399="", "",TOTALCO!P399)</f>
        <v>0</v>
      </c>
      <c r="Q1270" s="14"/>
    </row>
    <row r="1271" spans="1:17" ht="15" x14ac:dyDescent="0.2">
      <c r="A1271" s="382">
        <f>IF(TOTALCO!A400="", "",TOTALCO!A400)</f>
        <v>33</v>
      </c>
      <c r="B1271" s="4" t="str">
        <f>IF(TOTALCO!B400="", "",TOTALCO!B400)</f>
        <v>TOTAL STEAM PROD PLANT</v>
      </c>
      <c r="C1271" s="4" t="str">
        <f>IF(TOTALCO!C400="", "",TOTALCO!C400)</f>
        <v>STMPLT</v>
      </c>
      <c r="D1271" s="14">
        <f ca="1">IF(TOTALCO!D400="", "",TOTALCO!D400)</f>
        <v>1</v>
      </c>
      <c r="E1271" s="14" t="str">
        <f>IF(TOTALCO!E400="", "",TOTALCO!E400)</f>
        <v/>
      </c>
      <c r="F1271" s="14">
        <f ca="1">IF(TOTALCO!F400="", "",TOTALCO!F400)</f>
        <v>0.85611963191980278</v>
      </c>
      <c r="G1271" s="14" t="str">
        <f>IF(TOTALCO!G400="", "",TOTALCO!G400)</f>
        <v/>
      </c>
      <c r="H1271" s="14">
        <f ca="1">IF(TOTALCO!H400="", "",TOTALCO!H400)</f>
        <v>5.2059651418386692E-2</v>
      </c>
      <c r="I1271" s="14">
        <f ca="1">IF(TOTALCO!I400="", "",TOTALCO!I400)</f>
        <v>9.1820716661810589E-2</v>
      </c>
      <c r="J1271" s="14" t="str">
        <f>IF(TOTALCO!J400="", "",TOTALCO!J400)</f>
        <v/>
      </c>
      <c r="K1271" s="14" t="str">
        <f>IF(TOTALCO!K400="", "",TOTALCO!K400)</f>
        <v/>
      </c>
      <c r="L1271" s="14">
        <f ca="1">IF(TOTALCO!L400="", "",TOTALCO!L400)</f>
        <v>7.5696122580250829E-6</v>
      </c>
      <c r="M1271" s="14" t="str">
        <f>IF(TOTALCO!M400="", "",TOTALCO!M400)</f>
        <v/>
      </c>
      <c r="N1271" s="14">
        <f ca="1">IF(TOTALCO!N400="", "",TOTALCO!N400)</f>
        <v>9.1813147049552568E-2</v>
      </c>
      <c r="O1271" s="14">
        <f ca="1">IF(TOTALCO!O400="", "",TOTALCO!O400)</f>
        <v>2.8648031387550198E-2</v>
      </c>
      <c r="P1271" s="14">
        <f ca="1">IF(TOTALCO!P400="", "",TOTALCO!P400)</f>
        <v>6.3165115662002363E-2</v>
      </c>
      <c r="Q1271" s="14"/>
    </row>
    <row r="1272" spans="1:17" ht="15" x14ac:dyDescent="0.2">
      <c r="A1272" s="382">
        <f>IF(TOTALCO!A401="", "",TOTALCO!A401)</f>
        <v>34</v>
      </c>
      <c r="B1272" s="4" t="str">
        <f>IF(TOTALCO!B401="", "",TOTALCO!B401)</f>
        <v>TOTAL HYDRAULIC PROD PLANT</v>
      </c>
      <c r="C1272" s="4" t="str">
        <f>IF(TOTALCO!C401="", "",TOTALCO!C401)</f>
        <v>HYDPLT</v>
      </c>
      <c r="D1272" s="14">
        <f ca="1">IF(TOTALCO!D401="", "",TOTALCO!D401)</f>
        <v>1</v>
      </c>
      <c r="E1272" s="14" t="str">
        <f>IF(TOTALCO!E401="", "",TOTALCO!E401)</f>
        <v/>
      </c>
      <c r="F1272" s="14">
        <f ca="1">IF(TOTALCO!F401="", "",TOTALCO!F401)</f>
        <v>0.86368474428104458</v>
      </c>
      <c r="G1272" s="14" t="str">
        <f>IF(TOTALCO!G401="", "",TOTALCO!G401)</f>
        <v/>
      </c>
      <c r="H1272" s="14">
        <f ca="1">IF(TOTALCO!H401="", "",TOTALCO!H401)</f>
        <v>5.0732417001093058E-2</v>
      </c>
      <c r="I1272" s="14">
        <f ca="1">IF(TOTALCO!I401="", "",TOTALCO!I401)</f>
        <v>8.5582838717862389E-2</v>
      </c>
      <c r="J1272" s="14" t="str">
        <f>IF(TOTALCO!J401="", "",TOTALCO!J401)</f>
        <v/>
      </c>
      <c r="K1272" s="14" t="str">
        <f>IF(TOTALCO!K401="", "",TOTALCO!K401)</f>
        <v/>
      </c>
      <c r="L1272" s="14">
        <f ca="1">IF(TOTALCO!L401="", "",TOTALCO!L401)</f>
        <v>7.6365012360696357E-6</v>
      </c>
      <c r="M1272" s="14" t="str">
        <f>IF(TOTALCO!M401="", "",TOTALCO!M401)</f>
        <v/>
      </c>
      <c r="N1272" s="14">
        <f ca="1">IF(TOTALCO!N401="", "",TOTALCO!N401)</f>
        <v>8.5575202216626317E-2</v>
      </c>
      <c r="O1272" s="14">
        <f ca="1">IF(TOTALCO!O401="", "",TOTALCO!O401)</f>
        <v>2.6701634328847604E-2</v>
      </c>
      <c r="P1272" s="14">
        <f ca="1">IF(TOTALCO!P401="", "",TOTALCO!P401)</f>
        <v>5.8873567887778706E-2</v>
      </c>
      <c r="Q1272" s="14"/>
    </row>
    <row r="1273" spans="1:17" ht="15" x14ac:dyDescent="0.2">
      <c r="A1273" s="382">
        <f>IF(TOTALCO!A402="", "",TOTALCO!A402)</f>
        <v>35</v>
      </c>
      <c r="B1273" s="4" t="str">
        <f>IF(TOTALCO!B402="", "",TOTALCO!B402)</f>
        <v>TOTAL OTHER PROD PLANT</v>
      </c>
      <c r="C1273" s="4" t="str">
        <f>IF(TOTALCO!C402="", "",TOTALCO!C402)</f>
        <v>OTHPLT</v>
      </c>
      <c r="D1273" s="14">
        <f ca="1">IF(TOTALCO!D402="", "",TOTALCO!D402)</f>
        <v>0.99999999999999989</v>
      </c>
      <c r="E1273" s="14" t="str">
        <f>IF(TOTALCO!E402="", "",TOTALCO!E402)</f>
        <v/>
      </c>
      <c r="F1273" s="14">
        <f ca="1">IF(TOTALCO!F402="", "",TOTALCO!F402)</f>
        <v>0.86209606691412721</v>
      </c>
      <c r="G1273" s="14" t="str">
        <f>IF(TOTALCO!G402="", "",TOTALCO!G402)</f>
        <v/>
      </c>
      <c r="H1273" s="14">
        <f ca="1">IF(TOTALCO!H402="", "",TOTALCO!H402)</f>
        <v>5.0629763313373821E-2</v>
      </c>
      <c r="I1273" s="14">
        <f ca="1">IF(TOTALCO!I402="", "",TOTALCO!I402)</f>
        <v>8.7274169772498897E-2</v>
      </c>
      <c r="J1273" s="14" t="str">
        <f>IF(TOTALCO!J402="", "",TOTALCO!J402)</f>
        <v/>
      </c>
      <c r="K1273" s="14" t="str">
        <f>IF(TOTALCO!K402="", "",TOTALCO!K402)</f>
        <v/>
      </c>
      <c r="L1273" s="14">
        <f ca="1">IF(TOTALCO!L402="", "",TOTALCO!L402)</f>
        <v>7.6224545173374668E-6</v>
      </c>
      <c r="M1273" s="14" t="str">
        <f>IF(TOTALCO!M402="", "",TOTALCO!M402)</f>
        <v/>
      </c>
      <c r="N1273" s="14">
        <f ca="1">IF(TOTALCO!N402="", "",TOTALCO!N402)</f>
        <v>8.7266547317981558E-2</v>
      </c>
      <c r="O1273" s="14">
        <f ca="1">IF(TOTALCO!O402="", "",TOTALCO!O402)</f>
        <v>2.7229376913737474E-2</v>
      </c>
      <c r="P1273" s="14">
        <f ca="1">IF(TOTALCO!P402="", "",TOTALCO!P402)</f>
        <v>6.003717040424409E-2</v>
      </c>
      <c r="Q1273" s="14"/>
    </row>
    <row r="1274" spans="1:17" ht="15" x14ac:dyDescent="0.2">
      <c r="A1274" s="382">
        <f>IF(TOTALCO!A403="", "",TOTALCO!A403)</f>
        <v>36</v>
      </c>
      <c r="B1274" s="4" t="str">
        <f>IF(TOTALCO!B403="", "",TOTALCO!B403)</f>
        <v>TOT ACCT 360-362 SUBSTATIONS</v>
      </c>
      <c r="C1274" s="4" t="str">
        <f>IF(TOTALCO!C403="", "",TOTALCO!C403)</f>
        <v>PLT3602TOT</v>
      </c>
      <c r="D1274" s="14">
        <f ca="1">IF(TOTALCO!D403="", "",TOTALCO!D403)</f>
        <v>1</v>
      </c>
      <c r="E1274" s="14" t="str">
        <f>IF(TOTALCO!E403="", "",TOTALCO!E403)</f>
        <v/>
      </c>
      <c r="F1274" s="14">
        <f ca="1">IF(TOTALCO!F403="", "",TOTALCO!F403)</f>
        <v>0.92493308786401529</v>
      </c>
      <c r="G1274" s="14" t="str">
        <f>IF(TOTALCO!G403="", "",TOTALCO!G403)</f>
        <v/>
      </c>
      <c r="H1274" s="14">
        <f ca="1">IF(TOTALCO!H403="", "",TOTALCO!H403)</f>
        <v>5.2661464845952889E-2</v>
      </c>
      <c r="I1274" s="14">
        <f ca="1">IF(TOTALCO!I403="", "",TOTALCO!I403)</f>
        <v>2.2405447290031782E-2</v>
      </c>
      <c r="J1274" s="14" t="str">
        <f>IF(TOTALCO!J403="", "",TOTALCO!J403)</f>
        <v/>
      </c>
      <c r="K1274" s="14" t="str">
        <f>IF(TOTALCO!K403="", "",TOTALCO!K403)</f>
        <v/>
      </c>
      <c r="L1274" s="14">
        <f ca="1">IF(TOTALCO!L403="", "",TOTALCO!L403)</f>
        <v>4.021837124875913E-4</v>
      </c>
      <c r="M1274" s="14" t="str">
        <f>IF(TOTALCO!M403="", "",TOTALCO!M403)</f>
        <v/>
      </c>
      <c r="N1274" s="14">
        <f ca="1">IF(TOTALCO!N403="", "",TOTALCO!N403)</f>
        <v>2.2003263577544192E-2</v>
      </c>
      <c r="O1274" s="14">
        <f ca="1">IF(TOTALCO!O403="", "",TOTALCO!O403)</f>
        <v>2.2003263577544192E-2</v>
      </c>
      <c r="P1274" s="14">
        <f ca="1">IF(TOTALCO!P403="", "",TOTALCO!P403)</f>
        <v>0</v>
      </c>
      <c r="Q1274" s="14"/>
    </row>
    <row r="1275" spans="1:17" ht="15" x14ac:dyDescent="0.2">
      <c r="A1275" s="382">
        <f>IF(TOTALCO!A404="", "",TOTALCO!A404)</f>
        <v>37</v>
      </c>
      <c r="B1275" s="4" t="str">
        <f>IF(TOTALCO!B404="", "",TOTALCO!B404)</f>
        <v>TOT ACCT 366 &amp; 367-UG LINES</v>
      </c>
      <c r="C1275" s="4" t="str">
        <f>IF(TOTALCO!C404="", "",TOTALCO!C404)</f>
        <v>PLT3667TOT</v>
      </c>
      <c r="D1275" s="14">
        <f ca="1">IF(TOTALCO!D404="", "",TOTALCO!D404)</f>
        <v>1</v>
      </c>
      <c r="E1275" s="14" t="str">
        <f>IF(TOTALCO!E404="", "",TOTALCO!E404)</f>
        <v/>
      </c>
      <c r="F1275" s="14">
        <f ca="1">IF(TOTALCO!F404="", "",TOTALCO!F404)</f>
        <v>0.98081979856482493</v>
      </c>
      <c r="G1275" s="14" t="str">
        <f>IF(TOTALCO!G404="", "",TOTALCO!G404)</f>
        <v/>
      </c>
      <c r="H1275" s="14">
        <f ca="1">IF(TOTALCO!H404="", "",TOTALCO!H404)</f>
        <v>1.9180201435175154E-2</v>
      </c>
      <c r="I1275" s="14">
        <f ca="1">IF(TOTALCO!I404="", "",TOTALCO!I404)</f>
        <v>0</v>
      </c>
      <c r="J1275" s="14" t="str">
        <f>IF(TOTALCO!J404="", "",TOTALCO!J404)</f>
        <v/>
      </c>
      <c r="K1275" s="14" t="str">
        <f>IF(TOTALCO!K404="", "",TOTALCO!K404)</f>
        <v/>
      </c>
      <c r="L1275" s="14">
        <f ca="1">IF(TOTALCO!L404="", "",TOTALCO!L404)</f>
        <v>0</v>
      </c>
      <c r="M1275" s="14" t="str">
        <f>IF(TOTALCO!M404="", "",TOTALCO!M404)</f>
        <v/>
      </c>
      <c r="N1275" s="14">
        <f ca="1">IF(TOTALCO!N404="", "",TOTALCO!N404)</f>
        <v>0</v>
      </c>
      <c r="O1275" s="14">
        <f ca="1">IF(TOTALCO!O404="", "",TOTALCO!O404)</f>
        <v>0</v>
      </c>
      <c r="P1275" s="14">
        <f ca="1">IF(TOTALCO!P404="", "",TOTALCO!P404)</f>
        <v>0</v>
      </c>
      <c r="Q1275" s="14"/>
    </row>
    <row r="1276" spans="1:17" ht="15" x14ac:dyDescent="0.2">
      <c r="A1276" s="382">
        <f>IF(TOTALCO!A405="", "",TOTALCO!A405)</f>
        <v>38</v>
      </c>
      <c r="B1276" s="4" t="str">
        <f>IF(TOTALCO!B405="", "",TOTALCO!B405)</f>
        <v>TOT ACCT 373-STREET LIGHTING</v>
      </c>
      <c r="C1276" s="4" t="str">
        <f>IF(TOTALCO!C405="", "",TOTALCO!C405)</f>
        <v>PLT373TOT</v>
      </c>
      <c r="D1276" s="14">
        <f ca="1">IF(TOTALCO!D405="", "",TOTALCO!D405)</f>
        <v>0.99999999999999989</v>
      </c>
      <c r="E1276" s="14" t="str">
        <f>IF(TOTALCO!E405="", "",TOTALCO!E405)</f>
        <v/>
      </c>
      <c r="F1276" s="14">
        <f ca="1">IF(TOTALCO!F405="", "",TOTALCO!F405)</f>
        <v>0.9754421211622113</v>
      </c>
      <c r="G1276" s="14" t="str">
        <f>IF(TOTALCO!G405="", "",TOTALCO!G405)</f>
        <v/>
      </c>
      <c r="H1276" s="14">
        <f ca="1">IF(TOTALCO!H405="", "",TOTALCO!H405)</f>
        <v>2.4557878837788618E-2</v>
      </c>
      <c r="I1276" s="14">
        <f ca="1">IF(TOTALCO!I405="", "",TOTALCO!I405)</f>
        <v>0</v>
      </c>
      <c r="J1276" s="14" t="str">
        <f>IF(TOTALCO!J405="", "",TOTALCO!J405)</f>
        <v/>
      </c>
      <c r="K1276" s="14" t="str">
        <f>IF(TOTALCO!K405="", "",TOTALCO!K405)</f>
        <v/>
      </c>
      <c r="L1276" s="14">
        <f ca="1">IF(TOTALCO!L405="", "",TOTALCO!L405)</f>
        <v>0</v>
      </c>
      <c r="M1276" s="14" t="str">
        <f>IF(TOTALCO!M405="", "",TOTALCO!M405)</f>
        <v/>
      </c>
      <c r="N1276" s="14">
        <f ca="1">IF(TOTALCO!N405="", "",TOTALCO!N405)</f>
        <v>0</v>
      </c>
      <c r="O1276" s="14">
        <f ca="1">IF(TOTALCO!O405="", "",TOTALCO!O405)</f>
        <v>0</v>
      </c>
      <c r="P1276" s="14">
        <f ca="1">IF(TOTALCO!P405="", "",TOTALCO!P405)</f>
        <v>0</v>
      </c>
      <c r="Q1276" s="14"/>
    </row>
    <row r="1277" spans="1:17" ht="15" x14ac:dyDescent="0.2">
      <c r="A1277" s="382">
        <f>IF(TOTALCO!A406="", "",TOTALCO!A406)</f>
        <v>39</v>
      </c>
      <c r="B1277" s="4" t="str">
        <f>IF(TOTALCO!B406="", "",TOTALCO!B406)</f>
        <v>TOTAL ACCT 370-METERS</v>
      </c>
      <c r="C1277" s="4" t="str">
        <f>IF(TOTALCO!C406="", "",TOTALCO!C406)</f>
        <v>PLT370TOT</v>
      </c>
      <c r="D1277" s="14">
        <f ca="1">IF(TOTALCO!D406="", "",TOTALCO!D406)</f>
        <v>0.99999999999999989</v>
      </c>
      <c r="E1277" s="14" t="str">
        <f>IF(TOTALCO!E406="", "",TOTALCO!E406)</f>
        <v/>
      </c>
      <c r="F1277" s="14">
        <f ca="1">IF(TOTALCO!F406="", "",TOTALCO!F406)</f>
        <v>0.94426776846942062</v>
      </c>
      <c r="G1277" s="14" t="str">
        <f>IF(TOTALCO!G406="", "",TOTALCO!G406)</f>
        <v/>
      </c>
      <c r="H1277" s="14">
        <f ca="1">IF(TOTALCO!H406="", "",TOTALCO!H406)</f>
        <v>5.128860013544205E-2</v>
      </c>
      <c r="I1277" s="14">
        <f ca="1">IF(TOTALCO!I406="", "",TOTALCO!I406)</f>
        <v>4.4436313951373013E-3</v>
      </c>
      <c r="J1277" s="14" t="str">
        <f>IF(TOTALCO!J406="", "",TOTALCO!J406)</f>
        <v/>
      </c>
      <c r="K1277" s="14" t="str">
        <f>IF(TOTALCO!K406="", "",TOTALCO!K406)</f>
        <v/>
      </c>
      <c r="L1277" s="14">
        <f ca="1">IF(TOTALCO!L406="", "",TOTALCO!L406)</f>
        <v>1.5662184718989615E-6</v>
      </c>
      <c r="M1277" s="14" t="str">
        <f>IF(TOTALCO!M406="", "",TOTALCO!M406)</f>
        <v/>
      </c>
      <c r="N1277" s="14">
        <f ca="1">IF(TOTALCO!N406="", "",TOTALCO!N406)</f>
        <v>4.4420651766654022E-3</v>
      </c>
      <c r="O1277" s="14">
        <f ca="1">IF(TOTALCO!O406="", "",TOTALCO!O406)</f>
        <v>9.4343936058004566E-4</v>
      </c>
      <c r="P1277" s="14">
        <f ca="1">IF(TOTALCO!P406="", "",TOTALCO!P406)</f>
        <v>3.4986258160853568E-3</v>
      </c>
      <c r="Q1277" s="14"/>
    </row>
    <row r="1278" spans="1:17" ht="15" x14ac:dyDescent="0.2">
      <c r="A1278" s="382">
        <f>IF(TOTALCO!A407="", "",TOTALCO!A407)</f>
        <v>40</v>
      </c>
      <c r="B1278" s="4" t="str">
        <f>IF(TOTALCO!B407="", "",TOTALCO!B407)</f>
        <v>TOT ACCT 371-CUSTOMER INSTALL</v>
      </c>
      <c r="C1278" s="4" t="str">
        <f>IF(TOTALCO!C407="", "",TOTALCO!C407)</f>
        <v>PLT371TOT</v>
      </c>
      <c r="D1278" s="14">
        <f ca="1">IF(TOTALCO!D407="", "",TOTALCO!D407)</f>
        <v>1</v>
      </c>
      <c r="E1278" s="14" t="str">
        <f>IF(TOTALCO!E407="", "",TOTALCO!E407)</f>
        <v/>
      </c>
      <c r="F1278" s="14">
        <f ca="1">IF(TOTALCO!F407="", "",TOTALCO!F407)</f>
        <v>0.95305385619704963</v>
      </c>
      <c r="G1278" s="14" t="str">
        <f>IF(TOTALCO!G407="", "",TOTALCO!G407)</f>
        <v/>
      </c>
      <c r="H1278" s="14">
        <f ca="1">IF(TOTALCO!H407="", "",TOTALCO!H407)</f>
        <v>4.694614380295032E-2</v>
      </c>
      <c r="I1278" s="14">
        <f ca="1">IF(TOTALCO!I407="", "",TOTALCO!I407)</f>
        <v>0</v>
      </c>
      <c r="J1278" s="14" t="str">
        <f>IF(TOTALCO!J407="", "",TOTALCO!J407)</f>
        <v/>
      </c>
      <c r="K1278" s="14" t="str">
        <f>IF(TOTALCO!K407="", "",TOTALCO!K407)</f>
        <v/>
      </c>
      <c r="L1278" s="14">
        <f ca="1">IF(TOTALCO!L407="", "",TOTALCO!L407)</f>
        <v>0</v>
      </c>
      <c r="M1278" s="14" t="str">
        <f>IF(TOTALCO!M407="", "",TOTALCO!M407)</f>
        <v/>
      </c>
      <c r="N1278" s="14">
        <f ca="1">IF(TOTALCO!N407="", "",TOTALCO!N407)</f>
        <v>0</v>
      </c>
      <c r="O1278" s="14">
        <f ca="1">IF(TOTALCO!O407="", "",TOTALCO!O407)</f>
        <v>0</v>
      </c>
      <c r="P1278" s="14">
        <f ca="1">IF(TOTALCO!P407="", "",TOTALCO!P407)</f>
        <v>0</v>
      </c>
      <c r="Q1278" s="14"/>
    </row>
    <row r="1279" spans="1:17" ht="15" x14ac:dyDescent="0.2">
      <c r="A1279" s="382">
        <f>IF(TOTALCO!A408="", "",TOTALCO!A408)</f>
        <v>41</v>
      </c>
      <c r="B1279" s="4" t="str">
        <f>IF(TOTALCO!B408="", "",TOTALCO!B408)</f>
        <v>TOT ACCT 368-LINE TRANSFORMER</v>
      </c>
      <c r="C1279" s="4" t="str">
        <f>IF(TOTALCO!C408="", "",TOTALCO!C408)</f>
        <v>PLT368TOT</v>
      </c>
      <c r="D1279" s="14">
        <f ca="1">IF(TOTALCO!D408="", "",TOTALCO!D408)</f>
        <v>1</v>
      </c>
      <c r="E1279" s="14" t="str">
        <f>IF(TOTALCO!E408="", "",TOTALCO!E408)</f>
        <v/>
      </c>
      <c r="F1279" s="14">
        <f ca="1">IF(TOTALCO!F408="", "",TOTALCO!F408)</f>
        <v>0.94947088441247773</v>
      </c>
      <c r="G1279" s="14" t="str">
        <f>IF(TOTALCO!G408="", "",TOTALCO!G408)</f>
        <v/>
      </c>
      <c r="H1279" s="14">
        <f ca="1">IF(TOTALCO!H408="", "",TOTALCO!H408)</f>
        <v>4.8702040580990445E-2</v>
      </c>
      <c r="I1279" s="14">
        <f ca="1">IF(TOTALCO!I408="", "",TOTALCO!I408)</f>
        <v>1.8270750065318023E-3</v>
      </c>
      <c r="J1279" s="14" t="str">
        <f>IF(TOTALCO!J408="", "",TOTALCO!J408)</f>
        <v/>
      </c>
      <c r="K1279" s="14" t="str">
        <f>IF(TOTALCO!K408="", "",TOTALCO!K408)</f>
        <v/>
      </c>
      <c r="L1279" s="14">
        <f ca="1">IF(TOTALCO!L408="", "",TOTALCO!L408)</f>
        <v>1.0829470171484312E-5</v>
      </c>
      <c r="M1279" s="14" t="str">
        <f>IF(TOTALCO!M408="", "",TOTALCO!M408)</f>
        <v/>
      </c>
      <c r="N1279" s="14">
        <f ca="1">IF(TOTALCO!N408="", "",TOTALCO!N408)</f>
        <v>1.8162455363603179E-3</v>
      </c>
      <c r="O1279" s="14">
        <f ca="1">IF(TOTALCO!O408="", "",TOTALCO!O408)</f>
        <v>5.6671468961919113E-4</v>
      </c>
      <c r="P1279" s="14">
        <f ca="1">IF(TOTALCO!P408="", "",TOTALCO!P408)</f>
        <v>1.2495308467411269E-3</v>
      </c>
      <c r="Q1279" s="14"/>
    </row>
    <row r="1280" spans="1:17" ht="15" x14ac:dyDescent="0.2">
      <c r="A1280" s="382">
        <f>IF(TOTALCO!A409="", "",TOTALCO!A409)</f>
        <v>42</v>
      </c>
      <c r="B1280" s="4" t="str">
        <f>IF(TOTALCO!B409="", "",TOTALCO!B409)</f>
        <v>TOT ACCT 902-904 CUST ACCTS</v>
      </c>
      <c r="C1280" s="4" t="str">
        <f>IF(TOTALCO!C409="", "",TOTALCO!C409)</f>
        <v>EXP9024CA</v>
      </c>
      <c r="D1280" s="14">
        <f ca="1">IF(TOTALCO!D409="", "",TOTALCO!D409)</f>
        <v>1</v>
      </c>
      <c r="E1280" s="14" t="str">
        <f>IF(TOTALCO!E409="", "",TOTALCO!E409)</f>
        <v/>
      </c>
      <c r="F1280" s="14">
        <f ca="1">IF(TOTALCO!F409="", "",TOTALCO!F409)</f>
        <v>0.94610805683145505</v>
      </c>
      <c r="G1280" s="14" t="str">
        <f>IF(TOTALCO!G409="", "",TOTALCO!G409)</f>
        <v/>
      </c>
      <c r="H1280" s="14">
        <f ca="1">IF(TOTALCO!H409="", "",TOTALCO!H409)</f>
        <v>5.2647634542542641E-2</v>
      </c>
      <c r="I1280" s="14">
        <f ca="1">IF(TOTALCO!I409="", "",TOTALCO!I409)</f>
        <v>1.2443086260023042E-3</v>
      </c>
      <c r="J1280" s="14" t="str">
        <f>IF(TOTALCO!J409="", "",TOTALCO!J409)</f>
        <v/>
      </c>
      <c r="K1280" s="14" t="str">
        <f>IF(TOTALCO!K409="", "",TOTALCO!K409)</f>
        <v/>
      </c>
      <c r="L1280" s="14">
        <f ca="1">IF(TOTALCO!L409="", "",TOTALCO!L409)</f>
        <v>9.3657638516302438E-6</v>
      </c>
      <c r="M1280" s="14" t="str">
        <f>IF(TOTALCO!M409="", "",TOTALCO!M409)</f>
        <v/>
      </c>
      <c r="N1280" s="14">
        <f ca="1">IF(TOTALCO!N409="", "",TOTALCO!N409)</f>
        <v>1.2349428621506739E-3</v>
      </c>
      <c r="O1280" s="14">
        <f ca="1">IF(TOTALCO!O409="", "",TOTALCO!O409)</f>
        <v>6.6095533467219162E-4</v>
      </c>
      <c r="P1280" s="14">
        <f ca="1">IF(TOTALCO!P409="", "",TOTALCO!P409)</f>
        <v>5.739875274784822E-4</v>
      </c>
      <c r="Q1280" s="14"/>
    </row>
    <row r="1281" spans="1:17" ht="15" x14ac:dyDescent="0.2">
      <c r="A1281" s="382">
        <f>IF(TOTALCO!A410="", "",TOTALCO!A410)</f>
        <v>43</v>
      </c>
      <c r="B1281" s="4" t="str">
        <f>IF(TOTALCO!B410="", "",TOTALCO!B410)</f>
        <v>TOT ACCT 908-909 CUST SERV</v>
      </c>
      <c r="C1281" s="4" t="str">
        <f>IF(TOTALCO!C410="", "",TOTALCO!C410)</f>
        <v>EXP9089CS</v>
      </c>
      <c r="D1281" s="14">
        <f ca="1">IF(TOTALCO!D410="", "",TOTALCO!D410)</f>
        <v>1</v>
      </c>
      <c r="E1281" s="14" t="str">
        <f>IF(TOTALCO!E410="", "",TOTALCO!E410)</f>
        <v/>
      </c>
      <c r="F1281" s="14">
        <f ca="1">IF(TOTALCO!F410="", "",TOTALCO!F410)</f>
        <v>0.99938589165001168</v>
      </c>
      <c r="G1281" s="14" t="str">
        <f>IF(TOTALCO!G410="", "",TOTALCO!G410)</f>
        <v/>
      </c>
      <c r="H1281" s="14">
        <f ca="1">IF(TOTALCO!H410="", "",TOTALCO!H410)</f>
        <v>6.1402411882548777E-4</v>
      </c>
      <c r="I1281" s="14">
        <f ca="1">IF(TOTALCO!I410="", "",TOTALCO!I410)</f>
        <v>8.4231162773138706E-8</v>
      </c>
      <c r="J1281" s="14" t="str">
        <f>IF(TOTALCO!J410="", "",TOTALCO!J410)</f>
        <v/>
      </c>
      <c r="K1281" s="14" t="str">
        <f>IF(TOTALCO!K410="", "",TOTALCO!K410)</f>
        <v/>
      </c>
      <c r="L1281" s="14">
        <f ca="1">IF(TOTALCO!L410="", "",TOTALCO!L410)</f>
        <v>8.4231162773138706E-8</v>
      </c>
      <c r="M1281" s="14" t="str">
        <f>IF(TOTALCO!M410="", "",TOTALCO!M410)</f>
        <v/>
      </c>
      <c r="N1281" s="14">
        <f ca="1">IF(TOTALCO!N410="", "",TOTALCO!N410)</f>
        <v>0</v>
      </c>
      <c r="O1281" s="14">
        <f ca="1">IF(TOTALCO!O410="", "",TOTALCO!O410)</f>
        <v>0</v>
      </c>
      <c r="P1281" s="14">
        <f ca="1">IF(TOTALCO!P410="", "",TOTALCO!P410)</f>
        <v>0</v>
      </c>
      <c r="Q1281" s="14"/>
    </row>
    <row r="1282" spans="1:17" ht="15" x14ac:dyDescent="0.2">
      <c r="A1282" s="382">
        <f>IF(TOTALCO!A411="", "",TOTALCO!A411)</f>
        <v>44</v>
      </c>
      <c r="B1282" s="4" t="str">
        <f>IF(TOTALCO!B411="", "",TOTALCO!B411)</f>
        <v>TOTAL TRANS &amp; DISTRIB PLANT</v>
      </c>
      <c r="C1282" s="4" t="str">
        <f>IF(TOTALCO!C411="", "",TOTALCO!C411)</f>
        <v>TRDSPLT</v>
      </c>
      <c r="D1282" s="14">
        <f ca="1">IF(TOTALCO!D411="", "",TOTALCO!D411)</f>
        <v>0.99999999999999989</v>
      </c>
      <c r="E1282" s="14" t="str">
        <f>IF(TOTALCO!E411="", "",TOTALCO!E411)</f>
        <v/>
      </c>
      <c r="F1282" s="14">
        <f ca="1">IF(TOTALCO!F411="", "",TOTALCO!F411)</f>
        <v>0.8968667127582669</v>
      </c>
      <c r="G1282" s="14" t="str">
        <f>IF(TOTALCO!G411="", "",TOTALCO!G411)</f>
        <v/>
      </c>
      <c r="H1282" s="14">
        <f ca="1">IF(TOTALCO!H411="", "",TOTALCO!H411)</f>
        <v>7.4726873843453681E-2</v>
      </c>
      <c r="I1282" s="14">
        <f ca="1">IF(TOTALCO!I411="", "",TOTALCO!I411)</f>
        <v>2.8406413398279325E-2</v>
      </c>
      <c r="J1282" s="14" t="str">
        <f>IF(TOTALCO!J411="", "",TOTALCO!J411)</f>
        <v/>
      </c>
      <c r="K1282" s="14" t="str">
        <f>IF(TOTALCO!K411="", "",TOTALCO!K411)</f>
        <v/>
      </c>
      <c r="L1282" s="14">
        <f ca="1">IF(TOTALCO!L411="", "",TOTALCO!L411)</f>
        <v>7.9355491597343238E-5</v>
      </c>
      <c r="M1282" s="14" t="str">
        <f>IF(TOTALCO!M411="", "",TOTALCO!M411)</f>
        <v/>
      </c>
      <c r="N1282" s="14">
        <f ca="1">IF(TOTALCO!N411="", "",TOTALCO!N411)</f>
        <v>2.8327057906681982E-2</v>
      </c>
      <c r="O1282" s="14">
        <f ca="1">IF(TOTALCO!O411="", "",TOTALCO!O411)</f>
        <v>9.9642718118727516E-3</v>
      </c>
      <c r="P1282" s="14">
        <f ca="1">IF(TOTALCO!P411="", "",TOTALCO!P411)</f>
        <v>1.8362786094809232E-2</v>
      </c>
      <c r="Q1282" s="14"/>
    </row>
    <row r="1283" spans="1:17" ht="15" x14ac:dyDescent="0.2">
      <c r="A1283" s="382" t="str">
        <f>IF(TOTALCO!A413="", "",TOTALCO!A413)</f>
        <v/>
      </c>
      <c r="B1283" s="4" t="str">
        <f>IF(TOTALCO!B413="", "",TOTALCO!B413)</f>
        <v>INTERNALLY DEVELOPED-CON'T</v>
      </c>
      <c r="C1283" s="4" t="str">
        <f>IF(TOTALCO!C413="", "",TOTALCO!C413)</f>
        <v/>
      </c>
      <c r="D1283" s="14" t="str">
        <f>IF(TOTALCO!D413="", "",TOTALCO!D413)</f>
        <v/>
      </c>
      <c r="E1283" s="14" t="str">
        <f>IF(TOTALCO!E413="", "",TOTALCO!E413)</f>
        <v/>
      </c>
      <c r="F1283" s="14" t="str">
        <f>IF(TOTALCO!F413="", "",TOTALCO!F413)</f>
        <v/>
      </c>
      <c r="G1283" s="14" t="str">
        <f>IF(TOTALCO!G413="", "",TOTALCO!G413)</f>
        <v/>
      </c>
      <c r="H1283" s="14" t="str">
        <f>IF(TOTALCO!H413="", "",TOTALCO!H413)</f>
        <v/>
      </c>
      <c r="I1283" s="14" t="str">
        <f>IF(TOTALCO!I413="", "",TOTALCO!I413)</f>
        <v/>
      </c>
      <c r="J1283" s="14" t="str">
        <f>IF(TOTALCO!J413="", "",TOTALCO!J413)</f>
        <v/>
      </c>
      <c r="K1283" s="14" t="str">
        <f>IF(TOTALCO!K413="", "",TOTALCO!K413)</f>
        <v/>
      </c>
      <c r="L1283" s="14" t="str">
        <f>IF(TOTALCO!L413="", "",TOTALCO!L413)</f>
        <v/>
      </c>
      <c r="M1283" s="14" t="str">
        <f>IF(TOTALCO!M413="", "",TOTALCO!M413)</f>
        <v/>
      </c>
      <c r="N1283" s="14" t="str">
        <f>IF(TOTALCO!N413="", "",TOTALCO!N413)</f>
        <v/>
      </c>
      <c r="O1283" s="14" t="str">
        <f>IF(TOTALCO!O413="", "",TOTALCO!O413)</f>
        <v/>
      </c>
      <c r="P1283" s="14" t="str">
        <f>IF(TOTALCO!P413="", "",TOTALCO!P413)</f>
        <v/>
      </c>
      <c r="Q1283" s="14"/>
    </row>
    <row r="1284" spans="1:17" ht="15" x14ac:dyDescent="0.2">
      <c r="A1284" s="382" t="str">
        <f>IF(TOTALCO!A414="", "",TOTALCO!A414)</f>
        <v/>
      </c>
      <c r="B1284" s="4" t="str">
        <f>IF(TOTALCO!B414="", "",TOTALCO!B414)</f>
        <v>-</v>
      </c>
      <c r="C1284" s="4" t="str">
        <f>IF(TOTALCO!C414="", "",TOTALCO!C414)</f>
        <v/>
      </c>
      <c r="D1284" s="14" t="str">
        <f>IF(TOTALCO!D414="", "",TOTALCO!D414)</f>
        <v/>
      </c>
      <c r="E1284" s="14" t="str">
        <f>IF(TOTALCO!E414="", "",TOTALCO!E414)</f>
        <v/>
      </c>
      <c r="F1284" s="14" t="str">
        <f>IF(TOTALCO!F414="", "",TOTALCO!F414)</f>
        <v/>
      </c>
      <c r="G1284" s="14" t="str">
        <f>IF(TOTALCO!G414="", "",TOTALCO!G414)</f>
        <v/>
      </c>
      <c r="H1284" s="14" t="str">
        <f>IF(TOTALCO!H414="", "",TOTALCO!H414)</f>
        <v/>
      </c>
      <c r="I1284" s="14" t="str">
        <f>IF(TOTALCO!I414="", "",TOTALCO!I414)</f>
        <v/>
      </c>
      <c r="J1284" s="14" t="str">
        <f>IF(TOTALCO!J414="", "",TOTALCO!J414)</f>
        <v/>
      </c>
      <c r="K1284" s="14" t="str">
        <f>IF(TOTALCO!K414="", "",TOTALCO!K414)</f>
        <v/>
      </c>
      <c r="L1284" s="14" t="str">
        <f>IF(TOTALCO!L414="", "",TOTALCO!L414)</f>
        <v/>
      </c>
      <c r="M1284" s="14" t="str">
        <f>IF(TOTALCO!M414="", "",TOTALCO!M414)</f>
        <v/>
      </c>
      <c r="N1284" s="14" t="str">
        <f>IF(TOTALCO!N414="", "",TOTALCO!N414)</f>
        <v/>
      </c>
      <c r="O1284" s="14" t="str">
        <f>IF(TOTALCO!O414="", "",TOTALCO!O414)</f>
        <v/>
      </c>
      <c r="P1284" s="14" t="str">
        <f>IF(TOTALCO!P414="", "",TOTALCO!P414)</f>
        <v/>
      </c>
      <c r="Q1284" s="14"/>
    </row>
    <row r="1285" spans="1:17" ht="15" x14ac:dyDescent="0.2">
      <c r="A1285" s="382">
        <f>IF(TOTALCO!A415="", "",TOTALCO!A415)</f>
        <v>1</v>
      </c>
      <c r="B1285" s="4" t="str">
        <f>IF(TOTALCO!B415="", "",TOTALCO!B415)</f>
        <v>TOT ACCT 912-913 SALES EXP</v>
      </c>
      <c r="C1285" s="4" t="str">
        <f>IF(TOTALCO!C415="", "",TOTALCO!C415)</f>
        <v>EXP9123SA</v>
      </c>
      <c r="D1285" s="14">
        <f ca="1">IF(TOTALCO!D415="", "",TOTALCO!D415)</f>
        <v>0.99999999999999989</v>
      </c>
      <c r="E1285" s="14" t="str">
        <f>IF(TOTALCO!E415="", "",TOTALCO!E415)</f>
        <v/>
      </c>
      <c r="F1285" s="14">
        <f ca="1">IF(TOTALCO!F415="", "",TOTALCO!F415)</f>
        <v>0.94596923008515077</v>
      </c>
      <c r="G1285" s="14" t="str">
        <f>IF(TOTALCO!G415="", "",TOTALCO!G415)</f>
        <v/>
      </c>
      <c r="H1285" s="14">
        <f ca="1">IF(TOTALCO!H415="", "",TOTALCO!H415)</f>
        <v>5.4023359049037684E-2</v>
      </c>
      <c r="I1285" s="14">
        <f ca="1">IF(TOTALCO!I415="", "",TOTALCO!I415)</f>
        <v>7.4108658114527512E-6</v>
      </c>
      <c r="J1285" s="14" t="str">
        <f>IF(TOTALCO!J415="", "",TOTALCO!J415)</f>
        <v/>
      </c>
      <c r="K1285" s="14" t="str">
        <f>IF(TOTALCO!K415="", "",TOTALCO!K415)</f>
        <v/>
      </c>
      <c r="L1285" s="14">
        <f ca="1">IF(TOTALCO!L415="", "",TOTALCO!L415)</f>
        <v>7.4108658114527512E-6</v>
      </c>
      <c r="M1285" s="14" t="str">
        <f>IF(TOTALCO!M415="", "",TOTALCO!M415)</f>
        <v/>
      </c>
      <c r="N1285" s="14">
        <f ca="1">IF(TOTALCO!N415="", "",TOTALCO!N415)</f>
        <v>0</v>
      </c>
      <c r="O1285" s="14">
        <f ca="1">IF(TOTALCO!O415="", "",TOTALCO!O415)</f>
        <v>0</v>
      </c>
      <c r="P1285" s="14">
        <f ca="1">IF(TOTALCO!P415="", "",TOTALCO!P415)</f>
        <v>0</v>
      </c>
      <c r="Q1285" s="14"/>
    </row>
    <row r="1286" spans="1:17" ht="15" x14ac:dyDescent="0.2">
      <c r="A1286" s="382">
        <f>IF(TOTALCO!A416="", "",TOTALCO!A416)</f>
        <v>2</v>
      </c>
      <c r="B1286" s="4" t="str">
        <f>IF(TOTALCO!B416="", "",TOTALCO!B416)</f>
        <v>REVENUE SALE OF ELECT-FERC</v>
      </c>
      <c r="C1286" s="4" t="str">
        <f>IF(TOTALCO!C416="", "",TOTALCO!C416)</f>
        <v>REVFERC</v>
      </c>
      <c r="D1286" s="14">
        <f ca="1">IF(TOTALCO!D416="", "",TOTALCO!D416)</f>
        <v>1</v>
      </c>
      <c r="E1286" s="14" t="str">
        <f>IF(TOTALCO!E416="", "",TOTALCO!E416)</f>
        <v/>
      </c>
      <c r="F1286" s="14">
        <f>IF(TOTALCO!F416="", "",TOTALCO!F416)</f>
        <v>0</v>
      </c>
      <c r="G1286" s="14" t="str">
        <f>IF(TOTALCO!G416="", "",TOTALCO!G416)</f>
        <v/>
      </c>
      <c r="H1286" s="14">
        <f>IF(TOTALCO!H416="", "",TOTALCO!H416)</f>
        <v>0</v>
      </c>
      <c r="I1286" s="14">
        <f ca="1">IF(TOTALCO!I416="", "",TOTALCO!I416)</f>
        <v>1</v>
      </c>
      <c r="J1286" s="14" t="str">
        <f>IF(TOTALCO!J416="", "",TOTALCO!J416)</f>
        <v/>
      </c>
      <c r="K1286" s="14" t="str">
        <f>IF(TOTALCO!K416="", "",TOTALCO!K416)</f>
        <v/>
      </c>
      <c r="L1286" s="14">
        <f>IF(TOTALCO!L416="", "",TOTALCO!L416)</f>
        <v>0</v>
      </c>
      <c r="M1286" s="14" t="str">
        <f>IF(TOTALCO!M416="", "",TOTALCO!M416)</f>
        <v/>
      </c>
      <c r="N1286" s="14">
        <f ca="1">IF(TOTALCO!N416="", "",TOTALCO!N416)</f>
        <v>1</v>
      </c>
      <c r="O1286" s="14">
        <f ca="1">IF(TOTALCO!O416="", "",TOTALCO!O416)</f>
        <v>0.32396730421988212</v>
      </c>
      <c r="P1286" s="14">
        <f ca="1">IF(TOTALCO!P416="", "",TOTALCO!P416)</f>
        <v>0.67603269578011782</v>
      </c>
      <c r="Q1286" s="14"/>
    </row>
    <row r="1287" spans="1:17" ht="15" x14ac:dyDescent="0.2">
      <c r="A1287" s="382">
        <f>IF(TOTALCO!A417="", "",TOTALCO!A417)</f>
        <v>3</v>
      </c>
      <c r="B1287" s="4" t="str">
        <f>IF(TOTALCO!B417="", "",TOTALCO!B417)</f>
        <v>REVENUE SALE OF ELECT-VA</v>
      </c>
      <c r="C1287" s="4" t="str">
        <f>IF(TOTALCO!C417="", "",TOTALCO!C417)</f>
        <v>REVVA</v>
      </c>
      <c r="D1287" s="14">
        <f ca="1">IF(TOTALCO!D417="", "",TOTALCO!D417)</f>
        <v>1</v>
      </c>
      <c r="E1287" s="14" t="str">
        <f>IF(TOTALCO!E417="", "",TOTALCO!E417)</f>
        <v/>
      </c>
      <c r="F1287" s="14">
        <f>IF(TOTALCO!F417="", "",TOTALCO!F417)</f>
        <v>0</v>
      </c>
      <c r="G1287" s="14" t="str">
        <f>IF(TOTALCO!G417="", "",TOTALCO!G417)</f>
        <v/>
      </c>
      <c r="H1287" s="14">
        <f ca="1">IF(TOTALCO!H417="", "",TOTALCO!H417)</f>
        <v>1</v>
      </c>
      <c r="I1287" s="14">
        <f>IF(TOTALCO!I417="", "",TOTALCO!I417)</f>
        <v>0</v>
      </c>
      <c r="J1287" s="14" t="str">
        <f>IF(TOTALCO!J417="", "",TOTALCO!J417)</f>
        <v/>
      </c>
      <c r="K1287" s="14" t="str">
        <f>IF(TOTALCO!K417="", "",TOTALCO!K417)</f>
        <v/>
      </c>
      <c r="L1287" s="14">
        <f>IF(TOTALCO!L417="", "",TOTALCO!L417)</f>
        <v>0</v>
      </c>
      <c r="M1287" s="14" t="str">
        <f>IF(TOTALCO!M417="", "",TOTALCO!M417)</f>
        <v/>
      </c>
      <c r="N1287" s="14">
        <f>IF(TOTALCO!N417="", "",TOTALCO!N417)</f>
        <v>0</v>
      </c>
      <c r="O1287" s="14">
        <f>IF(TOTALCO!O417="", "",TOTALCO!O417)</f>
        <v>0</v>
      </c>
      <c r="P1287" s="14">
        <f>IF(TOTALCO!P417="", "",TOTALCO!P417)</f>
        <v>0</v>
      </c>
      <c r="Q1287" s="14"/>
    </row>
    <row r="1288" spans="1:17" ht="15" x14ac:dyDescent="0.2">
      <c r="A1288" s="382">
        <f>IF(TOTALCO!A418="", "",TOTALCO!A418)</f>
        <v>4</v>
      </c>
      <c r="B1288" s="4" t="str">
        <f>IF(TOTALCO!B418="", "",TOTALCO!B418)</f>
        <v>REVENUE SALE OF ELECT</v>
      </c>
      <c r="C1288" s="4" t="str">
        <f>IF(TOTALCO!C418="", "",TOTALCO!C418)</f>
        <v>REVENUE</v>
      </c>
      <c r="D1288" s="14">
        <f ca="1">IF(TOTALCO!D418="", "",TOTALCO!D418)</f>
        <v>0.99999999999999978</v>
      </c>
      <c r="E1288" s="14" t="str">
        <f>IF(TOTALCO!E418="", "",TOTALCO!E418)</f>
        <v/>
      </c>
      <c r="F1288" s="14">
        <f ca="1">IF(TOTALCO!F418="", "",TOTALCO!F418)</f>
        <v>0.88248752085399407</v>
      </c>
      <c r="G1288" s="14" t="str">
        <f>IF(TOTALCO!G418="", "",TOTALCO!G418)</f>
        <v/>
      </c>
      <c r="H1288" s="14">
        <f ca="1">IF(TOTALCO!H418="", "",TOTALCO!H418)</f>
        <v>4.9900835606383739E-2</v>
      </c>
      <c r="I1288" s="14">
        <f ca="1">IF(TOTALCO!I418="", "",TOTALCO!I418)</f>
        <v>6.7611643539622027E-2</v>
      </c>
      <c r="J1288" s="14" t="str">
        <f>IF(TOTALCO!J418="", "",TOTALCO!J418)</f>
        <v/>
      </c>
      <c r="K1288" s="14" t="str">
        <f>IF(TOTALCO!K418="", "",TOTALCO!K418)</f>
        <v/>
      </c>
      <c r="L1288" s="14">
        <f ca="1">IF(TOTALCO!L418="", "",TOTALCO!L418)</f>
        <v>4.1521505971169084E-6</v>
      </c>
      <c r="M1288" s="14" t="str">
        <f>IF(TOTALCO!M418="", "",TOTALCO!M418)</f>
        <v/>
      </c>
      <c r="N1288" s="14">
        <f ca="1">IF(TOTALCO!N418="", "",TOTALCO!N418)</f>
        <v>6.7607491389024915E-2</v>
      </c>
      <c r="O1288" s="14">
        <f ca="1">IF(TOTALCO!O418="", "",TOTALCO!O418)</f>
        <v>2.1902616730371294E-2</v>
      </c>
      <c r="P1288" s="14">
        <f ca="1">IF(TOTALCO!P418="", "",TOTALCO!P418)</f>
        <v>4.5704874658653617E-2</v>
      </c>
      <c r="Q1288" s="14"/>
    </row>
    <row r="1289" spans="1:17" ht="15" x14ac:dyDescent="0.2">
      <c r="A1289" s="382">
        <f>IF(TOTALCO!A419="", "",TOTALCO!A419)</f>
        <v>5</v>
      </c>
      <c r="B1289" s="4" t="str">
        <f>IF(TOTALCO!B419="", "",TOTALCO!B419)</f>
        <v>REV SALE OF ELECT-VA NON JUR</v>
      </c>
      <c r="C1289" s="4" t="str">
        <f>IF(TOTALCO!C419="", "",TOTALCO!C419)</f>
        <v>REVNJVA</v>
      </c>
      <c r="D1289" s="14">
        <f>IF(TOTALCO!D419="", "",TOTALCO!D419)</f>
        <v>1</v>
      </c>
      <c r="E1289" s="14" t="str">
        <f>IF(TOTALCO!E419="", "",TOTALCO!E419)</f>
        <v/>
      </c>
      <c r="F1289" s="14">
        <f>IF(TOTALCO!F419="", "",TOTALCO!F419)</f>
        <v>0</v>
      </c>
      <c r="G1289" s="14" t="str">
        <f>IF(TOTALCO!G419="", "",TOTALCO!G419)</f>
        <v/>
      </c>
      <c r="H1289" s="14">
        <f>IF(TOTALCO!H419="", "",TOTALCO!H419)</f>
        <v>1</v>
      </c>
      <c r="I1289" s="14">
        <f>IF(TOTALCO!I419="", "",TOTALCO!I419)</f>
        <v>0</v>
      </c>
      <c r="J1289" s="14" t="str">
        <f>IF(TOTALCO!J419="", "",TOTALCO!J419)</f>
        <v/>
      </c>
      <c r="K1289" s="14" t="str">
        <f>IF(TOTALCO!K419="", "",TOTALCO!K419)</f>
        <v/>
      </c>
      <c r="L1289" s="14">
        <f>IF(TOTALCO!L419="", "",TOTALCO!L419)</f>
        <v>0</v>
      </c>
      <c r="M1289" s="14" t="str">
        <f>IF(TOTALCO!M419="", "",TOTALCO!M419)</f>
        <v/>
      </c>
      <c r="N1289" s="14">
        <f>IF(TOTALCO!N419="", "",TOTALCO!N419)</f>
        <v>0</v>
      </c>
      <c r="O1289" s="14">
        <f>IF(TOTALCO!O419="", "",TOTALCO!O419)</f>
        <v>0</v>
      </c>
      <c r="P1289" s="14">
        <f>IF(TOTALCO!P419="", "",TOTALCO!P419)</f>
        <v>0</v>
      </c>
      <c r="Q1289" s="14"/>
    </row>
    <row r="1290" spans="1:17" ht="15" x14ac:dyDescent="0.2">
      <c r="A1290" s="382">
        <f>IF(TOTALCO!A420="", "",TOTALCO!A420)</f>
        <v>6</v>
      </c>
      <c r="B1290" s="4" t="str">
        <f>IF(TOTALCO!B420="", "",TOTALCO!B420)</f>
        <v>REV SALE OF ELECT-EXCL FERC</v>
      </c>
      <c r="C1290" s="4" t="str">
        <f>IF(TOTALCO!C420="", "",TOTALCO!C420)</f>
        <v>REVENUEX</v>
      </c>
      <c r="D1290" s="14">
        <f ca="1">IF(TOTALCO!D420="", "",TOTALCO!D420)</f>
        <v>1</v>
      </c>
      <c r="E1290" s="14" t="str">
        <f>IF(TOTALCO!E420="", "",TOTALCO!E420)</f>
        <v/>
      </c>
      <c r="F1290" s="14">
        <f ca="1">IF(TOTALCO!F420="", "",TOTALCO!F420)</f>
        <v>0.94647641707103969</v>
      </c>
      <c r="G1290" s="14" t="str">
        <f>IF(TOTALCO!G420="", "",TOTALCO!G420)</f>
        <v/>
      </c>
      <c r="H1290" s="14">
        <f ca="1">IF(TOTALCO!H420="", "",TOTALCO!H420)</f>
        <v>5.3519129707212204E-2</v>
      </c>
      <c r="I1290" s="14">
        <f ca="1">IF(TOTALCO!I420="", "",TOTALCO!I420)</f>
        <v>4.4532217481053604E-6</v>
      </c>
      <c r="J1290" s="14" t="str">
        <f>IF(TOTALCO!J420="", "",TOTALCO!J420)</f>
        <v/>
      </c>
      <c r="K1290" s="14" t="str">
        <f>IF(TOTALCO!K420="", "",TOTALCO!K420)</f>
        <v/>
      </c>
      <c r="L1290" s="14">
        <f ca="1">IF(TOTALCO!L420="", "",TOTALCO!L420)</f>
        <v>4.4532217481053604E-6</v>
      </c>
      <c r="M1290" s="14" t="str">
        <f>IF(TOTALCO!M420="", "",TOTALCO!M420)</f>
        <v/>
      </c>
      <c r="N1290" s="14">
        <f>IF(TOTALCO!N420="", "",TOTALCO!N420)</f>
        <v>0</v>
      </c>
      <c r="O1290" s="14">
        <f>IF(TOTALCO!O420="", "",TOTALCO!O420)</f>
        <v>0</v>
      </c>
      <c r="P1290" s="14">
        <f>IF(TOTALCO!P420="", "",TOTALCO!P420)</f>
        <v>0</v>
      </c>
      <c r="Q1290" s="14"/>
    </row>
    <row r="1291" spans="1:17" ht="15" x14ac:dyDescent="0.2">
      <c r="A1291" s="382">
        <f>IF(TOTALCO!A421="", "",TOTALCO!A421)</f>
        <v>7</v>
      </c>
      <c r="B1291" s="4" t="str">
        <f>IF(TOTALCO!B421="", "",TOTALCO!B421)</f>
        <v>KENTUCKY DISTRIBUTION PLANT</v>
      </c>
      <c r="C1291" s="4" t="str">
        <f>IF(TOTALCO!C421="", "",TOTALCO!C421)</f>
        <v>KYDIST</v>
      </c>
      <c r="D1291" s="14">
        <f ca="1">IF(TOTALCO!D421="", "",TOTALCO!D421)</f>
        <v>1</v>
      </c>
      <c r="E1291" s="14" t="str">
        <f>IF(TOTALCO!E421="", "",TOTALCO!E421)</f>
        <v/>
      </c>
      <c r="F1291" s="14">
        <f ca="1">IF(TOTALCO!F421="", "",TOTALCO!F421)</f>
        <v>0.99680626274351791</v>
      </c>
      <c r="G1291" s="14" t="str">
        <f>IF(TOTALCO!G421="", "",TOTALCO!G421)</f>
        <v/>
      </c>
      <c r="H1291" s="14">
        <f ca="1">IF(TOTALCO!H421="", "",TOTALCO!H421)</f>
        <v>0</v>
      </c>
      <c r="I1291" s="14">
        <f ca="1">IF(TOTALCO!I421="", "",TOTALCO!I421)</f>
        <v>3.1937372564821327E-3</v>
      </c>
      <c r="J1291" s="14" t="str">
        <f>IF(TOTALCO!J421="", "",TOTALCO!J421)</f>
        <v/>
      </c>
      <c r="K1291" s="14" t="str">
        <f>IF(TOTALCO!K421="", "",TOTALCO!K421)</f>
        <v/>
      </c>
      <c r="L1291" s="14">
        <f ca="1">IF(TOTALCO!L421="", "",TOTALCO!L421)</f>
        <v>0</v>
      </c>
      <c r="M1291" s="14" t="str">
        <f>IF(TOTALCO!M421="", "",TOTALCO!M421)</f>
        <v/>
      </c>
      <c r="N1291" s="14">
        <f ca="1">IF(TOTALCO!N421="", "",TOTALCO!N421)</f>
        <v>3.1937372564821327E-3</v>
      </c>
      <c r="O1291" s="14">
        <f ca="1">IF(TOTALCO!O421="", "",TOTALCO!O421)</f>
        <v>2.7445099805456542E-3</v>
      </c>
      <c r="P1291" s="14">
        <f ca="1">IF(TOTALCO!P421="", "",TOTALCO!P421)</f>
        <v>4.492272759364787E-4</v>
      </c>
      <c r="Q1291" s="14"/>
    </row>
    <row r="1292" spans="1:17" ht="15" x14ac:dyDescent="0.2">
      <c r="A1292" s="382">
        <f>IF(TOTALCO!A422="", "",TOTALCO!A422)</f>
        <v>8</v>
      </c>
      <c r="B1292" s="4" t="str">
        <f>IF(TOTALCO!B422="", "",TOTALCO!B422)</f>
        <v>VIRGINIA DISTRIBUTION PLANT</v>
      </c>
      <c r="C1292" s="4" t="str">
        <f>IF(TOTALCO!C422="", "",TOTALCO!C422)</f>
        <v>VADIST</v>
      </c>
      <c r="D1292" s="14">
        <f ca="1">IF(TOTALCO!D422="", "",TOTALCO!D422)</f>
        <v>1</v>
      </c>
      <c r="E1292" s="14" t="str">
        <f>IF(TOTALCO!E422="", "",TOTALCO!E422)</f>
        <v/>
      </c>
      <c r="F1292" s="14">
        <f ca="1">IF(TOTALCO!F422="", "",TOTALCO!F422)</f>
        <v>0</v>
      </c>
      <c r="G1292" s="14" t="str">
        <f>IF(TOTALCO!G422="", "",TOTALCO!G422)</f>
        <v/>
      </c>
      <c r="H1292" s="14">
        <f ca="1">IF(TOTALCO!H422="", "",TOTALCO!H422)</f>
        <v>1</v>
      </c>
      <c r="I1292" s="14">
        <f ca="1">IF(TOTALCO!I422="", "",TOTALCO!I422)</f>
        <v>0</v>
      </c>
      <c r="J1292" s="14" t="str">
        <f>IF(TOTALCO!J422="", "",TOTALCO!J422)</f>
        <v/>
      </c>
      <c r="K1292" s="14" t="str">
        <f>IF(TOTALCO!K422="", "",TOTALCO!K422)</f>
        <v/>
      </c>
      <c r="L1292" s="14">
        <f ca="1">IF(TOTALCO!L422="", "",TOTALCO!L422)</f>
        <v>0</v>
      </c>
      <c r="M1292" s="14" t="str">
        <f>IF(TOTALCO!M422="", "",TOTALCO!M422)</f>
        <v/>
      </c>
      <c r="N1292" s="14">
        <f ca="1">IF(TOTALCO!N422="", "",TOTALCO!N422)</f>
        <v>0</v>
      </c>
      <c r="O1292" s="14">
        <f ca="1">IF(TOTALCO!O422="", "",TOTALCO!O422)</f>
        <v>0</v>
      </c>
      <c r="P1292" s="14">
        <f ca="1">IF(TOTALCO!P422="", "",TOTALCO!P422)</f>
        <v>0</v>
      </c>
      <c r="Q1292" s="14"/>
    </row>
    <row r="1293" spans="1:17" ht="15" x14ac:dyDescent="0.2">
      <c r="A1293" s="382">
        <f>IF(TOTALCO!A423="", "",TOTALCO!A423)</f>
        <v>9</v>
      </c>
      <c r="B1293" s="4" t="str">
        <f>IF(TOTALCO!B423="", "",TOTALCO!B423)</f>
        <v>TENNESSEE DISTRIBUTION PLT</v>
      </c>
      <c r="C1293" s="4" t="str">
        <f>IF(TOTALCO!C423="", "",TOTALCO!C423)</f>
        <v>TNDIST</v>
      </c>
      <c r="D1293" s="14">
        <f ca="1">IF(TOTALCO!D423="", "",TOTALCO!D423)</f>
        <v>1</v>
      </c>
      <c r="E1293" s="14" t="str">
        <f>IF(TOTALCO!E423="", "",TOTALCO!E423)</f>
        <v/>
      </c>
      <c r="F1293" s="14">
        <f ca="1">IF(TOTALCO!F423="", "",TOTALCO!F423)</f>
        <v>0</v>
      </c>
      <c r="G1293" s="14" t="str">
        <f>IF(TOTALCO!G423="", "",TOTALCO!G423)</f>
        <v/>
      </c>
      <c r="H1293" s="14">
        <f ca="1">IF(TOTALCO!H423="", "",TOTALCO!H423)</f>
        <v>0</v>
      </c>
      <c r="I1293" s="14">
        <f ca="1">IF(TOTALCO!I423="", "",TOTALCO!I423)</f>
        <v>1</v>
      </c>
      <c r="J1293" s="14" t="str">
        <f>IF(TOTALCO!J423="", "",TOTALCO!J423)</f>
        <v/>
      </c>
      <c r="K1293" s="14" t="str">
        <f>IF(TOTALCO!K423="", "",TOTALCO!K423)</f>
        <v/>
      </c>
      <c r="L1293" s="14">
        <f ca="1">IF(TOTALCO!L423="", "",TOTALCO!L423)</f>
        <v>1</v>
      </c>
      <c r="M1293" s="14" t="str">
        <f>IF(TOTALCO!M423="", "",TOTALCO!M423)</f>
        <v/>
      </c>
      <c r="N1293" s="14">
        <f ca="1">IF(TOTALCO!N423="", "",TOTALCO!N423)</f>
        <v>0</v>
      </c>
      <c r="O1293" s="14">
        <f ca="1">IF(TOTALCO!O423="", "",TOTALCO!O423)</f>
        <v>0</v>
      </c>
      <c r="P1293" s="14">
        <f ca="1">IF(TOTALCO!P423="", "",TOTALCO!P423)</f>
        <v>0</v>
      </c>
      <c r="Q1293" s="14"/>
    </row>
    <row r="1294" spans="1:17" ht="15" x14ac:dyDescent="0.2">
      <c r="A1294" s="382">
        <f>IF(TOTALCO!A424="", "",TOTALCO!A424)</f>
        <v>10</v>
      </c>
      <c r="B1294" s="4" t="str">
        <f>IF(TOTALCO!B424="", "",TOTALCO!B424)</f>
        <v>NET ELECTRIC PLANT IN SERVICE</v>
      </c>
      <c r="C1294" s="4" t="str">
        <f>IF(TOTALCO!C424="", "",TOTALCO!C424)</f>
        <v>NETPLANT</v>
      </c>
      <c r="D1294" s="14">
        <f ca="1">IF(TOTALCO!D424="", "",TOTALCO!D424)</f>
        <v>1.0000000000000002</v>
      </c>
      <c r="E1294" s="14" t="str">
        <f>IF(TOTALCO!E424="", "",TOTALCO!E424)</f>
        <v/>
      </c>
      <c r="F1294" s="14">
        <f ca="1">IF(TOTALCO!F424="", "",TOTALCO!F424)</f>
        <v>0.87436089994515798</v>
      </c>
      <c r="G1294" s="14" t="str">
        <f>IF(TOTALCO!G424="", "",TOTALCO!G424)</f>
        <v/>
      </c>
      <c r="H1294" s="14">
        <f ca="1">IF(TOTALCO!H424="", "",TOTALCO!H424)</f>
        <v>5.5472508296751287E-2</v>
      </c>
      <c r="I1294" s="14">
        <f ca="1">IF(TOTALCO!I424="", "",TOTALCO!I424)</f>
        <v>7.0166591758090868E-2</v>
      </c>
      <c r="J1294" s="14" t="str">
        <f>IF(TOTALCO!J424="", "",TOTALCO!J424)</f>
        <v/>
      </c>
      <c r="K1294" s="14" t="str">
        <f>IF(TOTALCO!K424="", "",TOTALCO!K424)</f>
        <v/>
      </c>
      <c r="L1294" s="14">
        <f ca="1">IF(TOTALCO!L424="", "",TOTALCO!L424)</f>
        <v>1.1756165794183441E-5</v>
      </c>
      <c r="M1294" s="14" t="str">
        <f>IF(TOTALCO!M424="", "",TOTALCO!M424)</f>
        <v/>
      </c>
      <c r="N1294" s="14">
        <f ca="1">IF(TOTALCO!N424="", "",TOTALCO!N424)</f>
        <v>7.0154835592296683E-2</v>
      </c>
      <c r="O1294" s="14">
        <f ca="1">IF(TOTALCO!O424="", "",TOTALCO!O424)</f>
        <v>2.2263298173175169E-2</v>
      </c>
      <c r="P1294" s="14">
        <f ca="1">IF(TOTALCO!P424="", "",TOTALCO!P424)</f>
        <v>4.7891537419121506E-2</v>
      </c>
      <c r="Q1294" s="14"/>
    </row>
    <row r="1295" spans="1:17" ht="15" x14ac:dyDescent="0.2">
      <c r="A1295" s="382">
        <f>IF(TOTALCO!A425="", "",TOTALCO!A425)</f>
        <v>11</v>
      </c>
      <c r="B1295" s="4" t="str">
        <f>IF(TOTALCO!B425="", "",TOTALCO!B425)</f>
        <v>RATE BASE</v>
      </c>
      <c r="C1295" s="4" t="str">
        <f>IF(TOTALCO!C425="", "",TOTALCO!C425)</f>
        <v>RATEBASE</v>
      </c>
      <c r="D1295" s="14">
        <f ca="1">IF(TOTALCO!D425="", "",TOTALCO!D425)</f>
        <v>1.0000000000000002</v>
      </c>
      <c r="E1295" s="14" t="str">
        <f>IF(TOTALCO!E425="", "",TOTALCO!E425)</f>
        <v/>
      </c>
      <c r="F1295" s="14">
        <f ca="1">IF(TOTALCO!F425="", "",TOTALCO!F425)</f>
        <v>0.87531930318181805</v>
      </c>
      <c r="G1295" s="14" t="str">
        <f>IF(TOTALCO!G425="", "",TOTALCO!G425)</f>
        <v/>
      </c>
      <c r="H1295" s="14">
        <f ca="1">IF(TOTALCO!H425="", "",TOTALCO!H425)</f>
        <v>5.3386422444324996E-2</v>
      </c>
      <c r="I1295" s="14">
        <f ca="1">IF(TOTALCO!I425="", "",TOTALCO!I425)</f>
        <v>7.1294274373857075E-2</v>
      </c>
      <c r="J1295" s="14" t="str">
        <f>IF(TOTALCO!J425="", "",TOTALCO!J425)</f>
        <v/>
      </c>
      <c r="K1295" s="14" t="str">
        <f>IF(TOTALCO!K425="", "",TOTALCO!K425)</f>
        <v/>
      </c>
      <c r="L1295" s="14">
        <f ca="1">IF(TOTALCO!L425="", "",TOTALCO!L425)</f>
        <v>9.3304560818509226E-6</v>
      </c>
      <c r="M1295" s="14" t="str">
        <f>IF(TOTALCO!M425="", "",TOTALCO!M425)</f>
        <v/>
      </c>
      <c r="N1295" s="14">
        <f ca="1">IF(TOTALCO!N425="", "",TOTALCO!N425)</f>
        <v>7.128494391777522E-2</v>
      </c>
      <c r="O1295" s="14">
        <f ca="1">IF(TOTALCO!O425="", "",TOTALCO!O425)</f>
        <v>2.2640132954091462E-2</v>
      </c>
      <c r="P1295" s="14">
        <f ca="1">IF(TOTALCO!P425="", "",TOTALCO!P425)</f>
        <v>4.8644810963683754E-2</v>
      </c>
      <c r="Q1295" s="14"/>
    </row>
    <row r="1296" spans="1:17" ht="15" x14ac:dyDescent="0.2">
      <c r="A1296" s="382">
        <f>IF(TOTALCO!A426="", "",TOTALCO!A426)</f>
        <v>12</v>
      </c>
      <c r="B1296" s="4" t="str">
        <f>IF(TOTALCO!B426="", "",TOTALCO!B426)</f>
        <v>TOTAL CWIP FERC-AFUDC POST</v>
      </c>
      <c r="C1296" s="4" t="str">
        <f>IF(TOTALCO!C426="", "",TOTALCO!C426)</f>
        <v>AFUDC</v>
      </c>
      <c r="D1296" s="14">
        <f ca="1">IF(TOTALCO!D426="", "",TOTALCO!D426)</f>
        <v>1</v>
      </c>
      <c r="E1296" s="14" t="str">
        <f>IF(TOTALCO!E426="", "",TOTALCO!E426)</f>
        <v/>
      </c>
      <c r="F1296" s="14">
        <f ca="1">IF(TOTALCO!F426="", "",TOTALCO!F426)</f>
        <v>0</v>
      </c>
      <c r="G1296" s="14" t="str">
        <f>IF(TOTALCO!G426="", "",TOTALCO!G426)</f>
        <v/>
      </c>
      <c r="H1296" s="14">
        <f ca="1">IF(TOTALCO!H426="", "",TOTALCO!H426)</f>
        <v>0</v>
      </c>
      <c r="I1296" s="14">
        <f ca="1">IF(TOTALCO!I426="", "",TOTALCO!I426)</f>
        <v>1</v>
      </c>
      <c r="J1296" s="14" t="str">
        <f>IF(TOTALCO!J426="", "",TOTALCO!J426)</f>
        <v/>
      </c>
      <c r="K1296" s="14" t="str">
        <f>IF(TOTALCO!K426="", "",TOTALCO!K426)</f>
        <v/>
      </c>
      <c r="L1296" s="14">
        <f ca="1">IF(TOTALCO!L426="", "",TOTALCO!L426)</f>
        <v>0</v>
      </c>
      <c r="M1296" s="14" t="str">
        <f>IF(TOTALCO!M426="", "",TOTALCO!M426)</f>
        <v/>
      </c>
      <c r="N1296" s="14">
        <f ca="1">IF(TOTALCO!N426="", "",TOTALCO!N426)</f>
        <v>1</v>
      </c>
      <c r="O1296" s="14">
        <f ca="1">IF(TOTALCO!O426="", "",TOTALCO!O426)</f>
        <v>0.312025372271452</v>
      </c>
      <c r="P1296" s="14">
        <f ca="1">IF(TOTALCO!P426="", "",TOTALCO!P426)</f>
        <v>0.68797462772854812</v>
      </c>
      <c r="Q1296" s="14"/>
    </row>
    <row r="1297" spans="1:17" ht="15" x14ac:dyDescent="0.2">
      <c r="A1297" s="382">
        <f>IF(TOTALCO!A427="", "",TOTALCO!A427)</f>
        <v>13</v>
      </c>
      <c r="B1297" s="4" t="str">
        <f>IF(TOTALCO!B427="", "",TOTALCO!B427)</f>
        <v>TOTAL 201(E) EXCESS</v>
      </c>
      <c r="C1297" s="4" t="str">
        <f>IF(TOTALCO!C427="", "",TOTALCO!C427)</f>
        <v>DEFTAX</v>
      </c>
      <c r="D1297" s="14">
        <f ca="1">IF(TOTALCO!D427="", "",TOTALCO!D427)</f>
        <v>1</v>
      </c>
      <c r="E1297" s="14" t="str">
        <f>IF(TOTALCO!E427="", "",TOTALCO!E427)</f>
        <v/>
      </c>
      <c r="F1297" s="14">
        <f ca="1">IF(TOTALCO!F427="", "",TOTALCO!F427)</f>
        <v>0.8786138824468086</v>
      </c>
      <c r="G1297" s="14" t="str">
        <f>IF(TOTALCO!G427="", "",TOTALCO!G427)</f>
        <v/>
      </c>
      <c r="H1297" s="14">
        <f ca="1">IF(TOTALCO!H427="", "",TOTALCO!H427)</f>
        <v>5.5732172393129359E-2</v>
      </c>
      <c r="I1297" s="14">
        <f ca="1">IF(TOTALCO!I427="", "",TOTALCO!I427)</f>
        <v>6.5653945160062135E-2</v>
      </c>
      <c r="J1297" s="14" t="str">
        <f>IF(TOTALCO!J427="", "",TOTALCO!J427)</f>
        <v/>
      </c>
      <c r="K1297" s="14" t="str">
        <f>IF(TOTALCO!K427="", "",TOTALCO!K427)</f>
        <v/>
      </c>
      <c r="L1297" s="14">
        <f ca="1">IF(TOTALCO!L427="", "",TOTALCO!L427)</f>
        <v>3.1002407141825237E-5</v>
      </c>
      <c r="M1297" s="14" t="str">
        <f>IF(TOTALCO!M427="", "",TOTALCO!M427)</f>
        <v/>
      </c>
      <c r="N1297" s="14">
        <f ca="1">IF(TOTALCO!N427="", "",TOTALCO!N427)</f>
        <v>6.5622942752920313E-2</v>
      </c>
      <c r="O1297" s="14">
        <f ca="1">IF(TOTALCO!O427="", "",TOTALCO!O427)</f>
        <v>2.0849613160379313E-2</v>
      </c>
      <c r="P1297" s="14">
        <f ca="1">IF(TOTALCO!P427="", "",TOTALCO!P427)</f>
        <v>4.4773329592540996E-2</v>
      </c>
      <c r="Q1297" s="14"/>
    </row>
    <row r="1298" spans="1:17" ht="15" x14ac:dyDescent="0.2">
      <c r="A1298" s="382">
        <f>IF(TOTALCO!A428="", "",TOTALCO!A428)</f>
        <v>14</v>
      </c>
      <c r="B1298" s="4" t="str">
        <f>IF(TOTALCO!B428="", "",TOTALCO!B428)</f>
        <v>STEAM OPERATING EXP 501-507</v>
      </c>
      <c r="C1298" s="4" t="str">
        <f>IF(TOTALCO!C428="", "",TOTALCO!C428)</f>
        <v>EXP5017STM</v>
      </c>
      <c r="D1298" s="14">
        <f ca="1">IF(TOTALCO!D428="", "",TOTALCO!D428)</f>
        <v>1</v>
      </c>
      <c r="E1298" s="14" t="str">
        <f>IF(TOTALCO!E428="", "",TOTALCO!E428)</f>
        <v/>
      </c>
      <c r="F1298" s="14">
        <f ca="1">IF(TOTALCO!F428="", "",TOTALCO!F428)</f>
        <v>0.86650091469570611</v>
      </c>
      <c r="G1298" s="14" t="str">
        <f>IF(TOTALCO!G428="", "",TOTALCO!G428)</f>
        <v/>
      </c>
      <c r="H1298" s="14">
        <f ca="1">IF(TOTALCO!H428="", "",TOTALCO!H428)</f>
        <v>4.6446628333381326E-2</v>
      </c>
      <c r="I1298" s="14">
        <f ca="1">IF(TOTALCO!I428="", "",TOTALCO!I428)</f>
        <v>8.7052456970912601E-2</v>
      </c>
      <c r="J1298" s="14" t="str">
        <f>IF(TOTALCO!J428="", "",TOTALCO!J428)</f>
        <v/>
      </c>
      <c r="K1298" s="14" t="str">
        <f>IF(TOTALCO!K428="", "",TOTALCO!K428)</f>
        <v/>
      </c>
      <c r="L1298" s="14">
        <f ca="1">IF(TOTALCO!L428="", "",TOTALCO!L428)</f>
        <v>5.029216760231566E-6</v>
      </c>
      <c r="M1298" s="14" t="str">
        <f>IF(TOTALCO!M428="", "",TOTALCO!M428)</f>
        <v/>
      </c>
      <c r="N1298" s="14">
        <f ca="1">IF(TOTALCO!N428="", "",TOTALCO!N428)</f>
        <v>8.7047427754152362E-2</v>
      </c>
      <c r="O1298" s="14">
        <f ca="1">IF(TOTALCO!O428="", "",TOTALCO!O428)</f>
        <v>2.8293308034901252E-2</v>
      </c>
      <c r="P1298" s="14">
        <f ca="1">IF(TOTALCO!P428="", "",TOTALCO!P428)</f>
        <v>5.8754119719251104E-2</v>
      </c>
      <c r="Q1298" s="14"/>
    </row>
    <row r="1299" spans="1:17" ht="15" x14ac:dyDescent="0.2">
      <c r="A1299" s="382">
        <f>IF(TOTALCO!A429="", "",TOTALCO!A429)</f>
        <v>15</v>
      </c>
      <c r="B1299" s="4" t="str">
        <f>IF(TOTALCO!B429="", "",TOTALCO!B429)</f>
        <v>STEAM MAINTENANCE EXP 511-514</v>
      </c>
      <c r="C1299" s="4" t="str">
        <f>IF(TOTALCO!C429="", "",TOTALCO!C429)</f>
        <v>EXP5114STM</v>
      </c>
      <c r="D1299" s="14">
        <f ca="1">IF(TOTALCO!D429="", "",TOTALCO!D429)</f>
        <v>1</v>
      </c>
      <c r="E1299" s="14" t="str">
        <f>IF(TOTALCO!E429="", "",TOTALCO!E429)</f>
        <v/>
      </c>
      <c r="F1299" s="14">
        <f ca="1">IF(TOTALCO!F429="", "",TOTALCO!F429)</f>
        <v>0.86137423025733473</v>
      </c>
      <c r="G1299" s="14" t="str">
        <f>IF(TOTALCO!G429="", "",TOTALCO!G429)</f>
        <v/>
      </c>
      <c r="H1299" s="14">
        <f ca="1">IF(TOTALCO!H429="", "",TOTALCO!H429)</f>
        <v>4.6447034184633341E-2</v>
      </c>
      <c r="I1299" s="14">
        <f ca="1">IF(TOTALCO!I429="", "",TOTALCO!I429)</f>
        <v>9.2178735558031979E-2</v>
      </c>
      <c r="J1299" s="14" t="str">
        <f>IF(TOTALCO!J429="", "",TOTALCO!J429)</f>
        <v/>
      </c>
      <c r="K1299" s="14" t="str">
        <f>IF(TOTALCO!K429="", "",TOTALCO!K429)</f>
        <v/>
      </c>
      <c r="L1299" s="14">
        <f ca="1">IF(TOTALCO!L429="", "",TOTALCO!L429)</f>
        <v>5.1154712194332441E-6</v>
      </c>
      <c r="M1299" s="14" t="str">
        <f>IF(TOTALCO!M429="", "",TOTALCO!M429)</f>
        <v/>
      </c>
      <c r="N1299" s="14">
        <f ca="1">IF(TOTALCO!N429="", "",TOTALCO!N429)</f>
        <v>9.2173620086812541E-2</v>
      </c>
      <c r="O1299" s="14">
        <f ca="1">IF(TOTALCO!O429="", "",TOTALCO!O429)</f>
        <v>2.991170415136964E-2</v>
      </c>
      <c r="P1299" s="14">
        <f ca="1">IF(TOTALCO!P429="", "",TOTALCO!P429)</f>
        <v>6.2261915935442905E-2</v>
      </c>
      <c r="Q1299" s="14"/>
    </row>
    <row r="1300" spans="1:17" ht="15" x14ac:dyDescent="0.2">
      <c r="A1300" s="382">
        <f>IF(TOTALCO!A430="", "",TOTALCO!A430)</f>
        <v>16</v>
      </c>
      <c r="B1300" s="4" t="str">
        <f>IF(TOTALCO!B430="", "",TOTALCO!B430)</f>
        <v>HYDRO OPERATING EXP 536-540</v>
      </c>
      <c r="C1300" s="4" t="str">
        <f>IF(TOTALCO!C430="", "",TOTALCO!C430)</f>
        <v>EXP5360HYD</v>
      </c>
      <c r="D1300" s="14">
        <f ca="1">IF(TOTALCO!D430="", "",TOTALCO!D430)</f>
        <v>1</v>
      </c>
      <c r="E1300" s="14" t="str">
        <f>IF(TOTALCO!E430="", "",TOTALCO!E430)</f>
        <v/>
      </c>
      <c r="F1300" s="14">
        <f ca="1">IF(TOTALCO!F430="", "",TOTALCO!F430)</f>
        <v>0.86368474428104458</v>
      </c>
      <c r="G1300" s="14" t="str">
        <f>IF(TOTALCO!G430="", "",TOTALCO!G430)</f>
        <v/>
      </c>
      <c r="H1300" s="14">
        <f ca="1">IF(TOTALCO!H430="", "",TOTALCO!H430)</f>
        <v>5.0732417001093058E-2</v>
      </c>
      <c r="I1300" s="14">
        <f ca="1">IF(TOTALCO!I430="", "",TOTALCO!I430)</f>
        <v>8.5582838717862389E-2</v>
      </c>
      <c r="J1300" s="14" t="str">
        <f>IF(TOTALCO!J430="", "",TOTALCO!J430)</f>
        <v/>
      </c>
      <c r="K1300" s="14" t="str">
        <f>IF(TOTALCO!K430="", "",TOTALCO!K430)</f>
        <v/>
      </c>
      <c r="L1300" s="14">
        <f ca="1">IF(TOTALCO!L430="", "",TOTALCO!L430)</f>
        <v>7.6365012360696357E-6</v>
      </c>
      <c r="M1300" s="14" t="str">
        <f>IF(TOTALCO!M430="", "",TOTALCO!M430)</f>
        <v/>
      </c>
      <c r="N1300" s="14">
        <f ca="1">IF(TOTALCO!N430="", "",TOTALCO!N430)</f>
        <v>8.5575202216626317E-2</v>
      </c>
      <c r="O1300" s="14">
        <f ca="1">IF(TOTALCO!O430="", "",TOTALCO!O430)</f>
        <v>2.6701634328847604E-2</v>
      </c>
      <c r="P1300" s="14">
        <f ca="1">IF(TOTALCO!P430="", "",TOTALCO!P430)</f>
        <v>5.8873567887778706E-2</v>
      </c>
      <c r="Q1300" s="14"/>
    </row>
    <row r="1301" spans="1:17" ht="15" x14ac:dyDescent="0.2">
      <c r="A1301" s="382">
        <f>IF(TOTALCO!A431="", "",TOTALCO!A431)</f>
        <v>17</v>
      </c>
      <c r="B1301" s="4" t="str">
        <f>IF(TOTALCO!B431="", "",TOTALCO!B431)</f>
        <v>HYDRO MAINTENANCE EXP 542-545</v>
      </c>
      <c r="C1301" s="4" t="str">
        <f>IF(TOTALCO!C431="", "",TOTALCO!C431)</f>
        <v>EXP5425HYD</v>
      </c>
      <c r="D1301" s="14">
        <f ca="1">IF(TOTALCO!D431="", "",TOTALCO!D431)</f>
        <v>1</v>
      </c>
      <c r="E1301" s="14" t="str">
        <f>IF(TOTALCO!E431="", "",TOTALCO!E431)</f>
        <v/>
      </c>
      <c r="F1301" s="14">
        <f ca="1">IF(TOTALCO!F431="", "",TOTALCO!F431)</f>
        <v>0.86483310808290059</v>
      </c>
      <c r="G1301" s="14" t="str">
        <f>IF(TOTALCO!G431="", "",TOTALCO!G431)</f>
        <v/>
      </c>
      <c r="H1301" s="14">
        <f ca="1">IF(TOTALCO!H431="", "",TOTALCO!H431)</f>
        <v>4.9294687744991753E-2</v>
      </c>
      <c r="I1301" s="14">
        <f ca="1">IF(TOTALCO!I431="", "",TOTALCO!I431)</f>
        <v>8.5872204172107572E-2</v>
      </c>
      <c r="J1301" s="14" t="str">
        <f>IF(TOTALCO!J431="", "",TOTALCO!J431)</f>
        <v/>
      </c>
      <c r="K1301" s="14" t="str">
        <f>IF(TOTALCO!K431="", "",TOTALCO!K431)</f>
        <v/>
      </c>
      <c r="L1301" s="14">
        <f ca="1">IF(TOTALCO!L431="", "",TOTALCO!L431)</f>
        <v>6.7883081595753356E-6</v>
      </c>
      <c r="M1301" s="14" t="str">
        <f>IF(TOTALCO!M431="", "",TOTALCO!M431)</f>
        <v/>
      </c>
      <c r="N1301" s="14">
        <f ca="1">IF(TOTALCO!N431="", "",TOTALCO!N431)</f>
        <v>8.5865415863947997E-2</v>
      </c>
      <c r="O1301" s="14">
        <f ca="1">IF(TOTALCO!O431="", "",TOTALCO!O431)</f>
        <v>2.7161428289086749E-2</v>
      </c>
      <c r="P1301" s="14">
        <f ca="1">IF(TOTALCO!P431="", "",TOTALCO!P431)</f>
        <v>5.8703987574861255E-2</v>
      </c>
      <c r="Q1301" s="14"/>
    </row>
    <row r="1302" spans="1:17" ht="15" x14ac:dyDescent="0.2">
      <c r="A1302" s="382">
        <f>IF(TOTALCO!A432="", "",TOTALCO!A432)</f>
        <v>18</v>
      </c>
      <c r="B1302" s="4" t="str">
        <f>IF(TOTALCO!B432="", "",TOTALCO!B432)</f>
        <v>OTHER PROD OPER EXP 547-549</v>
      </c>
      <c r="C1302" s="4" t="str">
        <f>IF(TOTALCO!C432="", "",TOTALCO!C432)</f>
        <v>EXP5479OTH</v>
      </c>
      <c r="D1302" s="14">
        <f ca="1">IF(TOTALCO!D432="", "",TOTALCO!D432)</f>
        <v>1</v>
      </c>
      <c r="E1302" s="14" t="str">
        <f>IF(TOTALCO!E432="", "",TOTALCO!E432)</f>
        <v/>
      </c>
      <c r="F1302" s="14">
        <f ca="1">IF(TOTALCO!F432="", "",TOTALCO!F432)</f>
        <v>0.86751393086941209</v>
      </c>
      <c r="G1302" s="14" t="str">
        <f>IF(TOTALCO!G432="", "",TOTALCO!G432)</f>
        <v/>
      </c>
      <c r="H1302" s="14">
        <f ca="1">IF(TOTALCO!H432="", "",TOTALCO!H432)</f>
        <v>4.5918106094815017E-2</v>
      </c>
      <c r="I1302" s="14">
        <f ca="1">IF(TOTALCO!I432="", "",TOTALCO!I432)</f>
        <v>8.6567963035772827E-2</v>
      </c>
      <c r="J1302" s="14" t="str">
        <f>IF(TOTALCO!J432="", "",TOTALCO!J432)</f>
        <v/>
      </c>
      <c r="K1302" s="14" t="str">
        <f>IF(TOTALCO!K432="", "",TOTALCO!K432)</f>
        <v/>
      </c>
      <c r="L1302" s="14">
        <f ca="1">IF(TOTALCO!L432="", "",TOTALCO!L432)</f>
        <v>4.7967329463820627E-6</v>
      </c>
      <c r="M1302" s="14" t="str">
        <f>IF(TOTALCO!M432="", "",TOTALCO!M432)</f>
        <v/>
      </c>
      <c r="N1302" s="14">
        <f ca="1">IF(TOTALCO!N432="", "",TOTALCO!N432)</f>
        <v>8.6563166302826441E-2</v>
      </c>
      <c r="O1302" s="14">
        <f ca="1">IF(TOTALCO!O432="", "",TOTALCO!O432)</f>
        <v>2.8246068103915035E-2</v>
      </c>
      <c r="P1302" s="14">
        <f ca="1">IF(TOTALCO!P432="", "",TOTALCO!P432)</f>
        <v>5.8317098198911406E-2</v>
      </c>
      <c r="Q1302" s="14"/>
    </row>
    <row r="1303" spans="1:17" ht="15" x14ac:dyDescent="0.2">
      <c r="A1303" s="382">
        <f>IF(TOTALCO!A433="", "",TOTALCO!A433)</f>
        <v>19</v>
      </c>
      <c r="B1303" s="4" t="str">
        <f>IF(TOTALCO!B433="", "",TOTALCO!B433)</f>
        <v>OTHER PROD MAINT EXP 552-554</v>
      </c>
      <c r="C1303" s="4" t="str">
        <f>IF(TOTALCO!C433="", "",TOTALCO!C433)</f>
        <v>EXP5524OTH</v>
      </c>
      <c r="D1303" s="14">
        <f ca="1">IF(TOTALCO!D433="", "",TOTALCO!D433)</f>
        <v>1.0000000000000002</v>
      </c>
      <c r="E1303" s="14" t="str">
        <f>IF(TOTALCO!E433="", "",TOTALCO!E433)</f>
        <v/>
      </c>
      <c r="F1303" s="14">
        <f ca="1">IF(TOTALCO!F433="", "",TOTALCO!F433)</f>
        <v>0.86209606691412732</v>
      </c>
      <c r="G1303" s="14" t="str">
        <f>IF(TOTALCO!G433="", "",TOTALCO!G433)</f>
        <v/>
      </c>
      <c r="H1303" s="14">
        <f ca="1">IF(TOTALCO!H433="", "",TOTALCO!H433)</f>
        <v>5.0629763313373821E-2</v>
      </c>
      <c r="I1303" s="14">
        <f ca="1">IF(TOTALCO!I433="", "",TOTALCO!I433)</f>
        <v>8.7274169772498925E-2</v>
      </c>
      <c r="J1303" s="14" t="str">
        <f>IF(TOTALCO!J433="", "",TOTALCO!J433)</f>
        <v/>
      </c>
      <c r="K1303" s="14" t="str">
        <f>IF(TOTALCO!K433="", "",TOTALCO!K433)</f>
        <v/>
      </c>
      <c r="L1303" s="14">
        <f ca="1">IF(TOTALCO!L433="", "",TOTALCO!L433)</f>
        <v>7.6224545173374676E-6</v>
      </c>
      <c r="M1303" s="14" t="str">
        <f>IF(TOTALCO!M433="", "",TOTALCO!M433)</f>
        <v/>
      </c>
      <c r="N1303" s="14">
        <f ca="1">IF(TOTALCO!N433="", "",TOTALCO!N433)</f>
        <v>8.7266547317981585E-2</v>
      </c>
      <c r="O1303" s="14">
        <f ca="1">IF(TOTALCO!O433="", "",TOTALCO!O433)</f>
        <v>2.7229376913737481E-2</v>
      </c>
      <c r="P1303" s="14">
        <f ca="1">IF(TOTALCO!P433="", "",TOTALCO!P433)</f>
        <v>6.0037170404244097E-2</v>
      </c>
      <c r="Q1303" s="14"/>
    </row>
    <row r="1304" spans="1:17" ht="15" x14ac:dyDescent="0.2">
      <c r="A1304" s="382">
        <f>IF(TOTALCO!A434="", "",TOTALCO!A434)</f>
        <v>20</v>
      </c>
      <c r="B1304" s="4" t="str">
        <f>IF(TOTALCO!B434="", "",TOTALCO!B434)</f>
        <v>TOTAL STEAM OPERATIONS LABOR</v>
      </c>
      <c r="C1304" s="4" t="str">
        <f>IF(TOTALCO!C434="", "",TOTALCO!C434)</f>
        <v>LABSTMOP</v>
      </c>
      <c r="D1304" s="14">
        <f ca="1">IF(TOTALCO!D434="", "",TOTALCO!D434)</f>
        <v>0</v>
      </c>
      <c r="E1304" s="14" t="str">
        <f>IF(TOTALCO!E434="", "",TOTALCO!E434)</f>
        <v/>
      </c>
      <c r="F1304" s="14">
        <f ca="1">IF(TOTALCO!F434="", "",TOTALCO!F434)</f>
        <v>0</v>
      </c>
      <c r="G1304" s="14" t="str">
        <f>IF(TOTALCO!G434="", "",TOTALCO!G434)</f>
        <v/>
      </c>
      <c r="H1304" s="14">
        <f ca="1">IF(TOTALCO!H434="", "",TOTALCO!H434)</f>
        <v>0</v>
      </c>
      <c r="I1304" s="14">
        <f ca="1">IF(TOTALCO!I434="", "",TOTALCO!I434)</f>
        <v>0</v>
      </c>
      <c r="J1304" s="14" t="str">
        <f>IF(TOTALCO!J434="", "",TOTALCO!J434)</f>
        <v/>
      </c>
      <c r="K1304" s="14" t="str">
        <f>IF(TOTALCO!K434="", "",TOTALCO!K434)</f>
        <v/>
      </c>
      <c r="L1304" s="14">
        <f ca="1">IF(TOTALCO!L434="", "",TOTALCO!L434)</f>
        <v>0</v>
      </c>
      <c r="M1304" s="14" t="str">
        <f>IF(TOTALCO!M434="", "",TOTALCO!M434)</f>
        <v/>
      </c>
      <c r="N1304" s="14">
        <f ca="1">IF(TOTALCO!N434="", "",TOTALCO!N434)</f>
        <v>0</v>
      </c>
      <c r="O1304" s="14">
        <f ca="1">IF(TOTALCO!O434="", "",TOTALCO!O434)</f>
        <v>0</v>
      </c>
      <c r="P1304" s="14">
        <f ca="1">IF(TOTALCO!P434="", "",TOTALCO!P434)</f>
        <v>0</v>
      </c>
      <c r="Q1304" s="14"/>
    </row>
    <row r="1305" spans="1:17" ht="15" x14ac:dyDescent="0.2">
      <c r="A1305" s="382">
        <f>IF(TOTALCO!A435="", "",TOTALCO!A435)</f>
        <v>21</v>
      </c>
      <c r="B1305" s="4" t="str">
        <f>IF(TOTALCO!B435="", "",TOTALCO!B435)</f>
        <v>TOTAL STEAM MAINTENANCE LABOR</v>
      </c>
      <c r="C1305" s="4" t="str">
        <f>IF(TOTALCO!C435="", "",TOTALCO!C435)</f>
        <v>LABSTMMN</v>
      </c>
      <c r="D1305" s="14">
        <f ca="1">IF(TOTALCO!D435="", "",TOTALCO!D435)</f>
        <v>0</v>
      </c>
      <c r="E1305" s="14" t="str">
        <f>IF(TOTALCO!E435="", "",TOTALCO!E435)</f>
        <v/>
      </c>
      <c r="F1305" s="14">
        <f ca="1">IF(TOTALCO!F435="", "",TOTALCO!F435)</f>
        <v>0</v>
      </c>
      <c r="G1305" s="14" t="str">
        <f>IF(TOTALCO!G435="", "",TOTALCO!G435)</f>
        <v/>
      </c>
      <c r="H1305" s="14">
        <f ca="1">IF(TOTALCO!H435="", "",TOTALCO!H435)</f>
        <v>0</v>
      </c>
      <c r="I1305" s="14">
        <f ca="1">IF(TOTALCO!I435="", "",TOTALCO!I435)</f>
        <v>0</v>
      </c>
      <c r="J1305" s="14" t="str">
        <f>IF(TOTALCO!J435="", "",TOTALCO!J435)</f>
        <v/>
      </c>
      <c r="K1305" s="14" t="str">
        <f>IF(TOTALCO!K435="", "",TOTALCO!K435)</f>
        <v/>
      </c>
      <c r="L1305" s="14">
        <f ca="1">IF(TOTALCO!L435="", "",TOTALCO!L435)</f>
        <v>0</v>
      </c>
      <c r="M1305" s="14" t="str">
        <f>IF(TOTALCO!M435="", "",TOTALCO!M435)</f>
        <v/>
      </c>
      <c r="N1305" s="14">
        <f ca="1">IF(TOTALCO!N435="", "",TOTALCO!N435)</f>
        <v>0</v>
      </c>
      <c r="O1305" s="14">
        <f ca="1">IF(TOTALCO!O435="", "",TOTALCO!O435)</f>
        <v>0</v>
      </c>
      <c r="P1305" s="14">
        <f ca="1">IF(TOTALCO!P435="", "",TOTALCO!P435)</f>
        <v>0</v>
      </c>
      <c r="Q1305" s="14"/>
    </row>
    <row r="1306" spans="1:17" ht="15" x14ac:dyDescent="0.2">
      <c r="A1306" s="382">
        <f>IF(TOTALCO!A436="", "",TOTALCO!A436)</f>
        <v>22</v>
      </c>
      <c r="B1306" s="4" t="str">
        <f>IF(TOTALCO!B436="", "",TOTALCO!B436)</f>
        <v>TOTAL HYDRO OPERATIONS LABOR</v>
      </c>
      <c r="C1306" s="4" t="str">
        <f>IF(TOTALCO!C436="", "",TOTALCO!C436)</f>
        <v>LABHYDOP</v>
      </c>
      <c r="D1306" s="14">
        <f ca="1">IF(TOTALCO!D436="", "",TOTALCO!D436)</f>
        <v>0</v>
      </c>
      <c r="E1306" s="14" t="str">
        <f>IF(TOTALCO!E436="", "",TOTALCO!E436)</f>
        <v/>
      </c>
      <c r="F1306" s="14">
        <f ca="1">IF(TOTALCO!F436="", "",TOTALCO!F436)</f>
        <v>0</v>
      </c>
      <c r="G1306" s="14" t="str">
        <f>IF(TOTALCO!G436="", "",TOTALCO!G436)</f>
        <v/>
      </c>
      <c r="H1306" s="14">
        <f ca="1">IF(TOTALCO!H436="", "",TOTALCO!H436)</f>
        <v>0</v>
      </c>
      <c r="I1306" s="14">
        <f ca="1">IF(TOTALCO!I436="", "",TOTALCO!I436)</f>
        <v>0</v>
      </c>
      <c r="J1306" s="14" t="str">
        <f>IF(TOTALCO!J436="", "",TOTALCO!J436)</f>
        <v/>
      </c>
      <c r="K1306" s="14" t="str">
        <f>IF(TOTALCO!K436="", "",TOTALCO!K436)</f>
        <v/>
      </c>
      <c r="L1306" s="14">
        <f ca="1">IF(TOTALCO!L436="", "",TOTALCO!L436)</f>
        <v>0</v>
      </c>
      <c r="M1306" s="14" t="str">
        <f>IF(TOTALCO!M436="", "",TOTALCO!M436)</f>
        <v/>
      </c>
      <c r="N1306" s="14">
        <f ca="1">IF(TOTALCO!N436="", "",TOTALCO!N436)</f>
        <v>0</v>
      </c>
      <c r="O1306" s="14">
        <f ca="1">IF(TOTALCO!O436="", "",TOTALCO!O436)</f>
        <v>0</v>
      </c>
      <c r="P1306" s="14">
        <f ca="1">IF(TOTALCO!P436="", "",TOTALCO!P436)</f>
        <v>0</v>
      </c>
      <c r="Q1306" s="14"/>
    </row>
    <row r="1307" spans="1:17" ht="15" x14ac:dyDescent="0.2">
      <c r="A1307" s="382">
        <f>IF(TOTALCO!A437="", "",TOTALCO!A437)</f>
        <v>23</v>
      </c>
      <c r="B1307" s="4" t="str">
        <f>IF(TOTALCO!B437="", "",TOTALCO!B437)</f>
        <v>TOTAL HYDRO MAINTENANCE LABOR</v>
      </c>
      <c r="C1307" s="4" t="str">
        <f>IF(TOTALCO!C437="", "",TOTALCO!C437)</f>
        <v>LABHYDMN</v>
      </c>
      <c r="D1307" s="14">
        <f ca="1">IF(TOTALCO!D437="", "",TOTALCO!D437)</f>
        <v>0</v>
      </c>
      <c r="E1307" s="14" t="str">
        <f>IF(TOTALCO!E437="", "",TOTALCO!E437)</f>
        <v/>
      </c>
      <c r="F1307" s="14">
        <f ca="1">IF(TOTALCO!F437="", "",TOTALCO!F437)</f>
        <v>0</v>
      </c>
      <c r="G1307" s="14" t="str">
        <f>IF(TOTALCO!G437="", "",TOTALCO!G437)</f>
        <v/>
      </c>
      <c r="H1307" s="14">
        <f ca="1">IF(TOTALCO!H437="", "",TOTALCO!H437)</f>
        <v>0</v>
      </c>
      <c r="I1307" s="14">
        <f ca="1">IF(TOTALCO!I437="", "",TOTALCO!I437)</f>
        <v>0</v>
      </c>
      <c r="J1307" s="14" t="str">
        <f>IF(TOTALCO!J437="", "",TOTALCO!J437)</f>
        <v/>
      </c>
      <c r="K1307" s="14" t="str">
        <f>IF(TOTALCO!K437="", "",TOTALCO!K437)</f>
        <v/>
      </c>
      <c r="L1307" s="14">
        <f ca="1">IF(TOTALCO!L437="", "",TOTALCO!L437)</f>
        <v>0</v>
      </c>
      <c r="M1307" s="14" t="str">
        <f>IF(TOTALCO!M437="", "",TOTALCO!M437)</f>
        <v/>
      </c>
      <c r="N1307" s="14">
        <f ca="1">IF(TOTALCO!N437="", "",TOTALCO!N437)</f>
        <v>0</v>
      </c>
      <c r="O1307" s="14">
        <f ca="1">IF(TOTALCO!O437="", "",TOTALCO!O437)</f>
        <v>0</v>
      </c>
      <c r="P1307" s="14">
        <f ca="1">IF(TOTALCO!P437="", "",TOTALCO!P437)</f>
        <v>0</v>
      </c>
      <c r="Q1307" s="14"/>
    </row>
    <row r="1308" spans="1:17" ht="15" x14ac:dyDescent="0.2">
      <c r="A1308" s="382">
        <f>IF(TOTALCO!A438="", "",TOTALCO!A438)</f>
        <v>24</v>
      </c>
      <c r="B1308" s="4" t="str">
        <f>IF(TOTALCO!B438="", "",TOTALCO!B438)</f>
        <v>TOTAL OTHER OPERATIONS LABOR</v>
      </c>
      <c r="C1308" s="4" t="str">
        <f>IF(TOTALCO!C438="", "",TOTALCO!C438)</f>
        <v>LABOTHOP</v>
      </c>
      <c r="D1308" s="14">
        <f ca="1">IF(TOTALCO!D438="", "",TOTALCO!D438)</f>
        <v>0</v>
      </c>
      <c r="E1308" s="14" t="str">
        <f>IF(TOTALCO!E438="", "",TOTALCO!E438)</f>
        <v/>
      </c>
      <c r="F1308" s="14">
        <f ca="1">IF(TOTALCO!F438="", "",TOTALCO!F438)</f>
        <v>0</v>
      </c>
      <c r="G1308" s="14" t="str">
        <f>IF(TOTALCO!G438="", "",TOTALCO!G438)</f>
        <v/>
      </c>
      <c r="H1308" s="14">
        <f ca="1">IF(TOTALCO!H438="", "",TOTALCO!H438)</f>
        <v>0</v>
      </c>
      <c r="I1308" s="14">
        <f ca="1">IF(TOTALCO!I438="", "",TOTALCO!I438)</f>
        <v>0</v>
      </c>
      <c r="J1308" s="14" t="str">
        <f>IF(TOTALCO!J438="", "",TOTALCO!J438)</f>
        <v/>
      </c>
      <c r="K1308" s="14" t="str">
        <f>IF(TOTALCO!K438="", "",TOTALCO!K438)</f>
        <v/>
      </c>
      <c r="L1308" s="14">
        <f ca="1">IF(TOTALCO!L438="", "",TOTALCO!L438)</f>
        <v>0</v>
      </c>
      <c r="M1308" s="14" t="str">
        <f>IF(TOTALCO!M438="", "",TOTALCO!M438)</f>
        <v/>
      </c>
      <c r="N1308" s="14">
        <f ca="1">IF(TOTALCO!N438="", "",TOTALCO!N438)</f>
        <v>0</v>
      </c>
      <c r="O1308" s="14">
        <f ca="1">IF(TOTALCO!O438="", "",TOTALCO!O438)</f>
        <v>0</v>
      </c>
      <c r="P1308" s="14">
        <f ca="1">IF(TOTALCO!P438="", "",TOTALCO!P438)</f>
        <v>0</v>
      </c>
      <c r="Q1308" s="14"/>
    </row>
    <row r="1309" spans="1:17" ht="15" x14ac:dyDescent="0.2">
      <c r="A1309" s="382">
        <f>IF(TOTALCO!A439="", "",TOTALCO!A439)</f>
        <v>25</v>
      </c>
      <c r="B1309" s="4" t="str">
        <f>IF(TOTALCO!B439="", "",TOTALCO!B439)</f>
        <v>TOTAL OTHER MAINTENANCE LABOR</v>
      </c>
      <c r="C1309" s="4" t="str">
        <f>IF(TOTALCO!C439="", "",TOTALCO!C439)</f>
        <v>LABOTHMN</v>
      </c>
      <c r="D1309" s="14">
        <f ca="1">IF(TOTALCO!D439="", "",TOTALCO!D439)</f>
        <v>0</v>
      </c>
      <c r="E1309" s="14" t="str">
        <f>IF(TOTALCO!E439="", "",TOTALCO!E439)</f>
        <v/>
      </c>
      <c r="F1309" s="14">
        <f ca="1">IF(TOTALCO!F439="", "",TOTALCO!F439)</f>
        <v>0</v>
      </c>
      <c r="G1309" s="14" t="str">
        <f>IF(TOTALCO!G439="", "",TOTALCO!G439)</f>
        <v/>
      </c>
      <c r="H1309" s="14">
        <f ca="1">IF(TOTALCO!H439="", "",TOTALCO!H439)</f>
        <v>0</v>
      </c>
      <c r="I1309" s="14">
        <f ca="1">IF(TOTALCO!I439="", "",TOTALCO!I439)</f>
        <v>0</v>
      </c>
      <c r="J1309" s="14" t="str">
        <f>IF(TOTALCO!J439="", "",TOTALCO!J439)</f>
        <v/>
      </c>
      <c r="K1309" s="14" t="str">
        <f>IF(TOTALCO!K439="", "",TOTALCO!K439)</f>
        <v/>
      </c>
      <c r="L1309" s="14">
        <f ca="1">IF(TOTALCO!L439="", "",TOTALCO!L439)</f>
        <v>0</v>
      </c>
      <c r="M1309" s="14" t="str">
        <f>IF(TOTALCO!M439="", "",TOTALCO!M439)</f>
        <v/>
      </c>
      <c r="N1309" s="14">
        <f ca="1">IF(TOTALCO!N439="", "",TOTALCO!N439)</f>
        <v>0</v>
      </c>
      <c r="O1309" s="14">
        <f ca="1">IF(TOTALCO!O439="", "",TOTALCO!O439)</f>
        <v>0</v>
      </c>
      <c r="P1309" s="14">
        <f ca="1">IF(TOTALCO!P439="", "",TOTALCO!P439)</f>
        <v>0</v>
      </c>
      <c r="Q1309" s="14"/>
    </row>
    <row r="1310" spans="1:17" ht="15" x14ac:dyDescent="0.2">
      <c r="A1310" s="382">
        <f>IF(TOTALCO!A440="", "",TOTALCO!A440)</f>
        <v>26</v>
      </c>
      <c r="B1310" s="4" t="str">
        <f>IF(TOTALCO!B440="", "",TOTALCO!B440)</f>
        <v>TRANSM OPER EXP 562-567</v>
      </c>
      <c r="C1310" s="4" t="str">
        <f>IF(TOTALCO!C440="", "",TOTALCO!C440)</f>
        <v>EXP5627TX</v>
      </c>
      <c r="D1310" s="14">
        <f ca="1">IF(TOTALCO!D440="", "",TOTALCO!D440)</f>
        <v>1</v>
      </c>
      <c r="E1310" s="14" t="str">
        <f>IF(TOTALCO!E440="", "",TOTALCO!E440)</f>
        <v/>
      </c>
      <c r="F1310" s="14">
        <f ca="1">IF(TOTALCO!F440="", "",TOTALCO!F440)</f>
        <v>0.8065742256281383</v>
      </c>
      <c r="G1310" s="14" t="str">
        <f>IF(TOTALCO!G440="", "",TOTALCO!G440)</f>
        <v/>
      </c>
      <c r="H1310" s="14">
        <f ca="1">IF(TOTALCO!H440="", "",TOTALCO!H440)</f>
        <v>0.11247818618537095</v>
      </c>
      <c r="I1310" s="14">
        <f ca="1">IF(TOTALCO!I440="", "",TOTALCO!I440)</f>
        <v>8.0947588186490754E-2</v>
      </c>
      <c r="J1310" s="14" t="str">
        <f>IF(TOTALCO!J440="", "",TOTALCO!J440)</f>
        <v/>
      </c>
      <c r="K1310" s="14" t="str">
        <f>IF(TOTALCO!K440="", "",TOTALCO!K440)</f>
        <v/>
      </c>
      <c r="L1310" s="14">
        <f ca="1">IF(TOTALCO!L440="", "",TOTALCO!L440)</f>
        <v>6.9475160385340169E-6</v>
      </c>
      <c r="M1310" s="14" t="str">
        <f>IF(TOTALCO!M440="", "",TOTALCO!M440)</f>
        <v/>
      </c>
      <c r="N1310" s="14">
        <f ca="1">IF(TOTALCO!N440="", "",TOTALCO!N440)</f>
        <v>8.0940640670452216E-2</v>
      </c>
      <c r="O1310" s="14">
        <f ca="1">IF(TOTALCO!O440="", "",TOTALCO!O440)</f>
        <v>2.5255533537087677E-2</v>
      </c>
      <c r="P1310" s="14">
        <f ca="1">IF(TOTALCO!P440="", "",TOTALCO!P440)</f>
        <v>5.5685107133364539E-2</v>
      </c>
      <c r="Q1310" s="14"/>
    </row>
    <row r="1311" spans="1:17" ht="15" x14ac:dyDescent="0.2">
      <c r="A1311" s="382">
        <f>IF(TOTALCO!A441="", "",TOTALCO!A441)</f>
        <v>27</v>
      </c>
      <c r="B1311" s="4" t="str">
        <f>IF(TOTALCO!B441="", "",TOTALCO!B441)</f>
        <v>TRANSM MAINT EXP 569-573</v>
      </c>
      <c r="C1311" s="4" t="str">
        <f>IF(TOTALCO!C441="", "",TOTALCO!C441)</f>
        <v>EXP5693TX</v>
      </c>
      <c r="D1311" s="14">
        <f ca="1">IF(TOTALCO!D441="", "",TOTALCO!D441)</f>
        <v>1</v>
      </c>
      <c r="E1311" s="14" t="str">
        <f>IF(TOTALCO!E441="", "",TOTALCO!E441)</f>
        <v/>
      </c>
      <c r="F1311" s="14">
        <f ca="1">IF(TOTALCO!F441="", "",TOTALCO!F441)</f>
        <v>0.80453094923015556</v>
      </c>
      <c r="G1311" s="14" t="str">
        <f>IF(TOTALCO!G441="", "",TOTALCO!G441)</f>
        <v/>
      </c>
      <c r="H1311" s="14">
        <f ca="1">IF(TOTALCO!H441="", "",TOTALCO!H441)</f>
        <v>0.11366636301375287</v>
      </c>
      <c r="I1311" s="14">
        <f ca="1">IF(TOTALCO!I441="", "",TOTALCO!I441)</f>
        <v>8.1802687756091549E-2</v>
      </c>
      <c r="J1311" s="14" t="str">
        <f>IF(TOTALCO!J441="", "",TOTALCO!J441)</f>
        <v/>
      </c>
      <c r="K1311" s="14" t="str">
        <f>IF(TOTALCO!K441="", "",TOTALCO!K441)</f>
        <v/>
      </c>
      <c r="L1311" s="14">
        <f ca="1">IF(TOTALCO!L441="", "",TOTALCO!L441)</f>
        <v>7.0209069586026716E-6</v>
      </c>
      <c r="M1311" s="14" t="str">
        <f>IF(TOTALCO!M441="", "",TOTALCO!M441)</f>
        <v/>
      </c>
      <c r="N1311" s="14">
        <f ca="1">IF(TOTALCO!N441="", "",TOTALCO!N441)</f>
        <v>8.1795666849132947E-2</v>
      </c>
      <c r="O1311" s="14">
        <f ca="1">IF(TOTALCO!O441="", "",TOTALCO!O441)</f>
        <v>2.5522323398792374E-2</v>
      </c>
      <c r="P1311" s="14">
        <f ca="1">IF(TOTALCO!P441="", "",TOTALCO!P441)</f>
        <v>5.6273343450340581E-2</v>
      </c>
      <c r="Q1311" s="14"/>
    </row>
    <row r="1312" spans="1:17" ht="15" x14ac:dyDescent="0.2">
      <c r="A1312" s="382">
        <f>IF(TOTALCO!A442="", "",TOTALCO!A442)</f>
        <v>28</v>
      </c>
      <c r="B1312" s="4" t="str">
        <f>IF(TOTALCO!B442="", "",TOTALCO!B442)</f>
        <v>TOT TRANSM OPERATIONS LABOR</v>
      </c>
      <c r="C1312" s="4" t="str">
        <f>IF(TOTALCO!C442="", "",TOTALCO!C442)</f>
        <v>LABTROP</v>
      </c>
      <c r="D1312" s="14">
        <f ca="1">IF(TOTALCO!D442="", "",TOTALCO!D442)</f>
        <v>1</v>
      </c>
      <c r="E1312" s="14" t="str">
        <f>IF(TOTALCO!E442="", "",TOTALCO!E442)</f>
        <v/>
      </c>
      <c r="F1312" s="14">
        <f ca="1">IF(TOTALCO!F442="", "",TOTALCO!F442)</f>
        <v>0.80246280753473243</v>
      </c>
      <c r="G1312" s="14" t="str">
        <f>IF(TOTALCO!G442="", "",TOTALCO!G442)</f>
        <v/>
      </c>
      <c r="H1312" s="14">
        <f ca="1">IF(TOTALCO!H442="", "",TOTALCO!H442)</f>
        <v>0.11486899915379656</v>
      </c>
      <c r="I1312" s="14">
        <f ca="1">IF(TOTALCO!I442="", "",TOTALCO!I442)</f>
        <v>8.266819331147103E-2</v>
      </c>
      <c r="J1312" s="14" t="str">
        <f>IF(TOTALCO!J442="", "",TOTALCO!J442)</f>
        <v/>
      </c>
      <c r="K1312" s="14" t="str">
        <f>IF(TOTALCO!K442="", "",TOTALCO!K442)</f>
        <v/>
      </c>
      <c r="L1312" s="14">
        <f ca="1">IF(TOTALCO!L442="", "",TOTALCO!L442)</f>
        <v>7.0951909967334427E-6</v>
      </c>
      <c r="M1312" s="14" t="str">
        <f>IF(TOTALCO!M442="", "",TOTALCO!M442)</f>
        <v/>
      </c>
      <c r="N1312" s="14">
        <f ca="1">IF(TOTALCO!N442="", "",TOTALCO!N442)</f>
        <v>8.2661098120474299E-2</v>
      </c>
      <c r="O1312" s="14">
        <f ca="1">IF(TOTALCO!O442="", "",TOTALCO!O442)</f>
        <v>2.5792359913408013E-2</v>
      </c>
      <c r="P1312" s="14">
        <f ca="1">IF(TOTALCO!P442="", "",TOTALCO!P442)</f>
        <v>5.6868738207066283E-2</v>
      </c>
      <c r="Q1312" s="14"/>
    </row>
    <row r="1313" spans="1:17" ht="15" x14ac:dyDescent="0.2">
      <c r="A1313" s="382">
        <f>IF(TOTALCO!A443="", "",TOTALCO!A443)</f>
        <v>29</v>
      </c>
      <c r="B1313" s="4" t="str">
        <f>IF(TOTALCO!B443="", "",TOTALCO!B443)</f>
        <v>TOT TRANSM MAINTENANCE LABOR</v>
      </c>
      <c r="C1313" s="4" t="str">
        <f>IF(TOTALCO!C443="", "",TOTALCO!C443)</f>
        <v>LABTRMN</v>
      </c>
      <c r="D1313" s="14">
        <f>IF(TOTALCO!D443="", "",TOTALCO!D443)</f>
        <v>0</v>
      </c>
      <c r="E1313" s="14" t="str">
        <f>IF(TOTALCO!E443="", "",TOTALCO!E443)</f>
        <v/>
      </c>
      <c r="F1313" s="14">
        <f>IF(TOTALCO!F443="", "",TOTALCO!F443)</f>
        <v>0</v>
      </c>
      <c r="G1313" s="14" t="str">
        <f>IF(TOTALCO!G443="", "",TOTALCO!G443)</f>
        <v/>
      </c>
      <c r="H1313" s="14">
        <f>IF(TOTALCO!H443="", "",TOTALCO!H443)</f>
        <v>0</v>
      </c>
      <c r="I1313" s="14">
        <f>IF(TOTALCO!I443="", "",TOTALCO!I443)</f>
        <v>0</v>
      </c>
      <c r="J1313" s="14" t="str">
        <f>IF(TOTALCO!J443="", "",TOTALCO!J443)</f>
        <v/>
      </c>
      <c r="K1313" s="14" t="str">
        <f>IF(TOTALCO!K443="", "",TOTALCO!K443)</f>
        <v/>
      </c>
      <c r="L1313" s="14">
        <f>IF(TOTALCO!L443="", "",TOTALCO!L443)</f>
        <v>0</v>
      </c>
      <c r="M1313" s="14" t="str">
        <f>IF(TOTALCO!M443="", "",TOTALCO!M443)</f>
        <v/>
      </c>
      <c r="N1313" s="14">
        <f>IF(TOTALCO!N443="", "",TOTALCO!N443)</f>
        <v>0</v>
      </c>
      <c r="O1313" s="14">
        <f>IF(TOTALCO!O443="", "",TOTALCO!O443)</f>
        <v>0</v>
      </c>
      <c r="P1313" s="14">
        <f>IF(TOTALCO!P443="", "",TOTALCO!P443)</f>
        <v>0</v>
      </c>
      <c r="Q1313" s="14"/>
    </row>
    <row r="1314" spans="1:17" ht="15" x14ac:dyDescent="0.2">
      <c r="A1314" s="382">
        <f>IF(TOTALCO!A444="", "",TOTALCO!A444)</f>
        <v>30</v>
      </c>
      <c r="B1314" s="4" t="str">
        <f>IF(TOTALCO!B444="", "",TOTALCO!B444)</f>
        <v>DISTR OPER EXP 582-589</v>
      </c>
      <c r="C1314" s="4" t="str">
        <f>IF(TOTALCO!C444="", "",TOTALCO!C444)</f>
        <v>EXP5829DIS</v>
      </c>
      <c r="D1314" s="14">
        <f ca="1">IF(TOTALCO!D444="", "",TOTALCO!D444)</f>
        <v>0.99999999999999989</v>
      </c>
      <c r="E1314" s="14" t="str">
        <f>IF(TOTALCO!E444="", "",TOTALCO!E444)</f>
        <v/>
      </c>
      <c r="F1314" s="14">
        <f ca="1">IF(TOTALCO!F444="", "",TOTALCO!F444)</f>
        <v>0.93840847389480264</v>
      </c>
      <c r="G1314" s="14" t="str">
        <f>IF(TOTALCO!G444="", "",TOTALCO!G444)</f>
        <v/>
      </c>
      <c r="H1314" s="14">
        <f ca="1">IF(TOTALCO!H444="", "",TOTALCO!H444)</f>
        <v>5.6899776237475712E-2</v>
      </c>
      <c r="I1314" s="14">
        <f ca="1">IF(TOTALCO!I444="", "",TOTALCO!I444)</f>
        <v>4.6917498677216118E-3</v>
      </c>
      <c r="J1314" s="14" t="str">
        <f>IF(TOTALCO!J444="", "",TOTALCO!J444)</f>
        <v/>
      </c>
      <c r="K1314" s="14" t="str">
        <f>IF(TOTALCO!K444="", "",TOTALCO!K444)</f>
        <v/>
      </c>
      <c r="L1314" s="14">
        <f ca="1">IF(TOTALCO!L444="", "",TOTALCO!L444)</f>
        <v>9.8074082923509269E-5</v>
      </c>
      <c r="M1314" s="14" t="str">
        <f>IF(TOTALCO!M444="", "",TOTALCO!M444)</f>
        <v/>
      </c>
      <c r="N1314" s="14">
        <f ca="1">IF(TOTALCO!N444="", "",TOTALCO!N444)</f>
        <v>4.5936757847981026E-3</v>
      </c>
      <c r="O1314" s="14">
        <f ca="1">IF(TOTALCO!O444="", "",TOTALCO!O444)</f>
        <v>2.9730423317378902E-3</v>
      </c>
      <c r="P1314" s="14">
        <f ca="1">IF(TOTALCO!P444="", "",TOTALCO!P444)</f>
        <v>1.6206334530602124E-3</v>
      </c>
      <c r="Q1314" s="14"/>
    </row>
    <row r="1315" spans="1:17" ht="15" x14ac:dyDescent="0.2">
      <c r="A1315" s="382">
        <f>IF(TOTALCO!A445="", "",TOTALCO!A445)</f>
        <v>31</v>
      </c>
      <c r="B1315" s="4" t="str">
        <f>IF(TOTALCO!B445="", "",TOTALCO!B445)</f>
        <v>DISTR MAINT EXP 591-598</v>
      </c>
      <c r="C1315" s="4" t="str">
        <f>IF(TOTALCO!C445="", "",TOTALCO!C445)</f>
        <v>EXP5918DIS</v>
      </c>
      <c r="D1315" s="14">
        <f ca="1">IF(TOTALCO!D445="", "",TOTALCO!D445)</f>
        <v>1</v>
      </c>
      <c r="E1315" s="14" t="str">
        <f>IF(TOTALCO!E445="", "",TOTALCO!E445)</f>
        <v/>
      </c>
      <c r="F1315" s="14">
        <f ca="1">IF(TOTALCO!F445="", "",TOTALCO!F445)</f>
        <v>0.92520057867888672</v>
      </c>
      <c r="G1315" s="14" t="str">
        <f>IF(TOTALCO!G445="", "",TOTALCO!G445)</f>
        <v/>
      </c>
      <c r="H1315" s="14">
        <f ca="1">IF(TOTALCO!H445="", "",TOTALCO!H445)</f>
        <v>7.4185601612482235E-2</v>
      </c>
      <c r="I1315" s="14">
        <f ca="1">IF(TOTALCO!I445="", "",TOTALCO!I445)</f>
        <v>6.1381970863107812E-4</v>
      </c>
      <c r="J1315" s="14" t="str">
        <f>IF(TOTALCO!J445="", "",TOTALCO!J445)</f>
        <v/>
      </c>
      <c r="K1315" s="14" t="str">
        <f>IF(TOTALCO!K445="", "",TOTALCO!K445)</f>
        <v/>
      </c>
      <c r="L1315" s="14">
        <f ca="1">IF(TOTALCO!L445="", "",TOTALCO!L445)</f>
        <v>1.3413613826381354E-4</v>
      </c>
      <c r="M1315" s="14" t="str">
        <f>IF(TOTALCO!M445="", "",TOTALCO!M445)</f>
        <v/>
      </c>
      <c r="N1315" s="14">
        <f ca="1">IF(TOTALCO!N445="", "",TOTALCO!N445)</f>
        <v>4.7968357036726455E-4</v>
      </c>
      <c r="O1315" s="14">
        <f ca="1">IF(TOTALCO!O445="", "",TOTALCO!O445)</f>
        <v>4.7071350123928179E-4</v>
      </c>
      <c r="P1315" s="14">
        <f ca="1">IF(TOTALCO!P445="", "",TOTALCO!P445)</f>
        <v>8.9700691279827507E-6</v>
      </c>
      <c r="Q1315" s="14"/>
    </row>
    <row r="1316" spans="1:17" ht="15" x14ac:dyDescent="0.2">
      <c r="A1316" s="382">
        <f>IF(TOTALCO!A446="", "",TOTALCO!A446)</f>
        <v>32</v>
      </c>
      <c r="B1316" s="4" t="str">
        <f>IF(TOTALCO!B446="", "",TOTALCO!B446)</f>
        <v>TOT DISTR OPERATIONS LABOR</v>
      </c>
      <c r="C1316" s="4" t="str">
        <f>IF(TOTALCO!C446="", "",TOTALCO!C446)</f>
        <v>LABDISOP</v>
      </c>
      <c r="D1316" s="14">
        <f ca="1">IF(TOTALCO!D446="", "",TOTALCO!D446)</f>
        <v>0.99999999999999978</v>
      </c>
      <c r="E1316" s="14" t="str">
        <f>IF(TOTALCO!E446="", "",TOTALCO!E446)</f>
        <v/>
      </c>
      <c r="F1316" s="14">
        <f ca="1">IF(TOTALCO!F446="", "",TOTALCO!F446)</f>
        <v>0.94084668465142973</v>
      </c>
      <c r="G1316" s="14" t="str">
        <f>IF(TOTALCO!G446="", "",TOTALCO!G446)</f>
        <v/>
      </c>
      <c r="H1316" s="14">
        <f ca="1">IF(TOTALCO!H446="", "",TOTALCO!H446)</f>
        <v>5.6025851478961691E-2</v>
      </c>
      <c r="I1316" s="14">
        <f ca="1">IF(TOTALCO!I446="", "",TOTALCO!I446)</f>
        <v>3.1274638696084079E-3</v>
      </c>
      <c r="J1316" s="14" t="str">
        <f>IF(TOTALCO!J446="", "",TOTALCO!J446)</f>
        <v/>
      </c>
      <c r="K1316" s="14" t="str">
        <f>IF(TOTALCO!K446="", "",TOTALCO!K446)</f>
        <v/>
      </c>
      <c r="L1316" s="14">
        <f ca="1">IF(TOTALCO!L446="", "",TOTALCO!L446)</f>
        <v>1.1301941664240644E-4</v>
      </c>
      <c r="M1316" s="14" t="str">
        <f>IF(TOTALCO!M446="", "",TOTALCO!M446)</f>
        <v/>
      </c>
      <c r="N1316" s="14">
        <f ca="1">IF(TOTALCO!N446="", "",TOTALCO!N446)</f>
        <v>3.0144444529660013E-3</v>
      </c>
      <c r="O1316" s="14">
        <f ca="1">IF(TOTALCO!O446="", "",TOTALCO!O446)</f>
        <v>2.5904362890761044E-3</v>
      </c>
      <c r="P1316" s="14">
        <f ca="1">IF(TOTALCO!P446="", "",TOTALCO!P446)</f>
        <v>4.2400816388989669E-4</v>
      </c>
      <c r="Q1316" s="14"/>
    </row>
    <row r="1317" spans="1:17" ht="15" x14ac:dyDescent="0.2">
      <c r="A1317" s="382">
        <f>IF(TOTALCO!A447="", "",TOTALCO!A447)</f>
        <v>33</v>
      </c>
      <c r="B1317" s="4" t="str">
        <f>IF(TOTALCO!B447="", "",TOTALCO!B447)</f>
        <v>TOT DISTR MAINTENANCE LABOR</v>
      </c>
      <c r="C1317" s="4" t="str">
        <f>IF(TOTALCO!C447="", "",TOTALCO!C447)</f>
        <v>LABDISMN</v>
      </c>
      <c r="D1317" s="14">
        <f>IF(TOTALCO!D447="", "",TOTALCO!D447)</f>
        <v>0</v>
      </c>
      <c r="E1317" s="14" t="str">
        <f>IF(TOTALCO!E447="", "",TOTALCO!E447)</f>
        <v/>
      </c>
      <c r="F1317" s="14">
        <f>IF(TOTALCO!F447="", "",TOTALCO!F447)</f>
        <v>0</v>
      </c>
      <c r="G1317" s="14" t="str">
        <f>IF(TOTALCO!G447="", "",TOTALCO!G447)</f>
        <v/>
      </c>
      <c r="H1317" s="14">
        <f>IF(TOTALCO!H447="", "",TOTALCO!H447)</f>
        <v>0</v>
      </c>
      <c r="I1317" s="14">
        <f>IF(TOTALCO!I447="", "",TOTALCO!I447)</f>
        <v>0</v>
      </c>
      <c r="J1317" s="14" t="str">
        <f>IF(TOTALCO!J447="", "",TOTALCO!J447)</f>
        <v/>
      </c>
      <c r="K1317" s="14" t="str">
        <f>IF(TOTALCO!K447="", "",TOTALCO!K447)</f>
        <v/>
      </c>
      <c r="L1317" s="14">
        <f>IF(TOTALCO!L447="", "",TOTALCO!L447)</f>
        <v>0</v>
      </c>
      <c r="M1317" s="14" t="str">
        <f>IF(TOTALCO!M447="", "",TOTALCO!M447)</f>
        <v/>
      </c>
      <c r="N1317" s="14">
        <f>IF(TOTALCO!N447="", "",TOTALCO!N447)</f>
        <v>0</v>
      </c>
      <c r="O1317" s="14">
        <f>IF(TOTALCO!O447="", "",TOTALCO!O447)</f>
        <v>0</v>
      </c>
      <c r="P1317" s="14">
        <f>IF(TOTALCO!P447="", "",TOTALCO!P447)</f>
        <v>0</v>
      </c>
      <c r="Q1317" s="14"/>
    </row>
    <row r="1318" spans="1:17" ht="15" x14ac:dyDescent="0.2">
      <c r="A1318" s="382">
        <f>IF(TOTALCO!A448="", "",TOTALCO!A448)</f>
        <v>34</v>
      </c>
      <c r="B1318" s="4" t="str">
        <f>IF(TOTALCO!B448="", "",TOTALCO!B448)</f>
        <v>CUST ACCT EXP 902, 903 &amp; 905</v>
      </c>
      <c r="C1318" s="4" t="str">
        <f>IF(TOTALCO!C448="", "",TOTALCO!C448)</f>
        <v>EXP9025CA</v>
      </c>
      <c r="D1318" s="14">
        <f ca="1">IF(TOTALCO!D448="", "",TOTALCO!D448)</f>
        <v>1</v>
      </c>
      <c r="E1318" s="14" t="str">
        <f>IF(TOTALCO!E448="", "",TOTALCO!E448)</f>
        <v/>
      </c>
      <c r="F1318" s="14">
        <f ca="1">IF(TOTALCO!F448="", "",TOTALCO!F448)</f>
        <v>0.94610805683145516</v>
      </c>
      <c r="G1318" s="14" t="str">
        <f>IF(TOTALCO!G448="", "",TOTALCO!G448)</f>
        <v/>
      </c>
      <c r="H1318" s="14">
        <f ca="1">IF(TOTALCO!H448="", "",TOTALCO!H448)</f>
        <v>5.2647634542542648E-2</v>
      </c>
      <c r="I1318" s="14">
        <f ca="1">IF(TOTALCO!I448="", "",TOTALCO!I448)</f>
        <v>1.2443086260023042E-3</v>
      </c>
      <c r="J1318" s="14" t="str">
        <f>IF(TOTALCO!J448="", "",TOTALCO!J448)</f>
        <v/>
      </c>
      <c r="K1318" s="14" t="str">
        <f>IF(TOTALCO!K448="", "",TOTALCO!K448)</f>
        <v/>
      </c>
      <c r="L1318" s="14">
        <f ca="1">IF(TOTALCO!L448="", "",TOTALCO!L448)</f>
        <v>9.3657638516302455E-6</v>
      </c>
      <c r="M1318" s="14" t="str">
        <f>IF(TOTALCO!M448="", "",TOTALCO!M448)</f>
        <v/>
      </c>
      <c r="N1318" s="14">
        <f ca="1">IF(TOTALCO!N448="", "",TOTALCO!N448)</f>
        <v>1.2349428621506739E-3</v>
      </c>
      <c r="O1318" s="14">
        <f ca="1">IF(TOTALCO!O448="", "",TOTALCO!O448)</f>
        <v>6.6095533467219172E-4</v>
      </c>
      <c r="P1318" s="14">
        <f ca="1">IF(TOTALCO!P448="", "",TOTALCO!P448)</f>
        <v>5.739875274784822E-4</v>
      </c>
      <c r="Q1318" s="14"/>
    </row>
    <row r="1319" spans="1:17" ht="15" x14ac:dyDescent="0.2">
      <c r="A1319" s="382">
        <f>IF(TOTALCO!A449="", "",TOTALCO!A449)</f>
        <v>35</v>
      </c>
      <c r="B1319" s="4" t="str">
        <f>IF(TOTALCO!B449="", "",TOTALCO!B449)</f>
        <v>TOTAL CUST ACCOUNTS LABOR</v>
      </c>
      <c r="C1319" s="4" t="str">
        <f>IF(TOTALCO!C449="", "",TOTALCO!C449)</f>
        <v>LABCA</v>
      </c>
      <c r="D1319" s="14">
        <f ca="1">IF(TOTALCO!D449="", "",TOTALCO!D449)</f>
        <v>1</v>
      </c>
      <c r="E1319" s="14" t="str">
        <f>IF(TOTALCO!E449="", "",TOTALCO!E449)</f>
        <v/>
      </c>
      <c r="F1319" s="14">
        <f ca="1">IF(TOTALCO!F449="", "",TOTALCO!F449)</f>
        <v>0.94610805683145505</v>
      </c>
      <c r="G1319" s="14" t="str">
        <f>IF(TOTALCO!G449="", "",TOTALCO!G449)</f>
        <v/>
      </c>
      <c r="H1319" s="14">
        <f ca="1">IF(TOTALCO!H449="", "",TOTALCO!H449)</f>
        <v>5.2647634542542648E-2</v>
      </c>
      <c r="I1319" s="14">
        <f ca="1">IF(TOTALCO!I449="", "",TOTALCO!I449)</f>
        <v>1.2443086260023042E-3</v>
      </c>
      <c r="J1319" s="14" t="str">
        <f>IF(TOTALCO!J449="", "",TOTALCO!J449)</f>
        <v/>
      </c>
      <c r="K1319" s="14" t="str">
        <f>IF(TOTALCO!K449="", "",TOTALCO!K449)</f>
        <v/>
      </c>
      <c r="L1319" s="14">
        <f ca="1">IF(TOTALCO!L449="", "",TOTALCO!L449)</f>
        <v>9.3657638516302455E-6</v>
      </c>
      <c r="M1319" s="14" t="str">
        <f>IF(TOTALCO!M449="", "",TOTALCO!M449)</f>
        <v/>
      </c>
      <c r="N1319" s="14">
        <f ca="1">IF(TOTALCO!N449="", "",TOTALCO!N449)</f>
        <v>1.2349428621506739E-3</v>
      </c>
      <c r="O1319" s="14">
        <f ca="1">IF(TOTALCO!O449="", "",TOTALCO!O449)</f>
        <v>6.6095533467219172E-4</v>
      </c>
      <c r="P1319" s="14">
        <f ca="1">IF(TOTALCO!P449="", "",TOTALCO!P449)</f>
        <v>5.739875274784822E-4</v>
      </c>
      <c r="Q1319" s="14"/>
    </row>
    <row r="1320" spans="1:17" ht="15" x14ac:dyDescent="0.2">
      <c r="A1320" s="382">
        <f>IF(TOTALCO!A450="", "",TOTALCO!A450)</f>
        <v>36</v>
      </c>
      <c r="B1320" s="4" t="str">
        <f>IF(TOTALCO!B450="", "",TOTALCO!B450)</f>
        <v>CUST SERVICES EXP 908-910</v>
      </c>
      <c r="C1320" s="4" t="str">
        <f>IF(TOTALCO!C450="", "",TOTALCO!C450)</f>
        <v>EXP9080CS</v>
      </c>
      <c r="D1320" s="14">
        <f ca="1">IF(TOTALCO!D450="", "",TOTALCO!D450)</f>
        <v>0.99999999999999989</v>
      </c>
      <c r="E1320" s="14" t="str">
        <f>IF(TOTALCO!E450="", "",TOTALCO!E450)</f>
        <v/>
      </c>
      <c r="F1320" s="14">
        <f ca="1">IF(TOTALCO!F450="", "",TOTALCO!F450)</f>
        <v>0.99929613448218801</v>
      </c>
      <c r="G1320" s="14" t="str">
        <f>IF(TOTALCO!G450="", "",TOTALCO!G450)</f>
        <v/>
      </c>
      <c r="H1320" s="14">
        <f ca="1">IF(TOTALCO!H450="", "",TOTALCO!H450)</f>
        <v>7.0376897554701558E-4</v>
      </c>
      <c r="I1320" s="14">
        <f ca="1">IF(TOTALCO!I450="", "",TOTALCO!I450)</f>
        <v>9.6542264898935563E-8</v>
      </c>
      <c r="J1320" s="14" t="str">
        <f>IF(TOTALCO!J450="", "",TOTALCO!J450)</f>
        <v/>
      </c>
      <c r="K1320" s="14" t="str">
        <f>IF(TOTALCO!K450="", "",TOTALCO!K450)</f>
        <v/>
      </c>
      <c r="L1320" s="14">
        <f ca="1">IF(TOTALCO!L450="", "",TOTALCO!L450)</f>
        <v>9.6542264898935563E-8</v>
      </c>
      <c r="M1320" s="14" t="str">
        <f>IF(TOTALCO!M450="", "",TOTALCO!M450)</f>
        <v/>
      </c>
      <c r="N1320" s="14">
        <f ca="1">IF(TOTALCO!N450="", "",TOTALCO!N450)</f>
        <v>0</v>
      </c>
      <c r="O1320" s="14">
        <f ca="1">IF(TOTALCO!O450="", "",TOTALCO!O450)</f>
        <v>0</v>
      </c>
      <c r="P1320" s="14">
        <f ca="1">IF(TOTALCO!P450="", "",TOTALCO!P450)</f>
        <v>0</v>
      </c>
      <c r="Q1320" s="14"/>
    </row>
    <row r="1321" spans="1:17" ht="15" x14ac:dyDescent="0.2">
      <c r="A1321" s="382">
        <f>IF(TOTALCO!A451="", "",TOTALCO!A451)</f>
        <v>37</v>
      </c>
      <c r="B1321" s="4" t="str">
        <f>IF(TOTALCO!B451="", "",TOTALCO!B451)</f>
        <v>TOTAL CUST SERVICES LABOR</v>
      </c>
      <c r="C1321" s="4" t="str">
        <f>IF(TOTALCO!C451="", "",TOTALCO!C451)</f>
        <v>LABCS</v>
      </c>
      <c r="D1321" s="14">
        <f ca="1">IF(TOTALCO!D451="", "",TOTALCO!D451)</f>
        <v>1</v>
      </c>
      <c r="E1321" s="14" t="str">
        <f>IF(TOTALCO!E451="", "",TOTALCO!E451)</f>
        <v/>
      </c>
      <c r="F1321" s="14">
        <f ca="1">IF(TOTALCO!F451="", "",TOTALCO!F451)</f>
        <v>0.94610805683145505</v>
      </c>
      <c r="G1321" s="14" t="str">
        <f>IF(TOTALCO!G451="", "",TOTALCO!G451)</f>
        <v/>
      </c>
      <c r="H1321" s="14">
        <f ca="1">IF(TOTALCO!H451="", "",TOTALCO!H451)</f>
        <v>5.2647634542542648E-2</v>
      </c>
      <c r="I1321" s="14">
        <f ca="1">IF(TOTALCO!I451="", "",TOTALCO!I451)</f>
        <v>1.2443086260023042E-3</v>
      </c>
      <c r="J1321" s="14" t="str">
        <f>IF(TOTALCO!J451="", "",TOTALCO!J451)</f>
        <v/>
      </c>
      <c r="K1321" s="14" t="str">
        <f>IF(TOTALCO!K451="", "",TOTALCO!K451)</f>
        <v/>
      </c>
      <c r="L1321" s="14">
        <f ca="1">IF(TOTALCO!L451="", "",TOTALCO!L451)</f>
        <v>9.3657638516302455E-6</v>
      </c>
      <c r="M1321" s="14" t="str">
        <f>IF(TOTALCO!M451="", "",TOTALCO!M451)</f>
        <v/>
      </c>
      <c r="N1321" s="14">
        <f ca="1">IF(TOTALCO!N451="", "",TOTALCO!N451)</f>
        <v>1.2349428621506739E-3</v>
      </c>
      <c r="O1321" s="14">
        <f ca="1">IF(TOTALCO!O451="", "",TOTALCO!O451)</f>
        <v>6.6095533467219172E-4</v>
      </c>
      <c r="P1321" s="14">
        <f ca="1">IF(TOTALCO!P451="", "",TOTALCO!P451)</f>
        <v>5.739875274784822E-4</v>
      </c>
      <c r="Q1321" s="14"/>
    </row>
    <row r="1322" spans="1:17" ht="15" x14ac:dyDescent="0.2">
      <c r="A1322" s="382">
        <f>IF(TOTALCO!A452="", "",TOTALCO!A452)</f>
        <v>38</v>
      </c>
      <c r="B1322" s="4" t="str">
        <f>IF(TOTALCO!B452="", "",TOTALCO!B452)</f>
        <v>SALES EXPENSE 912-916</v>
      </c>
      <c r="C1322" s="4" t="str">
        <f>IF(TOTALCO!C452="", "",TOTALCO!C452)</f>
        <v>EXP9126SA</v>
      </c>
      <c r="D1322" s="14">
        <f ca="1">IF(TOTALCO!D452="", "",TOTALCO!D452)</f>
        <v>0.99999999999999989</v>
      </c>
      <c r="E1322" s="14" t="str">
        <f>IF(TOTALCO!E452="", "",TOTALCO!E452)</f>
        <v/>
      </c>
      <c r="F1322" s="14">
        <f ca="1">IF(TOTALCO!F452="", "",TOTALCO!F452)</f>
        <v>0.94596923008515077</v>
      </c>
      <c r="G1322" s="14" t="str">
        <f>IF(TOTALCO!G452="", "",TOTALCO!G452)</f>
        <v/>
      </c>
      <c r="H1322" s="14">
        <f ca="1">IF(TOTALCO!H452="", "",TOTALCO!H452)</f>
        <v>5.4023359049037684E-2</v>
      </c>
      <c r="I1322" s="14">
        <f ca="1">IF(TOTALCO!I452="", "",TOTALCO!I452)</f>
        <v>7.4108658114527512E-6</v>
      </c>
      <c r="J1322" s="14" t="str">
        <f>IF(TOTALCO!J452="", "",TOTALCO!J452)</f>
        <v/>
      </c>
      <c r="K1322" s="14" t="str">
        <f>IF(TOTALCO!K452="", "",TOTALCO!K452)</f>
        <v/>
      </c>
      <c r="L1322" s="14">
        <f ca="1">IF(TOTALCO!L452="", "",TOTALCO!L452)</f>
        <v>7.4108658114527512E-6</v>
      </c>
      <c r="M1322" s="14" t="str">
        <f>IF(TOTALCO!M452="", "",TOTALCO!M452)</f>
        <v/>
      </c>
      <c r="N1322" s="14">
        <f ca="1">IF(TOTALCO!N452="", "",TOTALCO!N452)</f>
        <v>0</v>
      </c>
      <c r="O1322" s="14">
        <f ca="1">IF(TOTALCO!O452="", "",TOTALCO!O452)</f>
        <v>0</v>
      </c>
      <c r="P1322" s="14">
        <f ca="1">IF(TOTALCO!P452="", "",TOTALCO!P452)</f>
        <v>0</v>
      </c>
      <c r="Q1322" s="14"/>
    </row>
    <row r="1323" spans="1:17" ht="15" x14ac:dyDescent="0.2">
      <c r="A1323" s="382">
        <f>IF(TOTALCO!A453="", "",TOTALCO!A453)</f>
        <v>39</v>
      </c>
      <c r="B1323" s="4" t="str">
        <f>IF(TOTALCO!B453="", "",TOTALCO!B453)</f>
        <v>TOTAL SALES EXP LABOR</v>
      </c>
      <c r="C1323" s="4" t="str">
        <f>IF(TOTALCO!C453="", "",TOTALCO!C453)</f>
        <v>LABSA</v>
      </c>
      <c r="D1323" s="14">
        <f ca="1">IF(TOTALCO!D453="", "",TOTALCO!D453)</f>
        <v>1</v>
      </c>
      <c r="E1323" s="14" t="str">
        <f>IF(TOTALCO!E453="", "",TOTALCO!E453)</f>
        <v/>
      </c>
      <c r="F1323" s="14">
        <f ca="1">IF(TOTALCO!F453="", "",TOTALCO!F453)</f>
        <v>0.99929613448218813</v>
      </c>
      <c r="G1323" s="14" t="str">
        <f>IF(TOTALCO!G453="", "",TOTALCO!G453)</f>
        <v/>
      </c>
      <c r="H1323" s="14">
        <f ca="1">IF(TOTALCO!H453="", "",TOTALCO!H453)</f>
        <v>7.0376897554701558E-4</v>
      </c>
      <c r="I1323" s="14">
        <f ca="1">IF(TOTALCO!I453="", "",TOTALCO!I453)</f>
        <v>9.6542264898935563E-8</v>
      </c>
      <c r="J1323" s="14" t="str">
        <f>IF(TOTALCO!J453="", "",TOTALCO!J453)</f>
        <v/>
      </c>
      <c r="K1323" s="14" t="str">
        <f>IF(TOTALCO!K453="", "",TOTALCO!K453)</f>
        <v/>
      </c>
      <c r="L1323" s="14">
        <f ca="1">IF(TOTALCO!L453="", "",TOTALCO!L453)</f>
        <v>9.6542264898935563E-8</v>
      </c>
      <c r="M1323" s="14" t="str">
        <f>IF(TOTALCO!M453="", "",TOTALCO!M453)</f>
        <v/>
      </c>
      <c r="N1323" s="14">
        <f ca="1">IF(TOTALCO!N453="", "",TOTALCO!N453)</f>
        <v>0</v>
      </c>
      <c r="O1323" s="14">
        <f ca="1">IF(TOTALCO!O453="", "",TOTALCO!O453)</f>
        <v>0</v>
      </c>
      <c r="P1323" s="14">
        <f ca="1">IF(TOTALCO!P453="", "",TOTALCO!P453)</f>
        <v>0</v>
      </c>
      <c r="Q1323" s="14"/>
    </row>
    <row r="1324" spans="1:17" ht="15" x14ac:dyDescent="0.2">
      <c r="A1324" s="382">
        <f>IF(TOTALCO!A454="", "",TOTALCO!A454)</f>
        <v>40</v>
      </c>
      <c r="B1324" s="4" t="str">
        <f>IF(TOTALCO!B454="", "",TOTALCO!B454)</f>
        <v>TOT ADMINISTRATIVE &amp; GEN EXP</v>
      </c>
      <c r="C1324" s="4" t="str">
        <f>IF(TOTALCO!C454="", "",TOTALCO!C454)</f>
        <v>A_GEXP</v>
      </c>
      <c r="D1324" s="14">
        <f ca="1">IF(TOTALCO!D454="", "",TOTALCO!D454)</f>
        <v>1</v>
      </c>
      <c r="E1324" s="14" t="str">
        <f>IF(TOTALCO!E454="", "",TOTALCO!E454)</f>
        <v/>
      </c>
      <c r="F1324" s="14">
        <f ca="1">IF(TOTALCO!F454="", "",TOTALCO!F454)</f>
        <v>0.89775834708469027</v>
      </c>
      <c r="G1324" s="14" t="str">
        <f>IF(TOTALCO!G454="", "",TOTALCO!G454)</f>
        <v/>
      </c>
      <c r="H1324" s="14">
        <f ca="1">IF(TOTALCO!H454="", "",TOTALCO!H454)</f>
        <v>5.6725086364232888E-2</v>
      </c>
      <c r="I1324" s="14">
        <f ca="1">IF(TOTALCO!I454="", "",TOTALCO!I454)</f>
        <v>4.5516566551076797E-2</v>
      </c>
      <c r="J1324" s="14" t="str">
        <f>IF(TOTALCO!J454="", "",TOTALCO!J454)</f>
        <v/>
      </c>
      <c r="K1324" s="14" t="str">
        <f>IF(TOTALCO!K454="", "",TOTALCO!K454)</f>
        <v/>
      </c>
      <c r="L1324" s="14">
        <f ca="1">IF(TOTALCO!L454="", "",TOTALCO!L454)</f>
        <v>3.0089481883477772E-5</v>
      </c>
      <c r="M1324" s="14" t="str">
        <f>IF(TOTALCO!M454="", "",TOTALCO!M454)</f>
        <v/>
      </c>
      <c r="N1324" s="14">
        <f ca="1">IF(TOTALCO!N454="", "",TOTALCO!N454)</f>
        <v>4.5486477069193322E-2</v>
      </c>
      <c r="O1324" s="14">
        <f ca="1">IF(TOTALCO!O454="", "",TOTALCO!O454)</f>
        <v>1.4756115427042211E-2</v>
      </c>
      <c r="P1324" s="14">
        <f ca="1">IF(TOTALCO!P454="", "",TOTALCO!P454)</f>
        <v>3.0730361642151111E-2</v>
      </c>
      <c r="Q1324" s="14"/>
    </row>
    <row r="1325" spans="1:17" ht="15" x14ac:dyDescent="0.2">
      <c r="A1325" s="382" t="str">
        <f>IF(TOTALCO!A455="", "",TOTALCO!A455)</f>
        <v/>
      </c>
      <c r="B1325" s="4" t="str">
        <f>IF(TOTALCO!B455="", "",TOTALCO!B455)</f>
        <v/>
      </c>
      <c r="C1325" s="4" t="str">
        <f>IF(TOTALCO!C455="", "",TOTALCO!C455)</f>
        <v/>
      </c>
      <c r="D1325" s="14" t="str">
        <f>IF(TOTALCO!D455="", "",TOTALCO!D455)</f>
        <v/>
      </c>
      <c r="E1325" s="14" t="str">
        <f>IF(TOTALCO!E455="", "",TOTALCO!E455)</f>
        <v/>
      </c>
      <c r="F1325" s="14" t="str">
        <f>IF(TOTALCO!F455="", "",TOTALCO!F455)</f>
        <v/>
      </c>
      <c r="G1325" s="14" t="str">
        <f>IF(TOTALCO!G455="", "",TOTALCO!G455)</f>
        <v/>
      </c>
      <c r="H1325" s="14" t="str">
        <f>IF(TOTALCO!H455="", "",TOTALCO!H455)</f>
        <v/>
      </c>
      <c r="I1325" s="14" t="str">
        <f>IF(TOTALCO!I455="", "",TOTALCO!I455)</f>
        <v/>
      </c>
      <c r="J1325" s="14" t="str">
        <f>IF(TOTALCO!J455="", "",TOTALCO!J455)</f>
        <v/>
      </c>
      <c r="K1325" s="14" t="str">
        <f>IF(TOTALCO!K455="", "",TOTALCO!K455)</f>
        <v/>
      </c>
      <c r="L1325" s="14" t="str">
        <f>IF(TOTALCO!L455="", "",TOTALCO!L455)</f>
        <v/>
      </c>
      <c r="M1325" s="14" t="str">
        <f>IF(TOTALCO!M455="", "",TOTALCO!M455)</f>
        <v/>
      </c>
      <c r="N1325" s="14" t="str">
        <f>IF(TOTALCO!N455="", "",TOTALCO!N455)</f>
        <v/>
      </c>
      <c r="O1325" s="14" t="str">
        <f>IF(TOTALCO!O455="", "",TOTALCO!O455)</f>
        <v/>
      </c>
      <c r="P1325" s="14" t="str">
        <f>IF(TOTALCO!P455="", "",TOTALCO!P455)</f>
        <v/>
      </c>
      <c r="Q1325" s="14"/>
    </row>
    <row r="1326" spans="1:17" ht="15" x14ac:dyDescent="0.2">
      <c r="A1326" s="382" t="str">
        <f>IF(TOTALCO!A456="", "",TOTALCO!A456)</f>
        <v/>
      </c>
      <c r="B1326" s="4" t="str">
        <f>IF(TOTALCO!B456="", "",TOTALCO!B456)</f>
        <v>INTERNALLY DEVELOPED-CON'T</v>
      </c>
      <c r="C1326" s="4" t="str">
        <f>IF(TOTALCO!C456="", "",TOTALCO!C456)</f>
        <v/>
      </c>
      <c r="D1326" s="14" t="str">
        <f>IF(TOTALCO!D456="", "",TOTALCO!D456)</f>
        <v/>
      </c>
      <c r="E1326" s="14" t="str">
        <f>IF(TOTALCO!E456="", "",TOTALCO!E456)</f>
        <v/>
      </c>
      <c r="F1326" s="14" t="str">
        <f>IF(TOTALCO!F456="", "",TOTALCO!F456)</f>
        <v/>
      </c>
      <c r="G1326" s="14" t="str">
        <f>IF(TOTALCO!G456="", "",TOTALCO!G456)</f>
        <v/>
      </c>
      <c r="H1326" s="14" t="str">
        <f>IF(TOTALCO!H456="", "",TOTALCO!H456)</f>
        <v/>
      </c>
      <c r="I1326" s="14" t="str">
        <f>IF(TOTALCO!I456="", "",TOTALCO!I456)</f>
        <v/>
      </c>
      <c r="J1326" s="14" t="str">
        <f>IF(TOTALCO!J456="", "",TOTALCO!J456)</f>
        <v/>
      </c>
      <c r="K1326" s="14" t="str">
        <f>IF(TOTALCO!K456="", "",TOTALCO!K456)</f>
        <v/>
      </c>
      <c r="L1326" s="14" t="str">
        <f>IF(TOTALCO!L456="", "",TOTALCO!L456)</f>
        <v/>
      </c>
      <c r="M1326" s="14" t="str">
        <f>IF(TOTALCO!M456="", "",TOTALCO!M456)</f>
        <v/>
      </c>
      <c r="N1326" s="14" t="str">
        <f>IF(TOTALCO!N456="", "",TOTALCO!N456)</f>
        <v/>
      </c>
      <c r="O1326" s="14" t="str">
        <f>IF(TOTALCO!O456="", "",TOTALCO!O456)</f>
        <v/>
      </c>
      <c r="P1326" s="14" t="str">
        <f>IF(TOTALCO!P456="", "",TOTALCO!P456)</f>
        <v/>
      </c>
      <c r="Q1326" s="14"/>
    </row>
    <row r="1327" spans="1:17" ht="15" x14ac:dyDescent="0.2">
      <c r="A1327" s="382" t="str">
        <f>IF(TOTALCO!A457="", "",TOTALCO!A457)</f>
        <v/>
      </c>
      <c r="B1327" s="4" t="str">
        <f>IF(TOTALCO!B457="", "",TOTALCO!B457)</f>
        <v>-</v>
      </c>
      <c r="C1327" s="4" t="str">
        <f>IF(TOTALCO!C457="", "",TOTALCO!C457)</f>
        <v/>
      </c>
      <c r="D1327" s="14" t="str">
        <f>IF(TOTALCO!D457="", "",TOTALCO!D457)</f>
        <v/>
      </c>
      <c r="E1327" s="14" t="str">
        <f>IF(TOTALCO!E457="", "",TOTALCO!E457)</f>
        <v/>
      </c>
      <c r="F1327" s="14" t="str">
        <f>IF(TOTALCO!F457="", "",TOTALCO!F457)</f>
        <v/>
      </c>
      <c r="G1327" s="14" t="str">
        <f>IF(TOTALCO!G457="", "",TOTALCO!G457)</f>
        <v/>
      </c>
      <c r="H1327" s="14" t="str">
        <f>IF(TOTALCO!H457="", "",TOTALCO!H457)</f>
        <v/>
      </c>
      <c r="I1327" s="14" t="str">
        <f>IF(TOTALCO!I457="", "",TOTALCO!I457)</f>
        <v/>
      </c>
      <c r="J1327" s="14" t="str">
        <f>IF(TOTALCO!J457="", "",TOTALCO!J457)</f>
        <v/>
      </c>
      <c r="K1327" s="14" t="str">
        <f>IF(TOTALCO!K457="", "",TOTALCO!K457)</f>
        <v/>
      </c>
      <c r="L1327" s="14" t="str">
        <f>IF(TOTALCO!L457="", "",TOTALCO!L457)</f>
        <v/>
      </c>
      <c r="M1327" s="14" t="str">
        <f>IF(TOTALCO!M457="", "",TOTALCO!M457)</f>
        <v/>
      </c>
      <c r="N1327" s="14" t="str">
        <f>IF(TOTALCO!N457="", "",TOTALCO!N457)</f>
        <v/>
      </c>
      <c r="O1327" s="14" t="str">
        <f>IF(TOTALCO!O457="", "",TOTALCO!O457)</f>
        <v/>
      </c>
      <c r="P1327" s="14" t="str">
        <f>IF(TOTALCO!P457="", "",TOTALCO!P457)</f>
        <v/>
      </c>
      <c r="Q1327" s="14"/>
    </row>
    <row r="1328" spans="1:17" ht="15" x14ac:dyDescent="0.2">
      <c r="A1328" s="382">
        <f>IF(TOTALCO!A458="", "",TOTALCO!A458)</f>
        <v>1</v>
      </c>
      <c r="B1328" s="4" t="str">
        <f>IF(TOTALCO!B458="", "",TOTALCO!B458)</f>
        <v>ACCT 930-EPRI &amp; ADVERTISING</v>
      </c>
      <c r="C1328" s="4" t="str">
        <f>IF(TOTALCO!C458="", "",TOTALCO!C458)</f>
        <v>EXP930A</v>
      </c>
      <c r="D1328" s="14">
        <f ca="1">IF(TOTALCO!D458="", "",TOTALCO!D458)</f>
        <v>1</v>
      </c>
      <c r="E1328" s="14" t="str">
        <f>IF(TOTALCO!E458="", "",TOTALCO!E458)</f>
        <v/>
      </c>
      <c r="F1328" s="14">
        <f ca="1">IF(TOTALCO!F458="", "",TOTALCO!F458)</f>
        <v>0.94977596455376279</v>
      </c>
      <c r="G1328" s="14" t="str">
        <f>IF(TOTALCO!G458="", "",TOTALCO!G458)</f>
        <v/>
      </c>
      <c r="H1328" s="14">
        <f ca="1">IF(TOTALCO!H458="", "",TOTALCO!H458)</f>
        <v>5.0218814415418159E-2</v>
      </c>
      <c r="I1328" s="14">
        <f ca="1">IF(TOTALCO!I458="", "",TOTALCO!I458)</f>
        <v>5.2210308190352702E-6</v>
      </c>
      <c r="J1328" s="14" t="str">
        <f>IF(TOTALCO!J458="", "",TOTALCO!J458)</f>
        <v/>
      </c>
      <c r="K1328" s="14" t="str">
        <f>IF(TOTALCO!K458="", "",TOTALCO!K458)</f>
        <v/>
      </c>
      <c r="L1328" s="14">
        <f ca="1">IF(TOTALCO!L458="", "",TOTALCO!L458)</f>
        <v>5.2210308190352702E-6</v>
      </c>
      <c r="M1328" s="14" t="str">
        <f>IF(TOTALCO!M458="", "",TOTALCO!M458)</f>
        <v/>
      </c>
      <c r="N1328" s="14">
        <f ca="1">IF(TOTALCO!N458="", "",TOTALCO!N458)</f>
        <v>0</v>
      </c>
      <c r="O1328" s="14">
        <f ca="1">IF(TOTALCO!O458="", "",TOTALCO!O458)</f>
        <v>0</v>
      </c>
      <c r="P1328" s="14">
        <f ca="1">IF(TOTALCO!P458="", "",TOTALCO!P458)</f>
        <v>0</v>
      </c>
      <c r="Q1328" s="14"/>
    </row>
    <row r="1329" spans="1:17" ht="15" x14ac:dyDescent="0.2">
      <c r="A1329" s="382">
        <f>IF(TOTALCO!A459="", "",TOTALCO!A459)</f>
        <v>2</v>
      </c>
      <c r="B1329" s="4" t="str">
        <f>IF(TOTALCO!B459="", "",TOTALCO!B459)</f>
        <v>TOTAL CUSTOMER SERVICES EXP</v>
      </c>
      <c r="C1329" s="4" t="str">
        <f>IF(TOTALCO!C459="", "",TOTALCO!C459)</f>
        <v>CUSTSER</v>
      </c>
      <c r="D1329" s="14">
        <f ca="1">IF(TOTALCO!D459="", "",TOTALCO!D459)</f>
        <v>1</v>
      </c>
      <c r="E1329" s="14" t="str">
        <f>IF(TOTALCO!E459="", "",TOTALCO!E459)</f>
        <v/>
      </c>
      <c r="F1329" s="14">
        <f ca="1">IF(TOTALCO!F459="", "",TOTALCO!F459)</f>
        <v>0.99938461352026797</v>
      </c>
      <c r="G1329" s="14" t="str">
        <f>IF(TOTALCO!G459="", "",TOTALCO!G459)</f>
        <v/>
      </c>
      <c r="H1329" s="14">
        <f ca="1">IF(TOTALCO!H459="", "",TOTALCO!H459)</f>
        <v>6.1530207326083411E-4</v>
      </c>
      <c r="I1329" s="14">
        <f ca="1">IF(TOTALCO!I459="", "",TOTALCO!I459)</f>
        <v>8.4406471176766574E-8</v>
      </c>
      <c r="J1329" s="14" t="str">
        <f>IF(TOTALCO!J459="", "",TOTALCO!J459)</f>
        <v/>
      </c>
      <c r="K1329" s="14" t="str">
        <f>IF(TOTALCO!K459="", "",TOTALCO!K459)</f>
        <v/>
      </c>
      <c r="L1329" s="14">
        <f ca="1">IF(TOTALCO!L459="", "",TOTALCO!L459)</f>
        <v>8.4406471176766574E-8</v>
      </c>
      <c r="M1329" s="14" t="str">
        <f>IF(TOTALCO!M459="", "",TOTALCO!M459)</f>
        <v/>
      </c>
      <c r="N1329" s="14">
        <f ca="1">IF(TOTALCO!N459="", "",TOTALCO!N459)</f>
        <v>0</v>
      </c>
      <c r="O1329" s="14">
        <f ca="1">IF(TOTALCO!O459="", "",TOTALCO!O459)</f>
        <v>0</v>
      </c>
      <c r="P1329" s="14">
        <f ca="1">IF(TOTALCO!P459="", "",TOTALCO!P459)</f>
        <v>0</v>
      </c>
      <c r="Q1329" s="14"/>
    </row>
    <row r="1330" spans="1:17" ht="15" x14ac:dyDescent="0.2">
      <c r="A1330" s="382">
        <f>IF(TOTALCO!A460="", "",TOTALCO!A460)</f>
        <v>3</v>
      </c>
      <c r="B1330" s="4" t="str">
        <f>IF(TOTALCO!B460="", "",TOTALCO!B460)</f>
        <v>DISTRIBUTION PLANT EXCL VA</v>
      </c>
      <c r="C1330" s="4" t="str">
        <f>IF(TOTALCO!C460="", "",TOTALCO!C460)</f>
        <v>DPLTXVA</v>
      </c>
      <c r="D1330" s="14">
        <f ca="1">IF(TOTALCO!D460="", "",TOTALCO!D460)</f>
        <v>1</v>
      </c>
      <c r="E1330" s="14" t="str">
        <f>IF(TOTALCO!E460="", "",TOTALCO!E460)</f>
        <v/>
      </c>
      <c r="F1330" s="14">
        <f ca="1">IF(TOTALCO!F460="", "",TOTALCO!F460)</f>
        <v>0.99668691788381247</v>
      </c>
      <c r="G1330" s="14" t="str">
        <f>IF(TOTALCO!G460="", "",TOTALCO!G460)</f>
        <v/>
      </c>
      <c r="H1330" s="14">
        <f ca="1">IF(TOTALCO!H460="", "",TOTALCO!H460)</f>
        <v>0</v>
      </c>
      <c r="I1330" s="14">
        <f ca="1">IF(TOTALCO!I460="", "",TOTALCO!I460)</f>
        <v>3.3130821161875346E-3</v>
      </c>
      <c r="J1330" s="14" t="str">
        <f>IF(TOTALCO!J460="", "",TOTALCO!J460)</f>
        <v/>
      </c>
      <c r="K1330" s="14" t="str">
        <f>IF(TOTALCO!K460="", "",TOTALCO!K460)</f>
        <v/>
      </c>
      <c r="L1330" s="14">
        <f ca="1">IF(TOTALCO!L460="", "",TOTALCO!L460)</f>
        <v>1.1972723704296189E-4</v>
      </c>
      <c r="M1330" s="14" t="str">
        <f>IF(TOTALCO!M460="", "",TOTALCO!M460)</f>
        <v/>
      </c>
      <c r="N1330" s="14">
        <f ca="1">IF(TOTALCO!N460="", "",TOTALCO!N460)</f>
        <v>3.1933548791445729E-3</v>
      </c>
      <c r="O1330" s="14">
        <f ca="1">IF(TOTALCO!O460="", "",TOTALCO!O460)</f>
        <v>2.7441813879486463E-3</v>
      </c>
      <c r="P1330" s="14">
        <f ca="1">IF(TOTALCO!P460="", "",TOTALCO!P460)</f>
        <v>4.4917349119592647E-4</v>
      </c>
      <c r="Q1330" s="14"/>
    </row>
    <row r="1331" spans="1:17" ht="15" x14ac:dyDescent="0.2">
      <c r="A1331" s="382">
        <f>IF(TOTALCO!A461="", "",TOTALCO!A461)</f>
        <v>4</v>
      </c>
      <c r="B1331" s="4" t="str">
        <f>IF(TOTALCO!B461="", "",TOTALCO!B461)</f>
        <v>ACCT 926 DIR ASSIGN COMP.KY RET</v>
      </c>
      <c r="C1331" s="4" t="str">
        <f>IF(TOTALCO!C461="", "",TOTALCO!C461)</f>
        <v>LABPTDKY</v>
      </c>
      <c r="D1331" s="14">
        <f ca="1">IF(TOTALCO!D461="", "",TOTALCO!D461)</f>
        <v>1</v>
      </c>
      <c r="E1331" s="14" t="str">
        <f>IF(TOTALCO!E461="", "",TOTALCO!E461)</f>
        <v/>
      </c>
      <c r="F1331" s="14">
        <f ca="1">IF(TOTALCO!F461="", "",TOTALCO!F461)</f>
        <v>1</v>
      </c>
      <c r="G1331" s="14" t="str">
        <f>IF(TOTALCO!G461="", "",TOTALCO!G461)</f>
        <v/>
      </c>
      <c r="H1331" s="14">
        <f>IF(TOTALCO!H461="", "",TOTALCO!H461)</f>
        <v>0</v>
      </c>
      <c r="I1331" s="14">
        <f>IF(TOTALCO!I461="", "",TOTALCO!I461)</f>
        <v>0</v>
      </c>
      <c r="J1331" s="14" t="str">
        <f>IF(TOTALCO!J461="", "",TOTALCO!J461)</f>
        <v/>
      </c>
      <c r="K1331" s="14" t="str">
        <f>IF(TOTALCO!K461="", "",TOTALCO!K461)</f>
        <v/>
      </c>
      <c r="L1331" s="14">
        <f>IF(TOTALCO!L461="", "",TOTALCO!L461)</f>
        <v>0</v>
      </c>
      <c r="M1331" s="14" t="str">
        <f>IF(TOTALCO!M461="", "",TOTALCO!M461)</f>
        <v/>
      </c>
      <c r="N1331" s="14">
        <f>IF(TOTALCO!N461="", "",TOTALCO!N461)</f>
        <v>0</v>
      </c>
      <c r="O1331" s="14">
        <f>IF(TOTALCO!O461="", "",TOTALCO!O461)</f>
        <v>0</v>
      </c>
      <c r="P1331" s="14">
        <f>IF(TOTALCO!P461="", "",TOTALCO!P461)</f>
        <v>0</v>
      </c>
      <c r="Q1331" s="14"/>
    </row>
    <row r="1332" spans="1:17" ht="15" x14ac:dyDescent="0.2">
      <c r="A1332" s="382">
        <f>IF(TOTALCO!A462="", "",TOTALCO!A462)</f>
        <v>5</v>
      </c>
      <c r="B1332" s="4" t="str">
        <f>IF(TOTALCO!B462="", "",TOTALCO!B462)</f>
        <v>ACCT 926 DIR ASSIGN COMP.VAJ</v>
      </c>
      <c r="C1332" s="4" t="str">
        <f>IF(TOTALCO!C462="", "",TOTALCO!C462)</f>
        <v>LABPTDVAJ</v>
      </c>
      <c r="D1332" s="14">
        <f ca="1">IF(TOTALCO!D462="", "",TOTALCO!D462)</f>
        <v>1</v>
      </c>
      <c r="E1332" s="14" t="str">
        <f>IF(TOTALCO!E462="", "",TOTALCO!E462)</f>
        <v/>
      </c>
      <c r="F1332" s="14">
        <f>IF(TOTALCO!F462="", "",TOTALCO!F462)</f>
        <v>0</v>
      </c>
      <c r="G1332" s="14" t="str">
        <f>IF(TOTALCO!G462="", "",TOTALCO!G462)</f>
        <v/>
      </c>
      <c r="H1332" s="14">
        <f ca="1">IF(TOTALCO!H462="", "",TOTALCO!H462)</f>
        <v>1</v>
      </c>
      <c r="I1332" s="14">
        <f>IF(TOTALCO!I462="", "",TOTALCO!I462)</f>
        <v>0</v>
      </c>
      <c r="J1332" s="14" t="str">
        <f>IF(TOTALCO!J462="", "",TOTALCO!J462)</f>
        <v/>
      </c>
      <c r="K1332" s="14" t="str">
        <f>IF(TOTALCO!K462="", "",TOTALCO!K462)</f>
        <v/>
      </c>
      <c r="L1332" s="14">
        <f>IF(TOTALCO!L462="", "",TOTALCO!L462)</f>
        <v>0</v>
      </c>
      <c r="M1332" s="14" t="str">
        <f>IF(TOTALCO!M462="", "",TOTALCO!M462)</f>
        <v/>
      </c>
      <c r="N1332" s="14">
        <f>IF(TOTALCO!N462="", "",TOTALCO!N462)</f>
        <v>0</v>
      </c>
      <c r="O1332" s="14">
        <f>IF(TOTALCO!O462="", "",TOTALCO!O462)</f>
        <v>0</v>
      </c>
      <c r="P1332" s="14">
        <f>IF(TOTALCO!P462="", "",TOTALCO!P462)</f>
        <v>0</v>
      </c>
      <c r="Q1332" s="14"/>
    </row>
    <row r="1333" spans="1:17" ht="15" x14ac:dyDescent="0.2">
      <c r="A1333" s="382">
        <f>IF(TOTALCO!A463="", "",TOTALCO!A463)</f>
        <v>6</v>
      </c>
      <c r="B1333" s="4" t="str">
        <f>IF(TOTALCO!B463="", "",TOTALCO!B463)</f>
        <v>ACCT 926 DIR ASSIGN COMP.VANJ</v>
      </c>
      <c r="C1333" s="4" t="str">
        <f>IF(TOTALCO!C463="", "",TOTALCO!C463)</f>
        <v>LABPTDVNJ</v>
      </c>
      <c r="D1333" s="14">
        <f>IF(TOTALCO!D463="", "",TOTALCO!D463)</f>
        <v>0</v>
      </c>
      <c r="E1333" s="14" t="str">
        <f>IF(TOTALCO!E463="", "",TOTALCO!E463)</f>
        <v/>
      </c>
      <c r="F1333" s="14">
        <f>IF(TOTALCO!F463="", "",TOTALCO!F463)</f>
        <v>0</v>
      </c>
      <c r="G1333" s="14" t="str">
        <f>IF(TOTALCO!G463="", "",TOTALCO!G463)</f>
        <v/>
      </c>
      <c r="H1333" s="14">
        <f>IF(TOTALCO!H463="", "",TOTALCO!H463)</f>
        <v>0</v>
      </c>
      <c r="I1333" s="14">
        <f>IF(TOTALCO!I463="", "",TOTALCO!I463)</f>
        <v>0</v>
      </c>
      <c r="J1333" s="14" t="str">
        <f>IF(TOTALCO!J463="", "",TOTALCO!J463)</f>
        <v/>
      </c>
      <c r="K1333" s="14" t="str">
        <f>IF(TOTALCO!K463="", "",TOTALCO!K463)</f>
        <v/>
      </c>
      <c r="L1333" s="14">
        <f>IF(TOTALCO!L463="", "",TOTALCO!L463)</f>
        <v>0</v>
      </c>
      <c r="M1333" s="14" t="str">
        <f>IF(TOTALCO!M463="", "",TOTALCO!M463)</f>
        <v/>
      </c>
      <c r="N1333" s="14">
        <f>IF(TOTALCO!N463="", "",TOTALCO!N463)</f>
        <v>0</v>
      </c>
      <c r="O1333" s="14">
        <f>IF(TOTALCO!O463="", "",TOTALCO!O463)</f>
        <v>0</v>
      </c>
      <c r="P1333" s="14">
        <f>IF(TOTALCO!P463="", "",TOTALCO!P463)</f>
        <v>0</v>
      </c>
      <c r="Q1333" s="14"/>
    </row>
    <row r="1334" spans="1:17" ht="15" x14ac:dyDescent="0.2">
      <c r="A1334" s="382">
        <f>IF(TOTALCO!A464="", "",TOTALCO!A464)</f>
        <v>7</v>
      </c>
      <c r="B1334" s="4" t="str">
        <f>IF(TOTALCO!B464="", "",TOTALCO!B464)</f>
        <v>ACCT 926 DIR ASSIGN COMP.FERC</v>
      </c>
      <c r="C1334" s="4" t="str">
        <f>IF(TOTALCO!C464="", "",TOTALCO!C464)</f>
        <v>LABPTDFER</v>
      </c>
      <c r="D1334" s="14">
        <f ca="1">IF(TOTALCO!D464="", "",TOTALCO!D464)</f>
        <v>1</v>
      </c>
      <c r="E1334" s="14" t="str">
        <f>IF(TOTALCO!E464="", "",TOTALCO!E464)</f>
        <v/>
      </c>
      <c r="F1334" s="14">
        <f>IF(TOTALCO!F464="", "",TOTALCO!F464)</f>
        <v>0</v>
      </c>
      <c r="G1334" s="14" t="str">
        <f>IF(TOTALCO!G464="", "",TOTALCO!G464)</f>
        <v/>
      </c>
      <c r="H1334" s="14">
        <f>IF(TOTALCO!H464="", "",TOTALCO!H464)</f>
        <v>0</v>
      </c>
      <c r="I1334" s="14">
        <f ca="1">IF(TOTALCO!I464="", "",TOTALCO!I464)</f>
        <v>1</v>
      </c>
      <c r="J1334" s="14" t="str">
        <f>IF(TOTALCO!J464="", "",TOTALCO!J464)</f>
        <v/>
      </c>
      <c r="K1334" s="14" t="str">
        <f>IF(TOTALCO!K464="", "",TOTALCO!K464)</f>
        <v/>
      </c>
      <c r="L1334" s="14">
        <f>IF(TOTALCO!L464="", "",TOTALCO!L464)</f>
        <v>0</v>
      </c>
      <c r="M1334" s="14" t="str">
        <f>IF(TOTALCO!M464="", "",TOTALCO!M464)</f>
        <v/>
      </c>
      <c r="N1334" s="14">
        <f ca="1">IF(TOTALCO!N464="", "",TOTALCO!N464)</f>
        <v>1</v>
      </c>
      <c r="O1334" s="14">
        <f ca="1">IF(TOTALCO!O464="", "",TOTALCO!O464)</f>
        <v>0.32422366307970424</v>
      </c>
      <c r="P1334" s="14">
        <f ca="1">IF(TOTALCO!P464="", "",TOTALCO!P464)</f>
        <v>0.67577633692029571</v>
      </c>
      <c r="Q1334" s="14"/>
    </row>
    <row r="1335" spans="1:17" ht="15" x14ac:dyDescent="0.2">
      <c r="A1335" s="382">
        <f>IF(TOTALCO!A465="", "",TOTALCO!A465)</f>
        <v>8</v>
      </c>
      <c r="B1335" s="4" t="str">
        <f>IF(TOTALCO!B465="", "",TOTALCO!B465)</f>
        <v>203(E) EXCESS DEFERRED TAXES</v>
      </c>
      <c r="C1335" s="4" t="str">
        <f>IF(TOTALCO!C465="", "",TOTALCO!C465)</f>
        <v>TOT203E</v>
      </c>
      <c r="D1335" s="14">
        <f ca="1">IF(TOTALCO!D465="", "",TOTALCO!D465)</f>
        <v>1</v>
      </c>
      <c r="E1335" s="14" t="str">
        <f>IF(TOTALCO!E465="", "",TOTALCO!E465)</f>
        <v/>
      </c>
      <c r="F1335" s="14">
        <f ca="1">IF(TOTALCO!F465="", "",TOTALCO!F465)</f>
        <v>0.8786138824468086</v>
      </c>
      <c r="G1335" s="14" t="str">
        <f>IF(TOTALCO!G465="", "",TOTALCO!G465)</f>
        <v/>
      </c>
      <c r="H1335" s="14">
        <f ca="1">IF(TOTALCO!H465="", "",TOTALCO!H465)</f>
        <v>5.5732172393129359E-2</v>
      </c>
      <c r="I1335" s="14">
        <f ca="1">IF(TOTALCO!I465="", "",TOTALCO!I465)</f>
        <v>6.5653945160062135E-2</v>
      </c>
      <c r="J1335" s="14" t="str">
        <f>IF(TOTALCO!J465="", "",TOTALCO!J465)</f>
        <v/>
      </c>
      <c r="K1335" s="14" t="str">
        <f>IF(TOTALCO!K465="", "",TOTALCO!K465)</f>
        <v/>
      </c>
      <c r="L1335" s="14">
        <f ca="1">IF(TOTALCO!L465="", "",TOTALCO!L465)</f>
        <v>3.1002407141825237E-5</v>
      </c>
      <c r="M1335" s="14" t="str">
        <f>IF(TOTALCO!M465="", "",TOTALCO!M465)</f>
        <v/>
      </c>
      <c r="N1335" s="14">
        <f ca="1">IF(TOTALCO!N465="", "",TOTALCO!N465)</f>
        <v>6.5622942752920313E-2</v>
      </c>
      <c r="O1335" s="14">
        <f ca="1">IF(TOTALCO!O465="", "",TOTALCO!O465)</f>
        <v>2.0849613160379313E-2</v>
      </c>
      <c r="P1335" s="14">
        <f ca="1">IF(TOTALCO!P465="", "",TOTALCO!P465)</f>
        <v>4.4773329592540996E-2</v>
      </c>
      <c r="Q1335" s="14"/>
    </row>
    <row r="1336" spans="1:17" ht="15" x14ac:dyDescent="0.2">
      <c r="A1336" s="382">
        <f>IF(TOTALCO!A466="", "",TOTALCO!A466)</f>
        <v>9</v>
      </c>
      <c r="B1336" s="4" t="str">
        <f>IF(TOTALCO!B466="", "",TOTALCO!B466)</f>
        <v>RATE BASE-KY</v>
      </c>
      <c r="C1336" s="4" t="str">
        <f>IF(TOTALCO!C466="", "",TOTALCO!C466)</f>
        <v>KYRATEBASE</v>
      </c>
      <c r="D1336" s="14">
        <f ca="1">IF(TOTALCO!D466="", "",TOTALCO!D466)</f>
        <v>1</v>
      </c>
      <c r="E1336" s="14" t="str">
        <f>IF(TOTALCO!E466="", "",TOTALCO!E466)</f>
        <v/>
      </c>
      <c r="F1336" s="14">
        <f ca="1">IF(TOTALCO!F466="", "",TOTALCO!F466)</f>
        <v>0.9246940375175865</v>
      </c>
      <c r="G1336" s="14" t="str">
        <f>IF(TOTALCO!G466="", "",TOTALCO!G466)</f>
        <v/>
      </c>
      <c r="H1336" s="14">
        <f>IF(TOTALCO!H466="", "",TOTALCO!H466)</f>
        <v>0</v>
      </c>
      <c r="I1336" s="14">
        <f ca="1">IF(TOTALCO!I466="", "",TOTALCO!I466)</f>
        <v>7.530596248241346E-2</v>
      </c>
      <c r="J1336" s="14" t="str">
        <f>IF(TOTALCO!J466="", "",TOTALCO!J466)</f>
        <v/>
      </c>
      <c r="K1336" s="14" t="str">
        <f>IF(TOTALCO!K466="", "",TOTALCO!K466)</f>
        <v/>
      </c>
      <c r="L1336" s="14">
        <f>IF(TOTALCO!L466="", "",TOTALCO!L466)</f>
        <v>0</v>
      </c>
      <c r="M1336" s="14" t="str">
        <f>IF(TOTALCO!M466="", "",TOTALCO!M466)</f>
        <v/>
      </c>
      <c r="N1336" s="14">
        <f ca="1">IF(TOTALCO!N466="", "",TOTALCO!N466)</f>
        <v>7.5305962482413474E-2</v>
      </c>
      <c r="O1336" s="14">
        <f ca="1">IF(TOTALCO!O466="", "",TOTALCO!O466)</f>
        <v>2.3917210411279158E-2</v>
      </c>
      <c r="P1336" s="14">
        <f ca="1">IF(TOTALCO!P466="", "",TOTALCO!P466)</f>
        <v>5.138875207113431E-2</v>
      </c>
      <c r="Q1336" s="14"/>
    </row>
    <row r="1337" spans="1:17" ht="15" x14ac:dyDescent="0.2">
      <c r="A1337" s="382">
        <f>IF(TOTALCO!A467="", "",TOTALCO!A467)</f>
        <v>10</v>
      </c>
      <c r="B1337" s="4" t="str">
        <f>IF(TOTALCO!B467="", "",TOTALCO!B467)</f>
        <v/>
      </c>
      <c r="C1337" s="4" t="str">
        <f>IF(TOTALCO!C467="", "",TOTALCO!C467)</f>
        <v/>
      </c>
      <c r="D1337" s="14" t="str">
        <f>IF(TOTALCO!D467="", "",TOTALCO!D467)</f>
        <v/>
      </c>
      <c r="E1337" s="14" t="str">
        <f>IF(TOTALCO!E467="", "",TOTALCO!E467)</f>
        <v/>
      </c>
      <c r="F1337" s="14" t="str">
        <f>IF(TOTALCO!F467="", "",TOTALCO!F467)</f>
        <v/>
      </c>
      <c r="G1337" s="14" t="str">
        <f>IF(TOTALCO!G467="", "",TOTALCO!G467)</f>
        <v/>
      </c>
      <c r="H1337" s="14" t="str">
        <f>IF(TOTALCO!H467="", "",TOTALCO!H467)</f>
        <v/>
      </c>
      <c r="I1337" s="14" t="str">
        <f>IF(TOTALCO!I467="", "",TOTALCO!I467)</f>
        <v/>
      </c>
      <c r="J1337" s="14" t="str">
        <f>IF(TOTALCO!J467="", "",TOTALCO!J467)</f>
        <v/>
      </c>
      <c r="K1337" s="14" t="str">
        <f>IF(TOTALCO!K467="", "",TOTALCO!K467)</f>
        <v/>
      </c>
      <c r="L1337" s="14" t="str">
        <f>IF(TOTALCO!L467="", "",TOTALCO!L467)</f>
        <v/>
      </c>
      <c r="M1337" s="14" t="str">
        <f>IF(TOTALCO!M467="", "",TOTALCO!M467)</f>
        <v/>
      </c>
      <c r="N1337" s="14" t="str">
        <f>IF(TOTALCO!N467="", "",TOTALCO!N467)</f>
        <v/>
      </c>
      <c r="O1337" s="14" t="str">
        <f>IF(TOTALCO!O467="", "",TOTALCO!O467)</f>
        <v/>
      </c>
      <c r="P1337" s="14" t="str">
        <f>IF(TOTALCO!P467="", "",TOTALCO!P467)</f>
        <v/>
      </c>
      <c r="Q1337" s="14"/>
    </row>
    <row r="1338" spans="1:17" ht="15" x14ac:dyDescent="0.2">
      <c r="A1338" s="382">
        <f>IF(TOTALCO!A468="", "",TOTALCO!A468)</f>
        <v>11</v>
      </c>
      <c r="B1338" s="4" t="str">
        <f>IF(TOTALCO!B468="", "",TOTALCO!B468)</f>
        <v/>
      </c>
      <c r="C1338" s="4" t="str">
        <f>IF(TOTALCO!C468="", "",TOTALCO!C468)</f>
        <v/>
      </c>
      <c r="D1338" s="14" t="str">
        <f>IF(TOTALCO!D468="", "",TOTALCO!D468)</f>
        <v/>
      </c>
      <c r="E1338" s="14" t="str">
        <f>IF(TOTALCO!E468="", "",TOTALCO!E468)</f>
        <v/>
      </c>
      <c r="F1338" s="14" t="str">
        <f>IF(TOTALCO!F468="", "",TOTALCO!F468)</f>
        <v/>
      </c>
      <c r="G1338" s="14" t="str">
        <f>IF(TOTALCO!G468="", "",TOTALCO!G468)</f>
        <v/>
      </c>
      <c r="H1338" s="14" t="str">
        <f>IF(TOTALCO!H468="", "",TOTALCO!H468)</f>
        <v/>
      </c>
      <c r="I1338" s="14" t="str">
        <f>IF(TOTALCO!I468="", "",TOTALCO!I468)</f>
        <v/>
      </c>
      <c r="J1338" s="14" t="str">
        <f>IF(TOTALCO!J468="", "",TOTALCO!J468)</f>
        <v/>
      </c>
      <c r="K1338" s="14" t="str">
        <f>IF(TOTALCO!K468="", "",TOTALCO!K468)</f>
        <v/>
      </c>
      <c r="L1338" s="14" t="str">
        <f>IF(TOTALCO!L468="", "",TOTALCO!L468)</f>
        <v/>
      </c>
      <c r="M1338" s="14" t="str">
        <f>IF(TOTALCO!M468="", "",TOTALCO!M468)</f>
        <v/>
      </c>
      <c r="N1338" s="14" t="str">
        <f>IF(TOTALCO!N468="", "",TOTALCO!N468)</f>
        <v/>
      </c>
      <c r="O1338" s="14" t="str">
        <f>IF(TOTALCO!O468="", "",TOTALCO!O468)</f>
        <v/>
      </c>
      <c r="P1338" s="14" t="str">
        <f>IF(TOTALCO!P468="", "",TOTALCO!P468)</f>
        <v/>
      </c>
      <c r="Q1338" s="14"/>
    </row>
    <row r="1339" spans="1:17" ht="15" x14ac:dyDescent="0.2">
      <c r="A1339" s="382">
        <f>IF(TOTALCO!A469="", "",TOTALCO!A469)</f>
        <v>12</v>
      </c>
      <c r="B1339" s="4" t="str">
        <f>IF(TOTALCO!B469="", "",TOTALCO!B469)</f>
        <v/>
      </c>
      <c r="C1339" s="4" t="str">
        <f>IF(TOTALCO!C469="", "",TOTALCO!C469)</f>
        <v/>
      </c>
      <c r="D1339" s="14" t="str">
        <f>IF(TOTALCO!D469="", "",TOTALCO!D469)</f>
        <v/>
      </c>
      <c r="E1339" s="14" t="str">
        <f>IF(TOTALCO!E469="", "",TOTALCO!E469)</f>
        <v/>
      </c>
      <c r="F1339" s="14" t="str">
        <f>IF(TOTALCO!F469="", "",TOTALCO!F469)</f>
        <v/>
      </c>
      <c r="G1339" s="14" t="str">
        <f>IF(TOTALCO!G469="", "",TOTALCO!G469)</f>
        <v/>
      </c>
      <c r="H1339" s="14" t="str">
        <f>IF(TOTALCO!H469="", "",TOTALCO!H469)</f>
        <v/>
      </c>
      <c r="I1339" s="14" t="str">
        <f>IF(TOTALCO!I469="", "",TOTALCO!I469)</f>
        <v/>
      </c>
      <c r="J1339" s="14" t="str">
        <f>IF(TOTALCO!J469="", "",TOTALCO!J469)</f>
        <v/>
      </c>
      <c r="K1339" s="14" t="str">
        <f>IF(TOTALCO!K469="", "",TOTALCO!K469)</f>
        <v/>
      </c>
      <c r="L1339" s="14" t="str">
        <f>IF(TOTALCO!L469="", "",TOTALCO!L469)</f>
        <v/>
      </c>
      <c r="M1339" s="14" t="str">
        <f>IF(TOTALCO!M469="", "",TOTALCO!M469)</f>
        <v/>
      </c>
      <c r="N1339" s="14" t="str">
        <f>IF(TOTALCO!N469="", "",TOTALCO!N469)</f>
        <v/>
      </c>
      <c r="O1339" s="14" t="str">
        <f>IF(TOTALCO!O469="", "",TOTALCO!O469)</f>
        <v/>
      </c>
      <c r="P1339" s="14" t="str">
        <f>IF(TOTALCO!P469="", "",TOTALCO!P469)</f>
        <v/>
      </c>
      <c r="Q1339" s="14"/>
    </row>
    <row r="1340" spans="1:17" ht="15" x14ac:dyDescent="0.2">
      <c r="A1340" s="382">
        <f>IF(TOTALCO!A470="", "",TOTALCO!A470)</f>
        <v>13</v>
      </c>
      <c r="B1340" s="4" t="str">
        <f>IF(TOTALCO!B470="", "",TOTALCO!B470)</f>
        <v/>
      </c>
      <c r="C1340" s="4" t="str">
        <f>IF(TOTALCO!C470="", "",TOTALCO!C470)</f>
        <v/>
      </c>
      <c r="D1340" s="14" t="str">
        <f>IF(TOTALCO!D470="", "",TOTALCO!D470)</f>
        <v/>
      </c>
      <c r="E1340" s="14" t="str">
        <f>IF(TOTALCO!E470="", "",TOTALCO!E470)</f>
        <v/>
      </c>
      <c r="F1340" s="14" t="str">
        <f>IF(TOTALCO!F470="", "",TOTALCO!F470)</f>
        <v/>
      </c>
      <c r="G1340" s="14" t="str">
        <f>IF(TOTALCO!G470="", "",TOTALCO!G470)</f>
        <v/>
      </c>
      <c r="H1340" s="14" t="str">
        <f>IF(TOTALCO!H470="", "",TOTALCO!H470)</f>
        <v/>
      </c>
      <c r="I1340" s="14" t="str">
        <f>IF(TOTALCO!I470="", "",TOTALCO!I470)</f>
        <v/>
      </c>
      <c r="J1340" s="14" t="str">
        <f>IF(TOTALCO!J470="", "",TOTALCO!J470)</f>
        <v/>
      </c>
      <c r="K1340" s="14" t="str">
        <f>IF(TOTALCO!K470="", "",TOTALCO!K470)</f>
        <v/>
      </c>
      <c r="L1340" s="14" t="str">
        <f>IF(TOTALCO!L470="", "",TOTALCO!L470)</f>
        <v/>
      </c>
      <c r="M1340" s="14" t="str">
        <f>IF(TOTALCO!M470="", "",TOTALCO!M470)</f>
        <v/>
      </c>
      <c r="N1340" s="14" t="str">
        <f>IF(TOTALCO!N470="", "",TOTALCO!N470)</f>
        <v/>
      </c>
      <c r="O1340" s="14" t="str">
        <f>IF(TOTALCO!O470="", "",TOTALCO!O470)</f>
        <v/>
      </c>
      <c r="P1340" s="14" t="str">
        <f>IF(TOTALCO!P470="", "",TOTALCO!P470)</f>
        <v/>
      </c>
      <c r="Q1340" s="14"/>
    </row>
    <row r="1354" spans="1:17" ht="15" x14ac:dyDescent="0.2">
      <c r="A1354" s="383"/>
      <c r="B1354" s="4"/>
      <c r="C1354" s="9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</row>
    <row r="1355" spans="1:17" ht="15" x14ac:dyDescent="0.2">
      <c r="A1355" s="383"/>
      <c r="B1355" s="4"/>
      <c r="C1355" s="9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</row>
    <row r="1356" spans="1:17" ht="15" x14ac:dyDescent="0.2">
      <c r="A1356" s="383"/>
      <c r="B1356" s="4"/>
      <c r="C1356" s="9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</row>
    <row r="1357" spans="1:17" x14ac:dyDescent="0.2"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</row>
    <row r="1358" spans="1:17" x14ac:dyDescent="0.2"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</row>
    <row r="1359" spans="1:17" x14ac:dyDescent="0.2"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</row>
    <row r="1360" spans="1:17" x14ac:dyDescent="0.2"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</row>
    <row r="1361" spans="4:17" x14ac:dyDescent="0.2"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</row>
    <row r="1362" spans="4:17" x14ac:dyDescent="0.2"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</row>
    <row r="1363" spans="4:17" x14ac:dyDescent="0.2"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</row>
    <row r="1364" spans="4:17" x14ac:dyDescent="0.2"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</row>
    <row r="1365" spans="4:17" x14ac:dyDescent="0.2"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</row>
    <row r="1366" spans="4:17" x14ac:dyDescent="0.2"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</row>
    <row r="1367" spans="4:17" x14ac:dyDescent="0.2"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</row>
    <row r="1368" spans="4:17" x14ac:dyDescent="0.2"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</row>
    <row r="1369" spans="4:17" x14ac:dyDescent="0.2"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</row>
    <row r="1370" spans="4:17" x14ac:dyDescent="0.2"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</row>
    <row r="1371" spans="4:17" x14ac:dyDescent="0.2"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</row>
    <row r="1372" spans="4:17" x14ac:dyDescent="0.2"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</row>
    <row r="1373" spans="4:17" x14ac:dyDescent="0.2"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</row>
    <row r="1374" spans="4:17" x14ac:dyDescent="0.2"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</row>
    <row r="1375" spans="4:17" x14ac:dyDescent="0.2"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</row>
    <row r="1376" spans="4:17" x14ac:dyDescent="0.2"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</row>
    <row r="1377" spans="4:17" x14ac:dyDescent="0.2"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</row>
    <row r="1378" spans="4:17" x14ac:dyDescent="0.2"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</row>
    <row r="1379" spans="4:17" x14ac:dyDescent="0.2"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</row>
    <row r="1380" spans="4:17" x14ac:dyDescent="0.2"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</row>
    <row r="1381" spans="4:17" x14ac:dyDescent="0.2"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</row>
    <row r="1382" spans="4:17" x14ac:dyDescent="0.2"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</row>
    <row r="1383" spans="4:17" x14ac:dyDescent="0.2"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</row>
    <row r="1384" spans="4:17" x14ac:dyDescent="0.2"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</row>
    <row r="1385" spans="4:17" x14ac:dyDescent="0.2"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</row>
    <row r="1386" spans="4:17" x14ac:dyDescent="0.2"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</row>
    <row r="1387" spans="4:17" x14ac:dyDescent="0.2"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</row>
    <row r="1388" spans="4:17" x14ac:dyDescent="0.2"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</row>
    <row r="1389" spans="4:17" x14ac:dyDescent="0.2"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</row>
    <row r="1390" spans="4:17" x14ac:dyDescent="0.2"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</row>
    <row r="1391" spans="4:17" x14ac:dyDescent="0.2"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</row>
    <row r="1392" spans="4:17" x14ac:dyDescent="0.2"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</row>
  </sheetData>
  <sheetProtection selectLockedCells="1" selectUnlockedCells="1"/>
  <phoneticPr fontId="10" type="noConversion"/>
  <pageMargins left="0.35" right="0.25" top="1" bottom="0.19" header="1" footer="0.4"/>
  <pageSetup scale="45" pageOrder="overThenDown" orientation="landscape" r:id="rId1"/>
  <headerFooter alignWithMargins="0">
    <oddFooter>&amp;R&amp;"Arial,Bold"&amp;14Conroy Exhibit C2
Page &amp;P of &amp;N</oddFooter>
  </headerFooter>
  <rowBreaks count="28" manualBreakCount="28">
    <brk id="63" min="3" max="15" man="1"/>
    <brk id="113" min="3" max="15" man="1"/>
    <brk id="152" min="3" max="15" man="1"/>
    <brk id="204" min="3" max="15" man="1"/>
    <brk id="229" min="3" max="15" man="1"/>
    <brk id="274" min="3" max="15" man="1"/>
    <brk id="326" min="3" max="15" man="1"/>
    <brk id="370" min="3" max="15" man="1"/>
    <brk id="409" min="3" max="15" man="1"/>
    <brk id="469" min="3" max="15" man="1"/>
    <brk id="519" min="3" max="15" man="1"/>
    <brk id="579" min="3" max="15" man="1"/>
    <brk id="625" min="3" max="15" man="1"/>
    <brk id="673" min="3" max="15" man="1"/>
    <brk id="720" min="3" max="15" man="1"/>
    <brk id="773" min="3" max="15" man="1"/>
    <brk id="818" min="3" max="15" man="1"/>
    <brk id="862" min="3" max="15" man="1"/>
    <brk id="902" min="3" max="15" man="1"/>
    <brk id="963" min="3" max="15" man="1"/>
    <brk id="997" min="3" max="15" man="1"/>
    <brk id="1045" min="3" max="15" man="1"/>
    <brk id="1088" min="3" max="15" man="1"/>
    <brk id="1141" min="3" max="15" man="1"/>
    <brk id="1201" min="3" max="15" man="1"/>
    <brk id="1235" min="3" max="15" man="1"/>
    <brk id="1282" min="3" max="15" man="1"/>
    <brk id="1325" min="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P360"/>
  <sheetViews>
    <sheetView zoomScale="70" zoomScaleNormal="70" workbookViewId="0">
      <selection activeCell="D33" sqref="D33"/>
    </sheetView>
  </sheetViews>
  <sheetFormatPr defaultRowHeight="12.75" x14ac:dyDescent="0.2"/>
  <cols>
    <col min="1" max="1" width="45" style="407" bestFit="1" customWidth="1"/>
    <col min="2" max="2" width="15.5" style="527" customWidth="1"/>
    <col min="3" max="3" width="1.5" style="407" customWidth="1"/>
    <col min="4" max="4" width="15.5" style="527" customWidth="1"/>
    <col min="5" max="5" width="1.5" style="407" customWidth="1"/>
    <col min="6" max="6" width="15.5" style="527" customWidth="1"/>
    <col min="7" max="7" width="1.5" style="407" customWidth="1"/>
    <col min="8" max="8" width="15.5" style="527" customWidth="1"/>
    <col min="9" max="9" width="1.5" style="407" customWidth="1"/>
    <col min="10" max="10" width="15.5" style="527" customWidth="1"/>
    <col min="11" max="11" width="1.5" style="407" customWidth="1"/>
    <col min="12" max="12" width="15.5" style="527" customWidth="1"/>
    <col min="13" max="13" width="1.5" style="407" customWidth="1"/>
    <col min="14" max="14" width="18.625" style="407" customWidth="1"/>
    <col min="15" max="15" width="1.5" style="407" customWidth="1"/>
    <col min="16" max="16" width="18.625" style="407" customWidth="1"/>
    <col min="17" max="16384" width="9" style="407"/>
  </cols>
  <sheetData>
    <row r="1" spans="1:16" s="405" customFormat="1" ht="15" x14ac:dyDescent="0.2">
      <c r="A1" s="493" t="s">
        <v>785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</row>
    <row r="2" spans="1:16" s="405" customFormat="1" ht="15" x14ac:dyDescent="0.2">
      <c r="A2" s="493" t="s">
        <v>1498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</row>
    <row r="3" spans="1:16" x14ac:dyDescent="0.2">
      <c r="A3" s="496" t="s">
        <v>1513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</row>
    <row r="4" spans="1:16" x14ac:dyDescent="0.2">
      <c r="A4" s="523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</row>
    <row r="5" spans="1:16" x14ac:dyDescent="0.2">
      <c r="A5" s="523"/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</row>
    <row r="6" spans="1:16" x14ac:dyDescent="0.2">
      <c r="A6" s="401"/>
      <c r="B6" s="402" t="s">
        <v>786</v>
      </c>
      <c r="C6" s="401"/>
      <c r="D6" s="406"/>
      <c r="E6" s="401"/>
      <c r="F6" s="406"/>
      <c r="G6" s="401"/>
      <c r="H6" s="402" t="s">
        <v>787</v>
      </c>
      <c r="I6" s="401"/>
      <c r="J6" s="406"/>
      <c r="K6" s="401"/>
      <c r="L6" s="402" t="s">
        <v>788</v>
      </c>
      <c r="M6" s="401"/>
      <c r="N6" s="401"/>
      <c r="O6" s="401"/>
      <c r="P6" s="400" t="s">
        <v>1495</v>
      </c>
    </row>
    <row r="7" spans="1:16" x14ac:dyDescent="0.2">
      <c r="A7" s="401"/>
      <c r="B7" s="403" t="s">
        <v>789</v>
      </c>
      <c r="C7" s="401"/>
      <c r="D7" s="403" t="s">
        <v>790</v>
      </c>
      <c r="E7" s="401"/>
      <c r="F7" s="403" t="s">
        <v>791</v>
      </c>
      <c r="G7" s="401"/>
      <c r="H7" s="403" t="s">
        <v>792</v>
      </c>
      <c r="I7" s="401"/>
      <c r="J7" s="403" t="s">
        <v>793</v>
      </c>
      <c r="K7" s="401"/>
      <c r="L7" s="403" t="s">
        <v>789</v>
      </c>
      <c r="M7" s="401"/>
      <c r="N7" s="403" t="s">
        <v>1496</v>
      </c>
      <c r="O7" s="401"/>
      <c r="P7" s="403" t="s">
        <v>1497</v>
      </c>
    </row>
    <row r="8" spans="1:16" x14ac:dyDescent="0.2">
      <c r="A8" s="400" t="s">
        <v>1491</v>
      </c>
      <c r="B8" s="404"/>
      <c r="C8" s="401"/>
      <c r="D8" s="404"/>
      <c r="E8" s="401"/>
      <c r="F8" s="404"/>
      <c r="G8" s="401"/>
      <c r="H8" s="404"/>
      <c r="I8" s="401"/>
      <c r="J8" s="404"/>
      <c r="K8" s="401"/>
      <c r="L8" s="404"/>
      <c r="M8" s="401"/>
      <c r="N8" s="401"/>
      <c r="O8" s="401"/>
      <c r="P8" s="401"/>
    </row>
    <row r="9" spans="1:16" x14ac:dyDescent="0.2">
      <c r="A9" s="400" t="s">
        <v>1492</v>
      </c>
      <c r="B9" s="406"/>
      <c r="C9" s="401"/>
      <c r="D9" s="406"/>
      <c r="E9" s="401"/>
      <c r="F9" s="406"/>
      <c r="G9" s="401"/>
      <c r="H9" s="406"/>
      <c r="I9" s="401"/>
      <c r="J9" s="406"/>
      <c r="K9" s="401"/>
      <c r="L9" s="406"/>
      <c r="M9" s="401"/>
      <c r="N9" s="401"/>
      <c r="O9" s="401"/>
      <c r="P9" s="401"/>
    </row>
    <row r="10" spans="1:16" x14ac:dyDescent="0.2">
      <c r="A10" s="400" t="s">
        <v>794</v>
      </c>
      <c r="B10" s="406"/>
      <c r="C10" s="401"/>
      <c r="D10" s="406"/>
      <c r="E10" s="401"/>
      <c r="F10" s="406"/>
      <c r="G10" s="401"/>
      <c r="H10" s="406"/>
      <c r="I10" s="401"/>
      <c r="J10" s="406"/>
      <c r="K10" s="401"/>
      <c r="L10" s="406"/>
      <c r="M10" s="401"/>
      <c r="N10" s="401"/>
      <c r="O10" s="401"/>
      <c r="P10" s="401"/>
    </row>
    <row r="11" spans="1:16" x14ac:dyDescent="0.2">
      <c r="A11" s="401" t="s">
        <v>795</v>
      </c>
      <c r="B11" s="406">
        <v>1945404.05</v>
      </c>
      <c r="C11" s="408"/>
      <c r="D11" s="406">
        <v>0</v>
      </c>
      <c r="E11" s="408"/>
      <c r="F11" s="406">
        <v>0</v>
      </c>
      <c r="G11" s="408"/>
      <c r="H11" s="406">
        <v>0</v>
      </c>
      <c r="I11" s="408"/>
      <c r="J11" s="406">
        <v>0</v>
      </c>
      <c r="K11" s="408"/>
      <c r="L11" s="406">
        <v>1945404.05</v>
      </c>
      <c r="M11" s="401"/>
      <c r="N11" s="409">
        <v>-1420203.2499999998</v>
      </c>
      <c r="O11" s="401"/>
      <c r="P11" s="409">
        <v>525200.80000000028</v>
      </c>
    </row>
    <row r="12" spans="1:16" x14ac:dyDescent="0.2">
      <c r="A12" s="401" t="s">
        <v>796</v>
      </c>
      <c r="B12" s="406">
        <v>3167146.0500000003</v>
      </c>
      <c r="C12" s="408"/>
      <c r="D12" s="406">
        <v>0</v>
      </c>
      <c r="E12" s="408"/>
      <c r="F12" s="406">
        <v>0</v>
      </c>
      <c r="G12" s="408"/>
      <c r="H12" s="406">
        <v>0</v>
      </c>
      <c r="I12" s="408"/>
      <c r="J12" s="406">
        <v>0</v>
      </c>
      <c r="K12" s="408"/>
      <c r="L12" s="406">
        <v>3167146.0500000003</v>
      </c>
      <c r="M12" s="401"/>
      <c r="N12" s="409">
        <v>-7.2759576141834259E-12</v>
      </c>
      <c r="O12" s="401"/>
      <c r="P12" s="409">
        <v>3167146.0500000003</v>
      </c>
    </row>
    <row r="13" spans="1:16" x14ac:dyDescent="0.2">
      <c r="A13" s="401" t="s">
        <v>797</v>
      </c>
      <c r="B13" s="406">
        <v>7207493.2000000002</v>
      </c>
      <c r="C13" s="408"/>
      <c r="D13" s="406">
        <v>10379.74</v>
      </c>
      <c r="E13" s="408"/>
      <c r="F13" s="406">
        <v>-3598.18</v>
      </c>
      <c r="G13" s="408"/>
      <c r="H13" s="406">
        <v>0</v>
      </c>
      <c r="I13" s="408"/>
      <c r="J13" s="406">
        <v>6781.5599999999995</v>
      </c>
      <c r="K13" s="408"/>
      <c r="L13" s="406">
        <v>7214274.7599999998</v>
      </c>
      <c r="M13" s="401"/>
      <c r="N13" s="409">
        <v>-1714737.7600000002</v>
      </c>
      <c r="O13" s="401"/>
      <c r="P13" s="409">
        <v>5499537</v>
      </c>
    </row>
    <row r="14" spans="1:16" x14ac:dyDescent="0.2">
      <c r="A14" s="401" t="s">
        <v>798</v>
      </c>
      <c r="B14" s="406">
        <v>133511389.98999999</v>
      </c>
      <c r="C14" s="408"/>
      <c r="D14" s="406">
        <v>4299165.53</v>
      </c>
      <c r="E14" s="408"/>
      <c r="F14" s="406">
        <v>-200629.91999999998</v>
      </c>
      <c r="G14" s="408"/>
      <c r="H14" s="406">
        <v>0</v>
      </c>
      <c r="I14" s="408"/>
      <c r="J14" s="406">
        <v>4098535.6100000003</v>
      </c>
      <c r="K14" s="408"/>
      <c r="L14" s="406">
        <v>137609925.59999999</v>
      </c>
      <c r="M14" s="401"/>
      <c r="N14" s="409">
        <v>-38110522.880000003</v>
      </c>
      <c r="O14" s="401"/>
      <c r="P14" s="409">
        <v>99499402.719999999</v>
      </c>
    </row>
    <row r="15" spans="1:16" x14ac:dyDescent="0.2">
      <c r="A15" s="401" t="s">
        <v>799</v>
      </c>
      <c r="B15" s="406">
        <v>265406213.50999999</v>
      </c>
      <c r="C15" s="408"/>
      <c r="D15" s="406">
        <v>8655544.7300000004</v>
      </c>
      <c r="E15" s="408"/>
      <c r="F15" s="406">
        <v>-263406.92</v>
      </c>
      <c r="G15" s="408"/>
      <c r="H15" s="406">
        <v>0</v>
      </c>
      <c r="I15" s="408"/>
      <c r="J15" s="406">
        <v>8392137.8100000005</v>
      </c>
      <c r="K15" s="408"/>
      <c r="L15" s="406">
        <v>273798351.31999999</v>
      </c>
      <c r="M15" s="401"/>
      <c r="N15" s="409">
        <v>-124076080.30000001</v>
      </c>
      <c r="O15" s="401"/>
      <c r="P15" s="409">
        <v>149722271.01999998</v>
      </c>
    </row>
    <row r="16" spans="1:16" x14ac:dyDescent="0.2">
      <c r="A16" s="401" t="s">
        <v>800</v>
      </c>
      <c r="B16" s="406">
        <v>256704586.28999996</v>
      </c>
      <c r="C16" s="408"/>
      <c r="D16" s="406">
        <v>7541848.8700000001</v>
      </c>
      <c r="E16" s="408"/>
      <c r="F16" s="406">
        <v>-909481.6100000001</v>
      </c>
      <c r="G16" s="408"/>
      <c r="H16" s="406">
        <v>0</v>
      </c>
      <c r="I16" s="408"/>
      <c r="J16" s="406">
        <v>6632367.2599999998</v>
      </c>
      <c r="K16" s="408"/>
      <c r="L16" s="406">
        <v>263336953.54999995</v>
      </c>
      <c r="M16" s="401"/>
      <c r="N16" s="409">
        <v>-100265816.37999998</v>
      </c>
      <c r="O16" s="401"/>
      <c r="P16" s="409">
        <v>163071137.16999996</v>
      </c>
    </row>
    <row r="17" spans="1:16" x14ac:dyDescent="0.2">
      <c r="A17" s="401" t="s">
        <v>801</v>
      </c>
      <c r="B17" s="406">
        <v>1861963.15</v>
      </c>
      <c r="C17" s="408"/>
      <c r="D17" s="406">
        <v>-26363.940000000002</v>
      </c>
      <c r="E17" s="408"/>
      <c r="F17" s="406">
        <v>-3734.14</v>
      </c>
      <c r="G17" s="408"/>
      <c r="H17" s="406">
        <v>0</v>
      </c>
      <c r="I17" s="408"/>
      <c r="J17" s="406">
        <v>-30098.080000000002</v>
      </c>
      <c r="K17" s="408"/>
      <c r="L17" s="406">
        <v>1831865.0699999998</v>
      </c>
      <c r="M17" s="401"/>
      <c r="N17" s="409">
        <v>-658552.65000000014</v>
      </c>
      <c r="O17" s="401"/>
      <c r="P17" s="409">
        <v>1173312.4199999997</v>
      </c>
    </row>
    <row r="18" spans="1:16" x14ac:dyDescent="0.2">
      <c r="A18" s="401" t="s">
        <v>802</v>
      </c>
      <c r="B18" s="406">
        <v>137895742.72999999</v>
      </c>
      <c r="C18" s="408"/>
      <c r="D18" s="406">
        <v>1722064.4000000001</v>
      </c>
      <c r="E18" s="408"/>
      <c r="F18" s="406">
        <v>-108587.97</v>
      </c>
      <c r="G18" s="408"/>
      <c r="H18" s="406">
        <v>0</v>
      </c>
      <c r="I18" s="408"/>
      <c r="J18" s="406">
        <v>1613476.4300000002</v>
      </c>
      <c r="K18" s="408"/>
      <c r="L18" s="406">
        <v>139509219.16</v>
      </c>
      <c r="M18" s="401"/>
      <c r="N18" s="409">
        <v>-29237331.019999992</v>
      </c>
      <c r="O18" s="401"/>
      <c r="P18" s="409">
        <v>110271888.14</v>
      </c>
    </row>
    <row r="19" spans="1:16" x14ac:dyDescent="0.2">
      <c r="A19" s="401" t="s">
        <v>803</v>
      </c>
      <c r="B19" s="406">
        <v>272044534</v>
      </c>
      <c r="C19" s="408"/>
      <c r="D19" s="406">
        <v>1927998.12</v>
      </c>
      <c r="E19" s="408"/>
      <c r="F19" s="406">
        <v>-55195.020000000004</v>
      </c>
      <c r="G19" s="408"/>
      <c r="H19" s="406">
        <v>0</v>
      </c>
      <c r="I19" s="408"/>
      <c r="J19" s="406">
        <v>1872803.1</v>
      </c>
      <c r="K19" s="408"/>
      <c r="L19" s="406">
        <v>273917337.10000002</v>
      </c>
      <c r="M19" s="401"/>
      <c r="N19" s="409">
        <v>-112184884.71000002</v>
      </c>
      <c r="O19" s="401"/>
      <c r="P19" s="409">
        <v>161732452.38999999</v>
      </c>
    </row>
    <row r="20" spans="1:16" x14ac:dyDescent="0.2">
      <c r="A20" s="401" t="s">
        <v>804</v>
      </c>
      <c r="B20" s="406">
        <v>83864669.359999985</v>
      </c>
      <c r="C20" s="408"/>
      <c r="D20" s="406">
        <v>674478.87999999989</v>
      </c>
      <c r="E20" s="408"/>
      <c r="F20" s="406">
        <v>-31530.589999999997</v>
      </c>
      <c r="G20" s="408"/>
      <c r="H20" s="406">
        <v>0</v>
      </c>
      <c r="I20" s="408"/>
      <c r="J20" s="406">
        <v>642948.28999999992</v>
      </c>
      <c r="K20" s="408"/>
      <c r="L20" s="406">
        <v>84507617.649999991</v>
      </c>
      <c r="M20" s="401"/>
      <c r="N20" s="409">
        <v>-54018932.489999995</v>
      </c>
      <c r="O20" s="401"/>
      <c r="P20" s="409">
        <v>30488685.159999996</v>
      </c>
    </row>
    <row r="21" spans="1:16" x14ac:dyDescent="0.2">
      <c r="A21" s="401" t="s">
        <v>805</v>
      </c>
      <c r="B21" s="406">
        <v>66411732.760000005</v>
      </c>
      <c r="C21" s="408"/>
      <c r="D21" s="406">
        <v>873061.92999999993</v>
      </c>
      <c r="E21" s="408"/>
      <c r="F21" s="406">
        <v>0</v>
      </c>
      <c r="G21" s="408"/>
      <c r="H21" s="406">
        <v>0</v>
      </c>
      <c r="I21" s="408"/>
      <c r="J21" s="406">
        <v>873061.92999999993</v>
      </c>
      <c r="K21" s="408"/>
      <c r="L21" s="406">
        <v>67284794.690000013</v>
      </c>
      <c r="M21" s="401"/>
      <c r="N21" s="409">
        <v>-30345653.160000004</v>
      </c>
      <c r="O21" s="401"/>
      <c r="P21" s="409">
        <v>36939141.530000009</v>
      </c>
    </row>
    <row r="22" spans="1:16" x14ac:dyDescent="0.2">
      <c r="A22" s="401" t="s">
        <v>806</v>
      </c>
      <c r="B22" s="406">
        <v>17384576.289999999</v>
      </c>
      <c r="C22" s="408"/>
      <c r="D22" s="406">
        <v>0</v>
      </c>
      <c r="E22" s="408"/>
      <c r="F22" s="406">
        <v>-1.07</v>
      </c>
      <c r="G22" s="408"/>
      <c r="H22" s="406">
        <v>0</v>
      </c>
      <c r="I22" s="408"/>
      <c r="J22" s="406">
        <v>-1.07</v>
      </c>
      <c r="K22" s="408"/>
      <c r="L22" s="406">
        <v>17384575.219999999</v>
      </c>
      <c r="M22" s="401"/>
      <c r="N22" s="409">
        <v>-16826066</v>
      </c>
      <c r="O22" s="401"/>
      <c r="P22" s="409">
        <v>558509.21999999881</v>
      </c>
    </row>
    <row r="23" spans="1:16" x14ac:dyDescent="0.2">
      <c r="A23" s="401" t="s">
        <v>807</v>
      </c>
      <c r="B23" s="406">
        <v>79454666.670000017</v>
      </c>
      <c r="C23" s="410"/>
      <c r="D23" s="406">
        <v>1650157.2200000002</v>
      </c>
      <c r="E23" s="410"/>
      <c r="F23" s="406">
        <v>-129234.26999999999</v>
      </c>
      <c r="G23" s="410"/>
      <c r="H23" s="406">
        <v>0</v>
      </c>
      <c r="I23" s="410"/>
      <c r="J23" s="411">
        <v>1520922.9500000002</v>
      </c>
      <c r="K23" s="410"/>
      <c r="L23" s="411">
        <v>80975589.62000002</v>
      </c>
      <c r="M23" s="401"/>
      <c r="N23" s="409">
        <v>-20154404.809999995</v>
      </c>
      <c r="O23" s="401"/>
      <c r="P23" s="409">
        <v>60821184.810000025</v>
      </c>
    </row>
    <row r="24" spans="1:16" x14ac:dyDescent="0.2">
      <c r="A24" s="401" t="s">
        <v>808</v>
      </c>
      <c r="B24" s="411">
        <v>287375.78999999998</v>
      </c>
      <c r="C24" s="410"/>
      <c r="D24" s="411">
        <v>0</v>
      </c>
      <c r="E24" s="410"/>
      <c r="F24" s="411">
        <v>0</v>
      </c>
      <c r="G24" s="410"/>
      <c r="H24" s="411">
        <v>0</v>
      </c>
      <c r="I24" s="410"/>
      <c r="J24" s="411">
        <v>0</v>
      </c>
      <c r="K24" s="410"/>
      <c r="L24" s="411">
        <v>287375.78999999998</v>
      </c>
      <c r="M24" s="412"/>
      <c r="N24" s="413">
        <v>-6332.609999999966</v>
      </c>
      <c r="O24" s="412"/>
      <c r="P24" s="413">
        <v>281043.18</v>
      </c>
    </row>
    <row r="25" spans="1:16" x14ac:dyDescent="0.2">
      <c r="A25" s="524" t="s">
        <v>1493</v>
      </c>
      <c r="B25" s="411">
        <v>499658.73</v>
      </c>
      <c r="C25" s="410"/>
      <c r="D25" s="411">
        <v>0</v>
      </c>
      <c r="E25" s="410"/>
      <c r="F25" s="411">
        <v>0</v>
      </c>
      <c r="G25" s="410"/>
      <c r="H25" s="411">
        <v>-79.970000000001164</v>
      </c>
      <c r="I25" s="410"/>
      <c r="J25" s="411">
        <v>-79.970000000001164</v>
      </c>
      <c r="K25" s="410"/>
      <c r="L25" s="411">
        <v>499578.76</v>
      </c>
      <c r="M25" s="401"/>
      <c r="N25" s="413">
        <v>-8318.11</v>
      </c>
      <c r="O25" s="401"/>
      <c r="P25" s="413">
        <v>491260.65</v>
      </c>
    </row>
    <row r="26" spans="1:16" x14ac:dyDescent="0.2">
      <c r="A26" s="401"/>
      <c r="B26" s="414">
        <v>1327647152.5699997</v>
      </c>
      <c r="C26" s="410"/>
      <c r="D26" s="414">
        <v>27328335.479999997</v>
      </c>
      <c r="E26" s="410"/>
      <c r="F26" s="414">
        <v>-1705399.6900000002</v>
      </c>
      <c r="G26" s="410"/>
      <c r="H26" s="414">
        <v>-79.970000000001164</v>
      </c>
      <c r="I26" s="410"/>
      <c r="J26" s="414">
        <v>25622855.820000004</v>
      </c>
      <c r="K26" s="410"/>
      <c r="L26" s="414">
        <v>1353270008.3900001</v>
      </c>
      <c r="M26" s="401"/>
      <c r="N26" s="414">
        <v>-529027836.13000011</v>
      </c>
      <c r="O26" s="401"/>
      <c r="P26" s="414">
        <v>824242172.25999987</v>
      </c>
    </row>
    <row r="27" spans="1:16" x14ac:dyDescent="0.2">
      <c r="A27" s="401"/>
      <c r="B27" s="411"/>
      <c r="C27" s="410"/>
      <c r="D27" s="411"/>
      <c r="E27" s="410"/>
      <c r="F27" s="411"/>
      <c r="G27" s="410"/>
      <c r="H27" s="411"/>
      <c r="I27" s="410"/>
      <c r="J27" s="411"/>
      <c r="K27" s="410"/>
      <c r="L27" s="411"/>
      <c r="M27" s="401"/>
      <c r="N27" s="401"/>
      <c r="O27" s="401"/>
      <c r="P27" s="401"/>
    </row>
    <row r="28" spans="1:16" x14ac:dyDescent="0.2">
      <c r="A28" s="400" t="s">
        <v>809</v>
      </c>
      <c r="B28" s="411"/>
      <c r="C28" s="410"/>
      <c r="D28" s="411"/>
      <c r="E28" s="410"/>
      <c r="F28" s="411"/>
      <c r="G28" s="410"/>
      <c r="H28" s="411"/>
      <c r="I28" s="410"/>
      <c r="J28" s="411"/>
      <c r="K28" s="410"/>
      <c r="L28" s="411"/>
      <c r="M28" s="401"/>
      <c r="N28" s="401"/>
      <c r="O28" s="401"/>
      <c r="P28" s="401"/>
    </row>
    <row r="29" spans="1:16" x14ac:dyDescent="0.2">
      <c r="A29" s="401" t="s">
        <v>810</v>
      </c>
      <c r="B29" s="406">
        <v>2487245.7000000002</v>
      </c>
      <c r="C29" s="408"/>
      <c r="D29" s="406">
        <v>82821.22</v>
      </c>
      <c r="E29" s="408"/>
      <c r="F29" s="406">
        <v>0</v>
      </c>
      <c r="G29" s="408"/>
      <c r="H29" s="406">
        <v>-21141</v>
      </c>
      <c r="I29" s="408"/>
      <c r="J29" s="406">
        <v>61680.22</v>
      </c>
      <c r="K29" s="408"/>
      <c r="L29" s="406">
        <v>2548925.9200000004</v>
      </c>
      <c r="M29" s="401"/>
      <c r="N29" s="409">
        <v>0</v>
      </c>
      <c r="O29" s="401"/>
      <c r="P29" s="409">
        <v>2548925.9200000004</v>
      </c>
    </row>
    <row r="30" spans="1:16" x14ac:dyDescent="0.2">
      <c r="A30" s="401" t="s">
        <v>811</v>
      </c>
      <c r="B30" s="406">
        <v>46143178.719999999</v>
      </c>
      <c r="C30" s="408"/>
      <c r="D30" s="406">
        <v>-382494.59999999963</v>
      </c>
      <c r="E30" s="408"/>
      <c r="F30" s="406">
        <v>0</v>
      </c>
      <c r="G30" s="408"/>
      <c r="H30" s="406">
        <v>-434595.85000000003</v>
      </c>
      <c r="I30" s="408"/>
      <c r="J30" s="406">
        <v>-817090.44999999972</v>
      </c>
      <c r="K30" s="408"/>
      <c r="L30" s="406">
        <v>45326088.269999996</v>
      </c>
      <c r="M30" s="401"/>
      <c r="N30" s="409">
        <v>-9552053.4900000021</v>
      </c>
      <c r="O30" s="401"/>
      <c r="P30" s="409">
        <v>35774034.779999994</v>
      </c>
    </row>
    <row r="31" spans="1:16" x14ac:dyDescent="0.2">
      <c r="A31" s="401" t="s">
        <v>812</v>
      </c>
      <c r="B31" s="406">
        <v>491089.84</v>
      </c>
      <c r="C31" s="408"/>
      <c r="D31" s="406">
        <v>0</v>
      </c>
      <c r="E31" s="408"/>
      <c r="F31" s="406">
        <v>0</v>
      </c>
      <c r="G31" s="408"/>
      <c r="H31" s="406">
        <v>0</v>
      </c>
      <c r="I31" s="408"/>
      <c r="J31" s="406">
        <v>0</v>
      </c>
      <c r="K31" s="408"/>
      <c r="L31" s="406">
        <v>491089.84</v>
      </c>
      <c r="M31" s="401"/>
      <c r="N31" s="409">
        <v>-374663.75000000006</v>
      </c>
      <c r="O31" s="401"/>
      <c r="P31" s="409">
        <v>116426.08999999997</v>
      </c>
    </row>
    <row r="32" spans="1:16" x14ac:dyDescent="0.2">
      <c r="A32" s="401" t="s">
        <v>813</v>
      </c>
      <c r="B32" s="406">
        <v>7506389.8000000007</v>
      </c>
      <c r="C32" s="408"/>
      <c r="D32" s="406">
        <v>289375.05999999994</v>
      </c>
      <c r="E32" s="408"/>
      <c r="F32" s="406">
        <v>0</v>
      </c>
      <c r="G32" s="408"/>
      <c r="H32" s="406">
        <v>3798.94</v>
      </c>
      <c r="I32" s="408"/>
      <c r="J32" s="406">
        <v>293173.99999999994</v>
      </c>
      <c r="K32" s="408"/>
      <c r="L32" s="406">
        <v>7799563.8000000007</v>
      </c>
      <c r="M32" s="401"/>
      <c r="N32" s="409">
        <v>-4236482.9899999993</v>
      </c>
      <c r="O32" s="401"/>
      <c r="P32" s="409">
        <v>3563080.8100000015</v>
      </c>
    </row>
    <row r="33" spans="1:16" x14ac:dyDescent="0.2">
      <c r="A33" s="401" t="s">
        <v>814</v>
      </c>
      <c r="B33" s="406">
        <v>17252972.299999997</v>
      </c>
      <c r="C33" s="408"/>
      <c r="D33" s="406">
        <v>1147008.9700000002</v>
      </c>
      <c r="E33" s="408"/>
      <c r="F33" s="406">
        <v>0</v>
      </c>
      <c r="G33" s="408"/>
      <c r="H33" s="406">
        <v>-3040.05</v>
      </c>
      <c r="I33" s="408"/>
      <c r="J33" s="406">
        <v>1143968.9200000002</v>
      </c>
      <c r="K33" s="408"/>
      <c r="L33" s="406">
        <v>18396941.219999999</v>
      </c>
      <c r="M33" s="401"/>
      <c r="N33" s="409">
        <v>-7255335.3899999997</v>
      </c>
      <c r="O33" s="401"/>
      <c r="P33" s="409">
        <v>11141605.829999998</v>
      </c>
    </row>
    <row r="34" spans="1:16" x14ac:dyDescent="0.2">
      <c r="A34" s="401" t="s">
        <v>815</v>
      </c>
      <c r="B34" s="406">
        <v>0</v>
      </c>
      <c r="C34" s="408"/>
      <c r="D34" s="406">
        <v>0</v>
      </c>
      <c r="E34" s="408"/>
      <c r="F34" s="406">
        <v>0</v>
      </c>
      <c r="G34" s="408"/>
      <c r="H34" s="406">
        <v>0</v>
      </c>
      <c r="I34" s="408"/>
      <c r="J34" s="406">
        <v>0</v>
      </c>
      <c r="K34" s="408"/>
      <c r="L34" s="406">
        <v>0</v>
      </c>
      <c r="M34" s="401"/>
      <c r="N34" s="409">
        <v>0</v>
      </c>
      <c r="O34" s="401"/>
      <c r="P34" s="409">
        <v>0</v>
      </c>
    </row>
    <row r="35" spans="1:16" x14ac:dyDescent="0.2">
      <c r="A35" s="401" t="s">
        <v>816</v>
      </c>
      <c r="B35" s="406">
        <v>6398371.6499999994</v>
      </c>
      <c r="C35" s="408"/>
      <c r="D35" s="406">
        <v>249666.47</v>
      </c>
      <c r="E35" s="408"/>
      <c r="F35" s="406">
        <v>0</v>
      </c>
      <c r="G35" s="408"/>
      <c r="H35" s="406">
        <v>0</v>
      </c>
      <c r="I35" s="408"/>
      <c r="J35" s="406">
        <v>249666.47</v>
      </c>
      <c r="K35" s="408"/>
      <c r="L35" s="406">
        <v>6648038.1199999992</v>
      </c>
      <c r="M35" s="401"/>
      <c r="N35" s="409">
        <v>-4824441.8499999996</v>
      </c>
      <c r="O35" s="401"/>
      <c r="P35" s="409">
        <v>1823596.2699999996</v>
      </c>
    </row>
    <row r="36" spans="1:16" x14ac:dyDescent="0.2">
      <c r="A36" s="401" t="s">
        <v>817</v>
      </c>
      <c r="B36" s="406">
        <v>15203180.199999999</v>
      </c>
      <c r="C36" s="408"/>
      <c r="D36" s="406">
        <v>2876.28</v>
      </c>
      <c r="E36" s="408"/>
      <c r="F36" s="406">
        <v>0</v>
      </c>
      <c r="G36" s="408"/>
      <c r="H36" s="406">
        <v>0</v>
      </c>
      <c r="I36" s="408"/>
      <c r="J36" s="406">
        <v>2876.28</v>
      </c>
      <c r="K36" s="408"/>
      <c r="L36" s="406">
        <v>15206056.479999999</v>
      </c>
      <c r="M36" s="401"/>
      <c r="N36" s="409">
        <v>-14049477.949999996</v>
      </c>
      <c r="O36" s="401"/>
      <c r="P36" s="409">
        <v>1156578.5300000031</v>
      </c>
    </row>
    <row r="37" spans="1:16" x14ac:dyDescent="0.2">
      <c r="A37" s="401" t="s">
        <v>818</v>
      </c>
      <c r="B37" s="406">
        <v>547268.05000000005</v>
      </c>
      <c r="C37" s="408"/>
      <c r="D37" s="406">
        <v>0</v>
      </c>
      <c r="E37" s="408"/>
      <c r="F37" s="406">
        <v>0</v>
      </c>
      <c r="G37" s="408"/>
      <c r="H37" s="406">
        <v>0</v>
      </c>
      <c r="I37" s="408"/>
      <c r="J37" s="406">
        <v>0</v>
      </c>
      <c r="K37" s="408"/>
      <c r="L37" s="406">
        <v>547268.05000000005</v>
      </c>
      <c r="M37" s="401"/>
      <c r="N37" s="409">
        <v>-169385.34</v>
      </c>
      <c r="O37" s="401"/>
      <c r="P37" s="409">
        <v>377882.71000000008</v>
      </c>
    </row>
    <row r="38" spans="1:16" x14ac:dyDescent="0.2">
      <c r="A38" s="401" t="s">
        <v>819</v>
      </c>
      <c r="B38" s="406">
        <v>7262966.3800000008</v>
      </c>
      <c r="C38" s="408"/>
      <c r="D38" s="406">
        <v>565379.53</v>
      </c>
      <c r="E38" s="408"/>
      <c r="F38" s="406">
        <v>0</v>
      </c>
      <c r="G38" s="408"/>
      <c r="H38" s="406">
        <v>0</v>
      </c>
      <c r="I38" s="408"/>
      <c r="J38" s="406">
        <v>565379.53</v>
      </c>
      <c r="K38" s="408"/>
      <c r="L38" s="406">
        <v>7828345.9100000011</v>
      </c>
      <c r="M38" s="401"/>
      <c r="N38" s="409">
        <v>-1759137.5699999994</v>
      </c>
      <c r="O38" s="401"/>
      <c r="P38" s="409">
        <v>6069208.3400000017</v>
      </c>
    </row>
    <row r="39" spans="1:16" x14ac:dyDescent="0.2">
      <c r="A39" s="401" t="s">
        <v>820</v>
      </c>
      <c r="B39" s="406">
        <v>0</v>
      </c>
      <c r="C39" s="408"/>
      <c r="D39" s="406">
        <v>0</v>
      </c>
      <c r="E39" s="408"/>
      <c r="F39" s="406">
        <v>0</v>
      </c>
      <c r="G39" s="408"/>
      <c r="H39" s="406">
        <v>0</v>
      </c>
      <c r="I39" s="408"/>
      <c r="J39" s="406">
        <v>0</v>
      </c>
      <c r="K39" s="408"/>
      <c r="L39" s="406">
        <v>0</v>
      </c>
      <c r="M39" s="401"/>
      <c r="N39" s="409">
        <v>-4.6566128730773926E-10</v>
      </c>
      <c r="O39" s="401"/>
      <c r="P39" s="409">
        <v>-4.6566128730773926E-10</v>
      </c>
    </row>
    <row r="40" spans="1:16" x14ac:dyDescent="0.2">
      <c r="A40" s="401" t="s">
        <v>821</v>
      </c>
      <c r="B40" s="406">
        <v>1075701.42</v>
      </c>
      <c r="C40" s="408"/>
      <c r="D40" s="406">
        <v>0</v>
      </c>
      <c r="E40" s="408"/>
      <c r="F40" s="406">
        <v>0</v>
      </c>
      <c r="G40" s="408"/>
      <c r="H40" s="406">
        <v>0</v>
      </c>
      <c r="I40" s="408"/>
      <c r="J40" s="406">
        <v>0</v>
      </c>
      <c r="K40" s="408"/>
      <c r="L40" s="406">
        <v>1075701.42</v>
      </c>
      <c r="M40" s="401"/>
      <c r="N40" s="409">
        <v>-149147.39000000001</v>
      </c>
      <c r="O40" s="401"/>
      <c r="P40" s="409">
        <v>926554.02999999991</v>
      </c>
    </row>
    <row r="41" spans="1:16" x14ac:dyDescent="0.2">
      <c r="A41" s="401" t="s">
        <v>822</v>
      </c>
      <c r="B41" s="406">
        <v>29873888.559999995</v>
      </c>
      <c r="C41" s="408"/>
      <c r="D41" s="406">
        <v>1005709.71</v>
      </c>
      <c r="E41" s="408"/>
      <c r="F41" s="406">
        <v>0</v>
      </c>
      <c r="G41" s="408"/>
      <c r="H41" s="406">
        <v>0</v>
      </c>
      <c r="I41" s="408"/>
      <c r="J41" s="406">
        <v>1005709.71</v>
      </c>
      <c r="K41" s="408"/>
      <c r="L41" s="406">
        <v>30879598.269999996</v>
      </c>
      <c r="M41" s="401"/>
      <c r="N41" s="409">
        <v>-11791517.799999999</v>
      </c>
      <c r="O41" s="401"/>
      <c r="P41" s="409">
        <v>19088080.469999999</v>
      </c>
    </row>
    <row r="42" spans="1:16" x14ac:dyDescent="0.2">
      <c r="A42" s="401" t="s">
        <v>823</v>
      </c>
      <c r="B42" s="415">
        <v>0</v>
      </c>
      <c r="C42" s="410"/>
      <c r="D42" s="415">
        <v>0</v>
      </c>
      <c r="E42" s="410"/>
      <c r="F42" s="415">
        <v>0</v>
      </c>
      <c r="G42" s="410"/>
      <c r="H42" s="415">
        <v>0</v>
      </c>
      <c r="I42" s="410"/>
      <c r="J42" s="415">
        <v>0</v>
      </c>
      <c r="K42" s="410"/>
      <c r="L42" s="415">
        <v>0</v>
      </c>
      <c r="M42" s="401"/>
      <c r="N42" s="416">
        <v>3.0850044741015381E-11</v>
      </c>
      <c r="O42" s="401"/>
      <c r="P42" s="416">
        <v>3.0850044741015381E-11</v>
      </c>
    </row>
    <row r="43" spans="1:16" x14ac:dyDescent="0.2">
      <c r="A43" s="401"/>
      <c r="B43" s="411">
        <v>134242252.62</v>
      </c>
      <c r="C43" s="410"/>
      <c r="D43" s="411">
        <v>2960342.6400000006</v>
      </c>
      <c r="E43" s="410"/>
      <c r="F43" s="411">
        <v>0</v>
      </c>
      <c r="G43" s="410"/>
      <c r="H43" s="411">
        <v>-454977.96</v>
      </c>
      <c r="I43" s="410"/>
      <c r="J43" s="411">
        <v>2505364.6800000006</v>
      </c>
      <c r="K43" s="410"/>
      <c r="L43" s="411">
        <v>136747617.30000001</v>
      </c>
      <c r="M43" s="401"/>
      <c r="N43" s="411">
        <v>-54161643.519999996</v>
      </c>
      <c r="O43" s="401"/>
      <c r="P43" s="411">
        <v>82585973.780000001</v>
      </c>
    </row>
    <row r="44" spans="1:16" x14ac:dyDescent="0.2">
      <c r="A44" s="401"/>
      <c r="B44" s="411"/>
      <c r="C44" s="410"/>
      <c r="D44" s="411"/>
      <c r="E44" s="410"/>
      <c r="F44" s="411"/>
      <c r="G44" s="410"/>
      <c r="H44" s="411"/>
      <c r="I44" s="410"/>
      <c r="J44" s="411"/>
      <c r="K44" s="410"/>
      <c r="L44" s="411"/>
      <c r="M44" s="401"/>
      <c r="N44" s="401"/>
      <c r="O44" s="401"/>
      <c r="P44" s="401"/>
    </row>
    <row r="45" spans="1:16" x14ac:dyDescent="0.2">
      <c r="A45" s="400" t="s">
        <v>824</v>
      </c>
      <c r="B45" s="411"/>
      <c r="C45" s="410"/>
      <c r="D45" s="411"/>
      <c r="E45" s="410"/>
      <c r="F45" s="411"/>
      <c r="G45" s="410"/>
      <c r="H45" s="411"/>
      <c r="I45" s="410"/>
      <c r="J45" s="411"/>
      <c r="K45" s="410"/>
      <c r="L45" s="411"/>
      <c r="M45" s="401"/>
      <c r="N45" s="401"/>
      <c r="O45" s="401"/>
      <c r="P45" s="401"/>
    </row>
    <row r="46" spans="1:16" x14ac:dyDescent="0.2">
      <c r="A46" s="401" t="s">
        <v>825</v>
      </c>
      <c r="B46" s="411">
        <v>879311.47</v>
      </c>
      <c r="C46" s="410"/>
      <c r="D46" s="411">
        <v>0</v>
      </c>
      <c r="E46" s="410"/>
      <c r="F46" s="411">
        <v>0</v>
      </c>
      <c r="G46" s="410"/>
      <c r="H46" s="411">
        <v>0</v>
      </c>
      <c r="I46" s="410"/>
      <c r="J46" s="411">
        <v>0</v>
      </c>
      <c r="K46" s="410"/>
      <c r="L46" s="411">
        <v>879311.47</v>
      </c>
      <c r="M46" s="401"/>
      <c r="N46" s="409">
        <v>-934908.34</v>
      </c>
      <c r="O46" s="401"/>
      <c r="P46" s="409">
        <v>-55596.869999999995</v>
      </c>
    </row>
    <row r="47" spans="1:16" x14ac:dyDescent="0.2">
      <c r="A47" s="401" t="s">
        <v>826</v>
      </c>
      <c r="B47" s="411">
        <v>616526.69000000006</v>
      </c>
      <c r="C47" s="410"/>
      <c r="D47" s="411">
        <v>0</v>
      </c>
      <c r="E47" s="410"/>
      <c r="F47" s="411">
        <v>0</v>
      </c>
      <c r="G47" s="410"/>
      <c r="H47" s="411">
        <v>0</v>
      </c>
      <c r="I47" s="410"/>
      <c r="J47" s="411">
        <v>0</v>
      </c>
      <c r="K47" s="410"/>
      <c r="L47" s="411">
        <v>616526.69000000006</v>
      </c>
      <c r="M47" s="401"/>
      <c r="N47" s="409">
        <v>-355793.18</v>
      </c>
      <c r="O47" s="401"/>
      <c r="P47" s="409">
        <v>260733.51000000007</v>
      </c>
    </row>
    <row r="48" spans="1:16" x14ac:dyDescent="0.2">
      <c r="A48" s="401" t="s">
        <v>827</v>
      </c>
      <c r="B48" s="411">
        <v>21603969.660000004</v>
      </c>
      <c r="C48" s="410"/>
      <c r="D48" s="411">
        <v>-1776.8999999999996</v>
      </c>
      <c r="E48" s="410"/>
      <c r="F48" s="411">
        <v>-322.64999999999998</v>
      </c>
      <c r="G48" s="410"/>
      <c r="H48" s="411">
        <v>0</v>
      </c>
      <c r="I48" s="410"/>
      <c r="J48" s="411">
        <v>-2099.5499999999997</v>
      </c>
      <c r="K48" s="410"/>
      <c r="L48" s="411">
        <v>21601870.110000003</v>
      </c>
      <c r="M48" s="401"/>
      <c r="N48" s="409">
        <v>-6689927.0899999989</v>
      </c>
      <c r="O48" s="401"/>
      <c r="P48" s="409">
        <v>14911943.020000003</v>
      </c>
    </row>
    <row r="49" spans="1:16" x14ac:dyDescent="0.2">
      <c r="A49" s="401" t="s">
        <v>828</v>
      </c>
      <c r="B49" s="411">
        <v>4430624.3100000005</v>
      </c>
      <c r="C49" s="410"/>
      <c r="D49" s="411">
        <v>118811.81</v>
      </c>
      <c r="E49" s="410"/>
      <c r="F49" s="411">
        <v>0</v>
      </c>
      <c r="G49" s="410"/>
      <c r="H49" s="411">
        <v>0</v>
      </c>
      <c r="I49" s="410"/>
      <c r="J49" s="411">
        <v>118811.81</v>
      </c>
      <c r="K49" s="410"/>
      <c r="L49" s="411">
        <v>4549436.12</v>
      </c>
      <c r="M49" s="401"/>
      <c r="N49" s="409">
        <v>-16064.920000000011</v>
      </c>
      <c r="O49" s="401"/>
      <c r="P49" s="409">
        <v>4533371.2</v>
      </c>
    </row>
    <row r="50" spans="1:16" x14ac:dyDescent="0.2">
      <c r="A50" s="401" t="s">
        <v>829</v>
      </c>
      <c r="B50" s="411">
        <v>578333.27999999991</v>
      </c>
      <c r="C50" s="410"/>
      <c r="D50" s="411">
        <v>0</v>
      </c>
      <c r="E50" s="410"/>
      <c r="F50" s="411">
        <v>0</v>
      </c>
      <c r="G50" s="410"/>
      <c r="H50" s="411">
        <v>0</v>
      </c>
      <c r="I50" s="410"/>
      <c r="J50" s="411">
        <v>0</v>
      </c>
      <c r="K50" s="410"/>
      <c r="L50" s="411">
        <v>578333.27999999991</v>
      </c>
      <c r="M50" s="401"/>
      <c r="N50" s="409">
        <v>-91245.2</v>
      </c>
      <c r="O50" s="401"/>
      <c r="P50" s="409">
        <v>487088.0799999999</v>
      </c>
    </row>
    <row r="51" spans="1:16" x14ac:dyDescent="0.2">
      <c r="A51" s="401" t="s">
        <v>830</v>
      </c>
      <c r="B51" s="411">
        <v>297023.86</v>
      </c>
      <c r="C51" s="410"/>
      <c r="D51" s="411">
        <v>0</v>
      </c>
      <c r="E51" s="410"/>
      <c r="F51" s="411">
        <v>0</v>
      </c>
      <c r="G51" s="410"/>
      <c r="H51" s="411">
        <v>0</v>
      </c>
      <c r="I51" s="410"/>
      <c r="J51" s="411">
        <v>0</v>
      </c>
      <c r="K51" s="410"/>
      <c r="L51" s="411">
        <v>297023.86</v>
      </c>
      <c r="M51" s="401"/>
      <c r="N51" s="409">
        <v>-88624.729999999981</v>
      </c>
      <c r="O51" s="401"/>
      <c r="P51" s="409">
        <v>208399.13</v>
      </c>
    </row>
    <row r="52" spans="1:16" x14ac:dyDescent="0.2">
      <c r="A52" s="401" t="s">
        <v>831</v>
      </c>
      <c r="B52" s="411">
        <v>176359.59</v>
      </c>
      <c r="C52" s="410"/>
      <c r="D52" s="411">
        <v>0</v>
      </c>
      <c r="E52" s="410"/>
      <c r="F52" s="411">
        <v>0</v>
      </c>
      <c r="G52" s="410"/>
      <c r="H52" s="411">
        <v>0</v>
      </c>
      <c r="I52" s="410"/>
      <c r="J52" s="411">
        <v>0</v>
      </c>
      <c r="K52" s="410"/>
      <c r="L52" s="411">
        <v>176359.59</v>
      </c>
      <c r="M52" s="401"/>
      <c r="N52" s="409">
        <v>-49946.07</v>
      </c>
      <c r="O52" s="401"/>
      <c r="P52" s="409">
        <v>126413.51999999999</v>
      </c>
    </row>
    <row r="53" spans="1:16" x14ac:dyDescent="0.2">
      <c r="A53" s="401" t="s">
        <v>832</v>
      </c>
      <c r="B53" s="415">
        <v>57608.88</v>
      </c>
      <c r="C53" s="410"/>
      <c r="D53" s="415">
        <v>0</v>
      </c>
      <c r="E53" s="410"/>
      <c r="F53" s="415">
        <v>0</v>
      </c>
      <c r="G53" s="410"/>
      <c r="H53" s="415">
        <v>0</v>
      </c>
      <c r="I53" s="410"/>
      <c r="J53" s="415">
        <v>0</v>
      </c>
      <c r="K53" s="410"/>
      <c r="L53" s="415">
        <v>57608.88</v>
      </c>
      <c r="M53" s="401"/>
      <c r="N53" s="416">
        <v>-1337.7699999999979</v>
      </c>
      <c r="O53" s="401"/>
      <c r="P53" s="416">
        <v>56271.11</v>
      </c>
    </row>
    <row r="54" spans="1:16" x14ac:dyDescent="0.2">
      <c r="A54" s="401"/>
      <c r="B54" s="411">
        <v>28639757.740000002</v>
      </c>
      <c r="C54" s="410"/>
      <c r="D54" s="411">
        <v>117034.91</v>
      </c>
      <c r="E54" s="410"/>
      <c r="F54" s="411">
        <v>-322.64999999999998</v>
      </c>
      <c r="G54" s="410"/>
      <c r="H54" s="411">
        <v>0</v>
      </c>
      <c r="I54" s="410"/>
      <c r="J54" s="411">
        <v>116712.26</v>
      </c>
      <c r="K54" s="410"/>
      <c r="L54" s="411">
        <v>28756470.000000004</v>
      </c>
      <c r="M54" s="401"/>
      <c r="N54" s="411">
        <v>-8227847.2999999989</v>
      </c>
      <c r="O54" s="401"/>
      <c r="P54" s="411">
        <v>20528622.699999999</v>
      </c>
    </row>
    <row r="55" spans="1:16" x14ac:dyDescent="0.2">
      <c r="A55" s="401"/>
      <c r="B55" s="411"/>
      <c r="C55" s="410"/>
      <c r="D55" s="411"/>
      <c r="E55" s="410"/>
      <c r="F55" s="411"/>
      <c r="G55" s="410"/>
      <c r="H55" s="411"/>
      <c r="I55" s="410"/>
      <c r="J55" s="411"/>
      <c r="K55" s="410"/>
      <c r="L55" s="411"/>
      <c r="M55" s="401"/>
      <c r="N55" s="401"/>
      <c r="O55" s="401"/>
      <c r="P55" s="401"/>
    </row>
    <row r="56" spans="1:16" x14ac:dyDescent="0.2">
      <c r="A56" s="400" t="s">
        <v>833</v>
      </c>
      <c r="B56" s="411"/>
      <c r="C56" s="410"/>
      <c r="D56" s="411"/>
      <c r="E56" s="410"/>
      <c r="F56" s="411"/>
      <c r="G56" s="410"/>
      <c r="H56" s="411"/>
      <c r="I56" s="410"/>
      <c r="J56" s="411"/>
      <c r="K56" s="410"/>
      <c r="L56" s="411"/>
      <c r="M56" s="401"/>
      <c r="N56" s="401"/>
      <c r="O56" s="401"/>
      <c r="P56" s="401"/>
    </row>
    <row r="57" spans="1:16" x14ac:dyDescent="0.2">
      <c r="A57" s="401" t="s">
        <v>834</v>
      </c>
      <c r="B57" s="411">
        <v>39116.89</v>
      </c>
      <c r="C57" s="410"/>
      <c r="D57" s="411">
        <v>0</v>
      </c>
      <c r="E57" s="410"/>
      <c r="F57" s="411">
        <v>0</v>
      </c>
      <c r="G57" s="410"/>
      <c r="H57" s="411">
        <v>0</v>
      </c>
      <c r="I57" s="410"/>
      <c r="J57" s="411">
        <v>0</v>
      </c>
      <c r="K57" s="410"/>
      <c r="L57" s="411">
        <v>39116.89</v>
      </c>
      <c r="M57" s="401"/>
      <c r="N57" s="409">
        <v>0</v>
      </c>
      <c r="O57" s="401"/>
      <c r="P57" s="409">
        <v>39116.89</v>
      </c>
    </row>
    <row r="58" spans="1:16" x14ac:dyDescent="0.2">
      <c r="A58" s="401" t="s">
        <v>835</v>
      </c>
      <c r="B58" s="411">
        <v>55918.829999999994</v>
      </c>
      <c r="C58" s="410"/>
      <c r="D58" s="411">
        <v>0</v>
      </c>
      <c r="E58" s="410"/>
      <c r="F58" s="411">
        <v>0</v>
      </c>
      <c r="G58" s="410"/>
      <c r="H58" s="411">
        <v>0</v>
      </c>
      <c r="I58" s="410"/>
      <c r="J58" s="411">
        <v>0</v>
      </c>
      <c r="K58" s="410"/>
      <c r="L58" s="411">
        <v>55918.829999999994</v>
      </c>
      <c r="M58" s="401"/>
      <c r="N58" s="409">
        <v>-21073.550000000003</v>
      </c>
      <c r="O58" s="401"/>
      <c r="P58" s="409">
        <v>34845.279999999992</v>
      </c>
    </row>
    <row r="59" spans="1:16" x14ac:dyDescent="0.2">
      <c r="A59" s="401" t="s">
        <v>836</v>
      </c>
      <c r="B59" s="411">
        <v>18338712.019999996</v>
      </c>
      <c r="C59" s="410"/>
      <c r="D59" s="411">
        <v>2056547.64</v>
      </c>
      <c r="E59" s="410"/>
      <c r="F59" s="411">
        <v>-635176.41</v>
      </c>
      <c r="G59" s="410"/>
      <c r="H59" s="411">
        <v>0</v>
      </c>
      <c r="I59" s="410"/>
      <c r="J59" s="411">
        <v>1421371.23</v>
      </c>
      <c r="K59" s="410"/>
      <c r="L59" s="411">
        <v>19760083.249999996</v>
      </c>
      <c r="M59" s="401"/>
      <c r="N59" s="409">
        <v>-7800055.9099999983</v>
      </c>
      <c r="O59" s="401"/>
      <c r="P59" s="409">
        <v>11960027.339999998</v>
      </c>
    </row>
    <row r="60" spans="1:16" x14ac:dyDescent="0.2">
      <c r="A60" s="401" t="s">
        <v>1261</v>
      </c>
      <c r="B60" s="415">
        <v>40210208.290000007</v>
      </c>
      <c r="C60" s="410"/>
      <c r="D60" s="415">
        <v>133467.13</v>
      </c>
      <c r="E60" s="410"/>
      <c r="F60" s="415">
        <v>0</v>
      </c>
      <c r="G60" s="410"/>
      <c r="H60" s="415">
        <v>0</v>
      </c>
      <c r="I60" s="410"/>
      <c r="J60" s="415">
        <v>133467.13</v>
      </c>
      <c r="K60" s="410"/>
      <c r="L60" s="415">
        <v>40343675.420000009</v>
      </c>
      <c r="M60" s="401"/>
      <c r="N60" s="416">
        <v>-11245124.959999999</v>
      </c>
      <c r="O60" s="401"/>
      <c r="P60" s="416">
        <v>29098550.460000008</v>
      </c>
    </row>
    <row r="61" spans="1:16" x14ac:dyDescent="0.2">
      <c r="A61" s="401"/>
      <c r="B61" s="411">
        <v>58643956.030000001</v>
      </c>
      <c r="C61" s="410"/>
      <c r="D61" s="411">
        <v>2190014.77</v>
      </c>
      <c r="E61" s="410"/>
      <c r="F61" s="411">
        <v>-635176.41</v>
      </c>
      <c r="G61" s="410"/>
      <c r="H61" s="411">
        <v>0</v>
      </c>
      <c r="I61" s="410"/>
      <c r="J61" s="411">
        <v>1554838.3599999999</v>
      </c>
      <c r="K61" s="410"/>
      <c r="L61" s="411">
        <v>60198794.390000001</v>
      </c>
      <c r="M61" s="401"/>
      <c r="N61" s="411">
        <v>-19066254.419999998</v>
      </c>
      <c r="O61" s="401"/>
      <c r="P61" s="411">
        <v>41132539.970000006</v>
      </c>
    </row>
    <row r="62" spans="1:16" x14ac:dyDescent="0.2">
      <c r="A62" s="401"/>
      <c r="B62" s="411"/>
      <c r="C62" s="410"/>
      <c r="D62" s="411"/>
      <c r="E62" s="410"/>
      <c r="F62" s="411"/>
      <c r="G62" s="410"/>
      <c r="H62" s="411"/>
      <c r="I62" s="410"/>
      <c r="J62" s="411"/>
      <c r="K62" s="410"/>
      <c r="L62" s="411"/>
      <c r="M62" s="401"/>
      <c r="N62" s="401"/>
      <c r="O62" s="401"/>
      <c r="P62" s="401"/>
    </row>
    <row r="63" spans="1:16" x14ac:dyDescent="0.2">
      <c r="A63" s="400" t="s">
        <v>837</v>
      </c>
      <c r="B63" s="411"/>
      <c r="C63" s="410"/>
      <c r="D63" s="411"/>
      <c r="E63" s="410"/>
      <c r="F63" s="411"/>
      <c r="G63" s="410"/>
      <c r="H63" s="411"/>
      <c r="I63" s="410"/>
      <c r="J63" s="411"/>
      <c r="K63" s="410"/>
      <c r="L63" s="411"/>
      <c r="M63" s="401"/>
      <c r="N63" s="401"/>
      <c r="O63" s="401"/>
      <c r="P63" s="401"/>
    </row>
    <row r="64" spans="1:16" x14ac:dyDescent="0.2">
      <c r="A64" s="401" t="s">
        <v>838</v>
      </c>
      <c r="B64" s="411">
        <v>176409.31</v>
      </c>
      <c r="C64" s="410"/>
      <c r="D64" s="411">
        <v>0</v>
      </c>
      <c r="E64" s="410"/>
      <c r="F64" s="411">
        <v>0</v>
      </c>
      <c r="G64" s="410"/>
      <c r="H64" s="411">
        <v>0</v>
      </c>
      <c r="I64" s="410"/>
      <c r="J64" s="411">
        <v>0</v>
      </c>
      <c r="K64" s="410"/>
      <c r="L64" s="411">
        <v>176409.31</v>
      </c>
      <c r="M64" s="401"/>
      <c r="N64" s="409">
        <v>-100748.11</v>
      </c>
      <c r="O64" s="401"/>
      <c r="P64" s="409">
        <v>75661.2</v>
      </c>
    </row>
    <row r="65" spans="1:16" x14ac:dyDescent="0.2">
      <c r="A65" s="401" t="s">
        <v>839</v>
      </c>
      <c r="B65" s="411">
        <v>118514.41</v>
      </c>
      <c r="C65" s="410"/>
      <c r="D65" s="411">
        <v>0</v>
      </c>
      <c r="E65" s="410"/>
      <c r="F65" s="411">
        <v>0</v>
      </c>
      <c r="G65" s="410"/>
      <c r="H65" s="411">
        <v>0</v>
      </c>
      <c r="I65" s="410"/>
      <c r="J65" s="411">
        <v>0</v>
      </c>
      <c r="K65" s="410"/>
      <c r="L65" s="411">
        <v>118514.41</v>
      </c>
      <c r="M65" s="401"/>
      <c r="N65" s="409">
        <v>0</v>
      </c>
      <c r="O65" s="401"/>
      <c r="P65" s="409">
        <v>118514.41</v>
      </c>
    </row>
    <row r="66" spans="1:16" x14ac:dyDescent="0.2">
      <c r="A66" s="401" t="s">
        <v>840</v>
      </c>
      <c r="B66" s="411">
        <v>36018413.210000001</v>
      </c>
      <c r="C66" s="410"/>
      <c r="D66" s="411">
        <v>0</v>
      </c>
      <c r="E66" s="410"/>
      <c r="F66" s="411">
        <v>0</v>
      </c>
      <c r="G66" s="410"/>
      <c r="H66" s="411">
        <v>0</v>
      </c>
      <c r="I66" s="410"/>
      <c r="J66" s="411">
        <v>0</v>
      </c>
      <c r="K66" s="410"/>
      <c r="L66" s="411">
        <v>36018413.210000001</v>
      </c>
      <c r="M66" s="401"/>
      <c r="N66" s="409">
        <v>-13276044.049999999</v>
      </c>
      <c r="O66" s="401"/>
      <c r="P66" s="409">
        <v>22742369.160000004</v>
      </c>
    </row>
    <row r="67" spans="1:16" x14ac:dyDescent="0.2">
      <c r="A67" s="401" t="s">
        <v>841</v>
      </c>
      <c r="B67" s="411">
        <v>22323795.27</v>
      </c>
      <c r="C67" s="410"/>
      <c r="D67" s="411">
        <v>0</v>
      </c>
      <c r="E67" s="410"/>
      <c r="F67" s="411">
        <v>0</v>
      </c>
      <c r="G67" s="410"/>
      <c r="H67" s="411">
        <v>0</v>
      </c>
      <c r="I67" s="410"/>
      <c r="J67" s="411">
        <v>0</v>
      </c>
      <c r="K67" s="410"/>
      <c r="L67" s="411">
        <v>22323795.27</v>
      </c>
      <c r="M67" s="401"/>
      <c r="N67" s="409">
        <v>-8588850.3599999994</v>
      </c>
      <c r="O67" s="401"/>
      <c r="P67" s="409">
        <v>13734944.91</v>
      </c>
    </row>
    <row r="68" spans="1:16" x14ac:dyDescent="0.2">
      <c r="A68" s="401" t="s">
        <v>842</v>
      </c>
      <c r="B68" s="411">
        <v>424021.64</v>
      </c>
      <c r="C68" s="410"/>
      <c r="D68" s="411">
        <v>0</v>
      </c>
      <c r="E68" s="410"/>
      <c r="F68" s="411">
        <v>0</v>
      </c>
      <c r="G68" s="410"/>
      <c r="H68" s="411">
        <v>0</v>
      </c>
      <c r="I68" s="410"/>
      <c r="J68" s="411">
        <v>0</v>
      </c>
      <c r="K68" s="410"/>
      <c r="L68" s="411">
        <v>424021.64</v>
      </c>
      <c r="M68" s="401"/>
      <c r="N68" s="409">
        <v>-225314.38</v>
      </c>
      <c r="O68" s="401"/>
      <c r="P68" s="409">
        <v>198707.26</v>
      </c>
    </row>
    <row r="69" spans="1:16" x14ac:dyDescent="0.2">
      <c r="A69" s="401" t="s">
        <v>843</v>
      </c>
      <c r="B69" s="411">
        <v>358823032.37</v>
      </c>
      <c r="C69" s="410"/>
      <c r="D69" s="411">
        <v>7591546.3499999987</v>
      </c>
      <c r="E69" s="410"/>
      <c r="F69" s="411">
        <v>-1647478.1</v>
      </c>
      <c r="G69" s="410"/>
      <c r="H69" s="411">
        <v>0</v>
      </c>
      <c r="I69" s="410"/>
      <c r="J69" s="411">
        <v>5944068.2499999981</v>
      </c>
      <c r="K69" s="410"/>
      <c r="L69" s="411">
        <v>364767100.62</v>
      </c>
      <c r="M69" s="401"/>
      <c r="N69" s="409">
        <v>-115314430.87</v>
      </c>
      <c r="O69" s="401"/>
      <c r="P69" s="409">
        <v>249452669.75</v>
      </c>
    </row>
    <row r="70" spans="1:16" x14ac:dyDescent="0.2">
      <c r="A70" s="401" t="s">
        <v>844</v>
      </c>
      <c r="B70" s="411">
        <v>59360761.140000001</v>
      </c>
      <c r="C70" s="410"/>
      <c r="D70" s="411">
        <v>0</v>
      </c>
      <c r="E70" s="410"/>
      <c r="F70" s="411">
        <v>0</v>
      </c>
      <c r="G70" s="410"/>
      <c r="H70" s="411">
        <v>0</v>
      </c>
      <c r="I70" s="410"/>
      <c r="J70" s="411">
        <v>0</v>
      </c>
      <c r="K70" s="410"/>
      <c r="L70" s="411">
        <v>59360761.140000001</v>
      </c>
      <c r="M70" s="401"/>
      <c r="N70" s="409">
        <v>-26145038.580000006</v>
      </c>
      <c r="O70" s="401"/>
      <c r="P70" s="409">
        <v>33215722.559999995</v>
      </c>
    </row>
    <row r="71" spans="1:16" x14ac:dyDescent="0.2">
      <c r="A71" s="401" t="s">
        <v>845</v>
      </c>
      <c r="B71" s="411">
        <v>44367406.069999985</v>
      </c>
      <c r="C71" s="410"/>
      <c r="D71" s="411">
        <v>558709.13</v>
      </c>
      <c r="E71" s="410"/>
      <c r="F71" s="411">
        <v>-118011.38</v>
      </c>
      <c r="G71" s="410"/>
      <c r="H71" s="411">
        <v>0</v>
      </c>
      <c r="I71" s="410"/>
      <c r="J71" s="411">
        <v>440697.75</v>
      </c>
      <c r="K71" s="410"/>
      <c r="L71" s="411">
        <v>44808103.819999985</v>
      </c>
      <c r="M71" s="401"/>
      <c r="N71" s="409">
        <v>-14415934.679999998</v>
      </c>
      <c r="O71" s="401"/>
      <c r="P71" s="409">
        <v>30392169.139999986</v>
      </c>
    </row>
    <row r="72" spans="1:16" x14ac:dyDescent="0.2">
      <c r="A72" s="401" t="s">
        <v>1262</v>
      </c>
      <c r="B72" s="411">
        <v>0</v>
      </c>
      <c r="C72" s="410"/>
      <c r="D72" s="411">
        <v>0</v>
      </c>
      <c r="E72" s="410"/>
      <c r="F72" s="411">
        <v>0</v>
      </c>
      <c r="G72" s="410"/>
      <c r="H72" s="411">
        <v>0</v>
      </c>
      <c r="I72" s="410"/>
      <c r="J72" s="411">
        <v>0</v>
      </c>
      <c r="K72" s="410"/>
      <c r="L72" s="411">
        <v>0</v>
      </c>
      <c r="M72" s="401"/>
      <c r="N72" s="409">
        <v>-1.7507773009128869E-11</v>
      </c>
      <c r="O72" s="401"/>
      <c r="P72" s="409">
        <v>-1.7507773009128869E-11</v>
      </c>
    </row>
    <row r="73" spans="1:16" x14ac:dyDescent="0.2">
      <c r="A73" s="401" t="s">
        <v>846</v>
      </c>
      <c r="B73" s="411">
        <v>5362941.0699999994</v>
      </c>
      <c r="C73" s="410"/>
      <c r="D73" s="411">
        <v>5293.68</v>
      </c>
      <c r="E73" s="410"/>
      <c r="F73" s="411">
        <v>0</v>
      </c>
      <c r="G73" s="410"/>
      <c r="H73" s="411">
        <v>0</v>
      </c>
      <c r="I73" s="410"/>
      <c r="J73" s="411">
        <v>5293.68</v>
      </c>
      <c r="K73" s="410"/>
      <c r="L73" s="411">
        <v>5368234.7499999991</v>
      </c>
      <c r="M73" s="401"/>
      <c r="N73" s="409">
        <v>-2186892.27</v>
      </c>
      <c r="O73" s="401"/>
      <c r="P73" s="409">
        <v>3181342.4799999991</v>
      </c>
    </row>
    <row r="74" spans="1:16" x14ac:dyDescent="0.2">
      <c r="A74" s="401" t="s">
        <v>847</v>
      </c>
      <c r="B74" s="415">
        <v>17790.809999999998</v>
      </c>
      <c r="C74" s="410"/>
      <c r="D74" s="415">
        <v>0</v>
      </c>
      <c r="E74" s="410"/>
      <c r="F74" s="415">
        <v>0</v>
      </c>
      <c r="G74" s="410"/>
      <c r="H74" s="415">
        <v>0</v>
      </c>
      <c r="I74" s="410"/>
      <c r="J74" s="415">
        <v>0</v>
      </c>
      <c r="K74" s="410"/>
      <c r="L74" s="415">
        <v>17790.809999999998</v>
      </c>
      <c r="M74" s="401"/>
      <c r="N74" s="416">
        <v>-933.31000000000017</v>
      </c>
      <c r="O74" s="401"/>
      <c r="P74" s="416">
        <v>16857.499999999996</v>
      </c>
    </row>
    <row r="75" spans="1:16" x14ac:dyDescent="0.2">
      <c r="A75" s="401"/>
      <c r="B75" s="411">
        <v>526993085.30000001</v>
      </c>
      <c r="C75" s="410"/>
      <c r="D75" s="411">
        <v>8155549.1599999983</v>
      </c>
      <c r="E75" s="410"/>
      <c r="F75" s="411">
        <v>-1765489.48</v>
      </c>
      <c r="G75" s="410"/>
      <c r="H75" s="411">
        <v>0</v>
      </c>
      <c r="I75" s="410"/>
      <c r="J75" s="411">
        <v>6390059.6799999978</v>
      </c>
      <c r="K75" s="410"/>
      <c r="L75" s="411">
        <v>533383144.98000002</v>
      </c>
      <c r="M75" s="401"/>
      <c r="N75" s="411">
        <v>-180254186.61000004</v>
      </c>
      <c r="O75" s="401"/>
      <c r="P75" s="411">
        <v>353128958.37</v>
      </c>
    </row>
    <row r="76" spans="1:16" x14ac:dyDescent="0.2">
      <c r="A76" s="401"/>
      <c r="B76" s="411"/>
      <c r="C76" s="410"/>
      <c r="D76" s="411"/>
      <c r="E76" s="410"/>
      <c r="F76" s="411"/>
      <c r="G76" s="410"/>
      <c r="H76" s="411"/>
      <c r="I76" s="410"/>
      <c r="J76" s="411"/>
      <c r="K76" s="410"/>
      <c r="L76" s="411"/>
      <c r="M76" s="401"/>
      <c r="N76" s="401"/>
      <c r="O76" s="401"/>
      <c r="P76" s="401"/>
    </row>
    <row r="77" spans="1:16" x14ac:dyDescent="0.2">
      <c r="A77" s="400" t="s">
        <v>848</v>
      </c>
      <c r="B77" s="406"/>
      <c r="C77" s="408"/>
      <c r="D77" s="406"/>
      <c r="E77" s="408"/>
      <c r="F77" s="406"/>
      <c r="G77" s="408"/>
      <c r="H77" s="406"/>
      <c r="I77" s="408"/>
      <c r="J77" s="406"/>
      <c r="K77" s="408"/>
      <c r="L77" s="406"/>
      <c r="M77" s="401"/>
      <c r="N77" s="401"/>
      <c r="O77" s="401"/>
      <c r="P77" s="401"/>
    </row>
    <row r="78" spans="1:16" x14ac:dyDescent="0.2">
      <c r="A78" s="401" t="s">
        <v>849</v>
      </c>
      <c r="B78" s="406">
        <v>10881103.859999999</v>
      </c>
      <c r="C78" s="408"/>
      <c r="D78" s="406">
        <v>0</v>
      </c>
      <c r="E78" s="408"/>
      <c r="F78" s="406">
        <v>0</v>
      </c>
      <c r="G78" s="408"/>
      <c r="H78" s="406">
        <v>0</v>
      </c>
      <c r="I78" s="408"/>
      <c r="J78" s="406">
        <v>0</v>
      </c>
      <c r="K78" s="408"/>
      <c r="L78" s="406">
        <v>10881103.859999999</v>
      </c>
      <c r="M78" s="401"/>
      <c r="N78" s="409">
        <v>0</v>
      </c>
      <c r="O78" s="401"/>
      <c r="P78" s="409">
        <v>10881103.859999999</v>
      </c>
    </row>
    <row r="79" spans="1:16" x14ac:dyDescent="0.2">
      <c r="A79" s="401" t="s">
        <v>850</v>
      </c>
      <c r="B79" s="406">
        <v>323095025.46000004</v>
      </c>
      <c r="C79" s="408"/>
      <c r="D79" s="406">
        <v>1152720.58</v>
      </c>
      <c r="E79" s="408"/>
      <c r="F79" s="406">
        <v>-26481.559999999998</v>
      </c>
      <c r="G79" s="408"/>
      <c r="H79" s="406">
        <v>0</v>
      </c>
      <c r="I79" s="408"/>
      <c r="J79" s="406">
        <v>1126239.02</v>
      </c>
      <c r="K79" s="408"/>
      <c r="L79" s="406">
        <v>324221264.48000002</v>
      </c>
      <c r="M79" s="401"/>
      <c r="N79" s="409">
        <v>-161163371.19</v>
      </c>
      <c r="O79" s="401"/>
      <c r="P79" s="409">
        <v>163057893.29000002</v>
      </c>
    </row>
    <row r="80" spans="1:16" x14ac:dyDescent="0.2">
      <c r="A80" s="401" t="s">
        <v>851</v>
      </c>
      <c r="B80" s="406">
        <v>10855189.84</v>
      </c>
      <c r="C80" s="408"/>
      <c r="D80" s="406">
        <v>0</v>
      </c>
      <c r="E80" s="408"/>
      <c r="F80" s="406">
        <v>-23299.41</v>
      </c>
      <c r="G80" s="408"/>
      <c r="H80" s="406">
        <v>0</v>
      </c>
      <c r="I80" s="408"/>
      <c r="J80" s="406">
        <v>-23299.41</v>
      </c>
      <c r="K80" s="408"/>
      <c r="L80" s="406">
        <v>10831890.43</v>
      </c>
      <c r="M80" s="401"/>
      <c r="N80" s="409">
        <v>-343110.65</v>
      </c>
      <c r="O80" s="401"/>
      <c r="P80" s="409">
        <v>10488779.779999999</v>
      </c>
    </row>
    <row r="81" spans="1:16" x14ac:dyDescent="0.2">
      <c r="A81" s="401" t="s">
        <v>852</v>
      </c>
      <c r="B81" s="406">
        <v>2632172934.1000004</v>
      </c>
      <c r="C81" s="408"/>
      <c r="D81" s="406">
        <v>2313118.9300000072</v>
      </c>
      <c r="E81" s="408"/>
      <c r="F81" s="406">
        <v>-15690492.920000002</v>
      </c>
      <c r="G81" s="408"/>
      <c r="H81" s="406">
        <v>0</v>
      </c>
      <c r="I81" s="408"/>
      <c r="J81" s="406">
        <v>-13377373.989999995</v>
      </c>
      <c r="K81" s="408"/>
      <c r="L81" s="406">
        <v>2618795560.1100006</v>
      </c>
      <c r="M81" s="401"/>
      <c r="N81" s="409">
        <v>-812786184.13999987</v>
      </c>
      <c r="O81" s="401"/>
      <c r="P81" s="409">
        <v>1806009375.9700007</v>
      </c>
    </row>
    <row r="82" spans="1:16" x14ac:dyDescent="0.2">
      <c r="A82" s="401" t="s">
        <v>853</v>
      </c>
      <c r="B82" s="406">
        <v>42273348.859999999</v>
      </c>
      <c r="C82" s="408"/>
      <c r="D82" s="406">
        <v>0</v>
      </c>
      <c r="E82" s="408"/>
      <c r="F82" s="406">
        <v>0</v>
      </c>
      <c r="G82" s="408"/>
      <c r="H82" s="406">
        <v>0</v>
      </c>
      <c r="I82" s="408"/>
      <c r="J82" s="406">
        <v>0</v>
      </c>
      <c r="K82" s="408"/>
      <c r="L82" s="406">
        <v>42273348.859999999</v>
      </c>
      <c r="M82" s="401"/>
      <c r="N82" s="409">
        <v>-23191216.419999994</v>
      </c>
      <c r="O82" s="401"/>
      <c r="P82" s="409">
        <v>19082132.440000005</v>
      </c>
    </row>
    <row r="83" spans="1:16" x14ac:dyDescent="0.2">
      <c r="A83" s="401" t="s">
        <v>854</v>
      </c>
      <c r="B83" s="406">
        <v>319603579.21999991</v>
      </c>
      <c r="C83" s="408"/>
      <c r="D83" s="406">
        <v>829981.12000000011</v>
      </c>
      <c r="E83" s="408"/>
      <c r="F83" s="406">
        <v>-274171.07999999996</v>
      </c>
      <c r="G83" s="408"/>
      <c r="H83" s="406">
        <v>0</v>
      </c>
      <c r="I83" s="408"/>
      <c r="J83" s="406">
        <v>555810.04000000015</v>
      </c>
      <c r="K83" s="408"/>
      <c r="L83" s="406">
        <v>320159389.25999993</v>
      </c>
      <c r="M83" s="401"/>
      <c r="N83" s="409">
        <v>-166480870.27999997</v>
      </c>
      <c r="O83" s="401"/>
      <c r="P83" s="409">
        <v>153678518.97999996</v>
      </c>
    </row>
    <row r="84" spans="1:16" x14ac:dyDescent="0.2">
      <c r="A84" s="401" t="s">
        <v>855</v>
      </c>
      <c r="B84" s="406">
        <v>60940.44</v>
      </c>
      <c r="C84" s="408"/>
      <c r="D84" s="406">
        <v>0</v>
      </c>
      <c r="E84" s="408"/>
      <c r="F84" s="406">
        <v>0</v>
      </c>
      <c r="G84" s="408"/>
      <c r="H84" s="406">
        <v>0</v>
      </c>
      <c r="I84" s="408"/>
      <c r="J84" s="406">
        <v>0</v>
      </c>
      <c r="K84" s="408"/>
      <c r="L84" s="406">
        <v>60940.44</v>
      </c>
      <c r="M84" s="401"/>
      <c r="N84" s="409">
        <v>-66853.210000000006</v>
      </c>
      <c r="O84" s="401"/>
      <c r="P84" s="409">
        <v>-5912.7700000000041</v>
      </c>
    </row>
    <row r="85" spans="1:16" x14ac:dyDescent="0.2">
      <c r="A85" s="401" t="s">
        <v>856</v>
      </c>
      <c r="B85" s="406">
        <v>201634659.44999999</v>
      </c>
      <c r="C85" s="408"/>
      <c r="D85" s="406">
        <v>11006852.410000002</v>
      </c>
      <c r="E85" s="408"/>
      <c r="F85" s="406">
        <v>-11830.44</v>
      </c>
      <c r="G85" s="408"/>
      <c r="H85" s="406">
        <v>0</v>
      </c>
      <c r="I85" s="408"/>
      <c r="J85" s="406">
        <v>10995021.970000003</v>
      </c>
      <c r="K85" s="408"/>
      <c r="L85" s="406">
        <v>212629681.41999999</v>
      </c>
      <c r="M85" s="401"/>
      <c r="N85" s="409">
        <v>-86434553.570000008</v>
      </c>
      <c r="O85" s="401"/>
      <c r="P85" s="409">
        <v>126195127.84999998</v>
      </c>
    </row>
    <row r="86" spans="1:16" x14ac:dyDescent="0.2">
      <c r="A86" s="401" t="s">
        <v>1263</v>
      </c>
      <c r="B86" s="406">
        <v>0</v>
      </c>
      <c r="C86" s="408"/>
      <c r="D86" s="406">
        <v>0</v>
      </c>
      <c r="E86" s="408"/>
      <c r="F86" s="406">
        <v>0</v>
      </c>
      <c r="G86" s="408"/>
      <c r="H86" s="406">
        <v>0</v>
      </c>
      <c r="I86" s="408"/>
      <c r="J86" s="406">
        <v>0</v>
      </c>
      <c r="K86" s="408"/>
      <c r="L86" s="406">
        <v>0</v>
      </c>
      <c r="M86" s="401"/>
      <c r="N86" s="409">
        <v>-2.6309862795337313E-10</v>
      </c>
      <c r="O86" s="401"/>
      <c r="P86" s="409">
        <v>-2.6309862795337313E-10</v>
      </c>
    </row>
    <row r="87" spans="1:16" x14ac:dyDescent="0.2">
      <c r="A87" s="401" t="s">
        <v>857</v>
      </c>
      <c r="B87" s="406">
        <v>30010398.68</v>
      </c>
      <c r="C87" s="408"/>
      <c r="D87" s="406">
        <v>796792.52</v>
      </c>
      <c r="E87" s="408"/>
      <c r="F87" s="406">
        <v>0</v>
      </c>
      <c r="G87" s="408"/>
      <c r="H87" s="406">
        <v>0</v>
      </c>
      <c r="I87" s="408"/>
      <c r="J87" s="406">
        <v>796792.52</v>
      </c>
      <c r="K87" s="408"/>
      <c r="L87" s="406">
        <v>30807191.199999999</v>
      </c>
      <c r="M87" s="401"/>
      <c r="N87" s="409">
        <v>-15577593.16</v>
      </c>
      <c r="O87" s="401"/>
      <c r="P87" s="409">
        <v>15229598.039999999</v>
      </c>
    </row>
    <row r="88" spans="1:16" x14ac:dyDescent="0.2">
      <c r="A88" s="401" t="s">
        <v>858</v>
      </c>
      <c r="B88" s="415">
        <v>56489771.460000001</v>
      </c>
      <c r="C88" s="410"/>
      <c r="D88" s="415">
        <v>0</v>
      </c>
      <c r="E88" s="410"/>
      <c r="F88" s="415">
        <v>0</v>
      </c>
      <c r="G88" s="410"/>
      <c r="H88" s="415">
        <v>0</v>
      </c>
      <c r="I88" s="410"/>
      <c r="J88" s="415">
        <v>0</v>
      </c>
      <c r="K88" s="410"/>
      <c r="L88" s="415">
        <v>56489771.460000001</v>
      </c>
      <c r="M88" s="401"/>
      <c r="N88" s="416">
        <v>-4282155.5399999991</v>
      </c>
      <c r="O88" s="401"/>
      <c r="P88" s="416">
        <v>52207615.920000002</v>
      </c>
    </row>
    <row r="89" spans="1:16" x14ac:dyDescent="0.2">
      <c r="A89" s="401"/>
      <c r="B89" s="411">
        <v>3627076951.3699999</v>
      </c>
      <c r="C89" s="410"/>
      <c r="D89" s="411">
        <v>16099465.56000001</v>
      </c>
      <c r="E89" s="410"/>
      <c r="F89" s="411">
        <v>-16026275.410000002</v>
      </c>
      <c r="G89" s="410"/>
      <c r="H89" s="411">
        <v>0</v>
      </c>
      <c r="I89" s="410"/>
      <c r="J89" s="411">
        <v>73190.150000008289</v>
      </c>
      <c r="K89" s="410"/>
      <c r="L89" s="411">
        <v>3627150141.5200005</v>
      </c>
      <c r="M89" s="401"/>
      <c r="N89" s="411">
        <v>-1270325908.1599998</v>
      </c>
      <c r="O89" s="401"/>
      <c r="P89" s="411">
        <v>2356824233.3600006</v>
      </c>
    </row>
    <row r="90" spans="1:16" x14ac:dyDescent="0.2">
      <c r="A90" s="401"/>
      <c r="B90" s="411"/>
      <c r="C90" s="410"/>
      <c r="D90" s="411"/>
      <c r="E90" s="410"/>
      <c r="F90" s="411"/>
      <c r="G90" s="410"/>
      <c r="H90" s="411"/>
      <c r="I90" s="410"/>
      <c r="J90" s="411"/>
      <c r="K90" s="410"/>
      <c r="L90" s="411"/>
      <c r="M90" s="401"/>
      <c r="N90" s="401"/>
      <c r="O90" s="401"/>
      <c r="P90" s="401"/>
    </row>
    <row r="91" spans="1:16" x14ac:dyDescent="0.2">
      <c r="A91" s="400" t="s">
        <v>859</v>
      </c>
      <c r="B91" s="411"/>
      <c r="C91" s="410"/>
      <c r="D91" s="411"/>
      <c r="E91" s="410"/>
      <c r="F91" s="411"/>
      <c r="G91" s="410"/>
      <c r="H91" s="411"/>
      <c r="I91" s="410"/>
      <c r="J91" s="411"/>
      <c r="K91" s="410"/>
      <c r="L91" s="411"/>
      <c r="M91" s="401"/>
      <c r="N91" s="401"/>
      <c r="O91" s="401"/>
      <c r="P91" s="401"/>
    </row>
    <row r="92" spans="1:16" x14ac:dyDescent="0.2">
      <c r="A92" s="401" t="s">
        <v>860</v>
      </c>
      <c r="B92" s="411">
        <v>21295500.18</v>
      </c>
      <c r="C92" s="410"/>
      <c r="D92" s="411">
        <v>0</v>
      </c>
      <c r="E92" s="410"/>
      <c r="F92" s="411">
        <v>0</v>
      </c>
      <c r="G92" s="410"/>
      <c r="H92" s="411">
        <v>0</v>
      </c>
      <c r="I92" s="410"/>
      <c r="J92" s="411">
        <v>0</v>
      </c>
      <c r="K92" s="410"/>
      <c r="L92" s="411">
        <v>21295500.18</v>
      </c>
      <c r="M92" s="401"/>
      <c r="N92" s="409">
        <v>-14171164.789999999</v>
      </c>
      <c r="O92" s="401"/>
      <c r="P92" s="409">
        <v>7124335.3900000006</v>
      </c>
    </row>
    <row r="93" spans="1:16" x14ac:dyDescent="0.2">
      <c r="A93" s="401" t="s">
        <v>861</v>
      </c>
      <c r="B93" s="411">
        <v>2153682.54</v>
      </c>
      <c r="C93" s="410"/>
      <c r="D93" s="411">
        <v>0</v>
      </c>
      <c r="E93" s="410"/>
      <c r="F93" s="411">
        <v>0</v>
      </c>
      <c r="G93" s="410"/>
      <c r="H93" s="411">
        <v>0</v>
      </c>
      <c r="I93" s="410"/>
      <c r="J93" s="411">
        <v>0</v>
      </c>
      <c r="K93" s="410"/>
      <c r="L93" s="411">
        <v>2153682.54</v>
      </c>
      <c r="M93" s="401"/>
      <c r="N93" s="409">
        <v>0</v>
      </c>
      <c r="O93" s="401"/>
      <c r="P93" s="409">
        <v>2153682.54</v>
      </c>
    </row>
    <row r="94" spans="1:16" x14ac:dyDescent="0.2">
      <c r="A94" s="401" t="s">
        <v>862</v>
      </c>
      <c r="B94" s="411">
        <v>15572068.520000003</v>
      </c>
      <c r="C94" s="410"/>
      <c r="D94" s="411">
        <v>4156.960000000021</v>
      </c>
      <c r="E94" s="410"/>
      <c r="F94" s="411">
        <v>-16024.619999999999</v>
      </c>
      <c r="G94" s="410"/>
      <c r="H94" s="411">
        <v>1021629.75</v>
      </c>
      <c r="I94" s="410"/>
      <c r="J94" s="411">
        <v>1009762.0900000001</v>
      </c>
      <c r="K94" s="410"/>
      <c r="L94" s="411">
        <v>16581830.610000003</v>
      </c>
      <c r="M94" s="401"/>
      <c r="N94" s="409">
        <v>-4954227.3</v>
      </c>
      <c r="O94" s="401"/>
      <c r="P94" s="409">
        <v>11627603.310000002</v>
      </c>
    </row>
    <row r="95" spans="1:16" x14ac:dyDescent="0.2">
      <c r="A95" s="401" t="s">
        <v>863</v>
      </c>
      <c r="B95" s="411">
        <v>1220542.6199999999</v>
      </c>
      <c r="C95" s="410"/>
      <c r="D95" s="411">
        <v>0</v>
      </c>
      <c r="E95" s="410"/>
      <c r="F95" s="411">
        <v>0</v>
      </c>
      <c r="G95" s="410"/>
      <c r="H95" s="411">
        <v>-1025428.69</v>
      </c>
      <c r="I95" s="410"/>
      <c r="J95" s="411">
        <v>-1025428.69</v>
      </c>
      <c r="K95" s="410"/>
      <c r="L95" s="411">
        <v>195113.92999999993</v>
      </c>
      <c r="M95" s="401"/>
      <c r="N95" s="409">
        <v>-64786.689999999944</v>
      </c>
      <c r="O95" s="401"/>
      <c r="P95" s="409">
        <v>130327.23999999999</v>
      </c>
    </row>
    <row r="96" spans="1:16" x14ac:dyDescent="0.2">
      <c r="A96" s="401" t="s">
        <v>864</v>
      </c>
      <c r="B96" s="411">
        <v>174253027.75999999</v>
      </c>
      <c r="C96" s="410"/>
      <c r="D96" s="411">
        <v>2995684.0200000005</v>
      </c>
      <c r="E96" s="410"/>
      <c r="F96" s="411">
        <v>-1482106.04</v>
      </c>
      <c r="G96" s="410"/>
      <c r="H96" s="411">
        <v>0</v>
      </c>
      <c r="I96" s="410"/>
      <c r="J96" s="411">
        <v>1513577.9800000004</v>
      </c>
      <c r="K96" s="410"/>
      <c r="L96" s="411">
        <v>175766605.73999998</v>
      </c>
      <c r="M96" s="401"/>
      <c r="N96" s="409">
        <v>-56382669.849999994</v>
      </c>
      <c r="O96" s="401"/>
      <c r="P96" s="409">
        <v>119383935.88999999</v>
      </c>
    </row>
    <row r="97" spans="1:16" x14ac:dyDescent="0.2">
      <c r="A97" s="401" t="s">
        <v>879</v>
      </c>
      <c r="B97" s="411">
        <v>0</v>
      </c>
      <c r="C97" s="410"/>
      <c r="D97" s="411">
        <v>0</v>
      </c>
      <c r="E97" s="410"/>
      <c r="F97" s="411">
        <v>0</v>
      </c>
      <c r="G97" s="410"/>
      <c r="H97" s="411">
        <v>0</v>
      </c>
      <c r="I97" s="410"/>
      <c r="J97" s="411">
        <v>0</v>
      </c>
      <c r="K97" s="410"/>
      <c r="L97" s="411">
        <v>0</v>
      </c>
      <c r="M97" s="401"/>
      <c r="N97" s="409">
        <v>-1024198.0000000001</v>
      </c>
      <c r="O97" s="401"/>
      <c r="P97" s="409">
        <v>-1024198.0000000001</v>
      </c>
    </row>
    <row r="98" spans="1:16" x14ac:dyDescent="0.2">
      <c r="A98" s="401" t="s">
        <v>880</v>
      </c>
      <c r="B98" s="411">
        <v>14668403.51</v>
      </c>
      <c r="C98" s="410"/>
      <c r="D98" s="411">
        <v>0</v>
      </c>
      <c r="E98" s="410"/>
      <c r="F98" s="411">
        <v>0</v>
      </c>
      <c r="G98" s="410"/>
      <c r="H98" s="411">
        <v>0</v>
      </c>
      <c r="I98" s="410"/>
      <c r="J98" s="411">
        <v>0</v>
      </c>
      <c r="K98" s="410"/>
      <c r="L98" s="411">
        <v>14668403.51</v>
      </c>
      <c r="M98" s="401"/>
      <c r="N98" s="409">
        <v>-18031120.580000002</v>
      </c>
      <c r="O98" s="401"/>
      <c r="P98" s="409">
        <v>-3362717.0700000022</v>
      </c>
    </row>
    <row r="99" spans="1:16" x14ac:dyDescent="0.2">
      <c r="A99" s="401" t="s">
        <v>881</v>
      </c>
      <c r="B99" s="411">
        <v>88162069.549999982</v>
      </c>
      <c r="C99" s="410"/>
      <c r="D99" s="411">
        <v>-511716.06999999995</v>
      </c>
      <c r="E99" s="410"/>
      <c r="F99" s="411">
        <v>-41105.619999999995</v>
      </c>
      <c r="G99" s="410"/>
      <c r="H99" s="411">
        <v>0</v>
      </c>
      <c r="I99" s="410"/>
      <c r="J99" s="411">
        <v>-552821.68999999994</v>
      </c>
      <c r="K99" s="410"/>
      <c r="L99" s="411">
        <v>87609247.859999985</v>
      </c>
      <c r="M99" s="401"/>
      <c r="N99" s="409">
        <v>-44462252.830000013</v>
      </c>
      <c r="O99" s="401"/>
      <c r="P99" s="409">
        <v>43146995.029999971</v>
      </c>
    </row>
    <row r="100" spans="1:16" x14ac:dyDescent="0.2">
      <c r="A100" s="401" t="s">
        <v>882</v>
      </c>
      <c r="B100" s="411">
        <v>140430471.67000002</v>
      </c>
      <c r="C100" s="410"/>
      <c r="D100" s="411">
        <v>2723836.7399999998</v>
      </c>
      <c r="E100" s="410"/>
      <c r="F100" s="411">
        <v>-52240.310000000005</v>
      </c>
      <c r="G100" s="410"/>
      <c r="H100" s="411">
        <v>0</v>
      </c>
      <c r="I100" s="410"/>
      <c r="J100" s="411">
        <v>2671596.4299999997</v>
      </c>
      <c r="K100" s="410"/>
      <c r="L100" s="411">
        <v>143102068.10000002</v>
      </c>
      <c r="M100" s="401"/>
      <c r="N100" s="409">
        <v>-64077685.770000003</v>
      </c>
      <c r="O100" s="401"/>
      <c r="P100" s="409">
        <v>79024382.330000013</v>
      </c>
    </row>
    <row r="101" spans="1:16" x14ac:dyDescent="0.2">
      <c r="A101" s="401" t="s">
        <v>883</v>
      </c>
      <c r="B101" s="411">
        <v>144948911.25</v>
      </c>
      <c r="C101" s="410"/>
      <c r="D101" s="411">
        <v>6708939.0300000003</v>
      </c>
      <c r="E101" s="410"/>
      <c r="F101" s="411">
        <v>-168892.83000000002</v>
      </c>
      <c r="G101" s="410"/>
      <c r="H101" s="411">
        <v>0</v>
      </c>
      <c r="I101" s="410"/>
      <c r="J101" s="411">
        <v>6540046.2000000002</v>
      </c>
      <c r="K101" s="410"/>
      <c r="L101" s="411">
        <v>151488957.44999999</v>
      </c>
      <c r="M101" s="401"/>
      <c r="N101" s="409">
        <v>-100307262.61</v>
      </c>
      <c r="O101" s="401"/>
      <c r="P101" s="409">
        <v>51181694.839999989</v>
      </c>
    </row>
    <row r="102" spans="1:16" x14ac:dyDescent="0.2">
      <c r="A102" s="401" t="s">
        <v>884</v>
      </c>
      <c r="B102" s="411">
        <v>448760.26</v>
      </c>
      <c r="C102" s="410"/>
      <c r="D102" s="411">
        <v>0</v>
      </c>
      <c r="E102" s="410"/>
      <c r="F102" s="411">
        <v>0</v>
      </c>
      <c r="G102" s="410"/>
      <c r="H102" s="411">
        <v>0</v>
      </c>
      <c r="I102" s="410"/>
      <c r="J102" s="411">
        <v>0</v>
      </c>
      <c r="K102" s="410"/>
      <c r="L102" s="411">
        <v>448760.26</v>
      </c>
      <c r="M102" s="401"/>
      <c r="N102" s="409">
        <v>-190334.6</v>
      </c>
      <c r="O102" s="401"/>
      <c r="P102" s="409">
        <v>258425.66</v>
      </c>
    </row>
    <row r="103" spans="1:16" x14ac:dyDescent="0.2">
      <c r="A103" s="401" t="s">
        <v>885</v>
      </c>
      <c r="B103" s="411">
        <v>1161549.29</v>
      </c>
      <c r="C103" s="410"/>
      <c r="D103" s="411">
        <v>0</v>
      </c>
      <c r="E103" s="410"/>
      <c r="F103" s="411">
        <v>0</v>
      </c>
      <c r="G103" s="410"/>
      <c r="H103" s="411">
        <v>0</v>
      </c>
      <c r="I103" s="410"/>
      <c r="J103" s="411">
        <v>0</v>
      </c>
      <c r="K103" s="410"/>
      <c r="L103" s="411">
        <v>1161549.29</v>
      </c>
      <c r="M103" s="401"/>
      <c r="N103" s="409">
        <v>-921698.12</v>
      </c>
      <c r="O103" s="401"/>
      <c r="P103" s="409">
        <v>239851.17000000004</v>
      </c>
    </row>
    <row r="104" spans="1:16" x14ac:dyDescent="0.2">
      <c r="A104" s="401" t="s">
        <v>886</v>
      </c>
      <c r="B104" s="411">
        <v>86951.499999999985</v>
      </c>
      <c r="C104" s="410"/>
      <c r="D104" s="411">
        <v>0</v>
      </c>
      <c r="E104" s="410"/>
      <c r="F104" s="411">
        <v>0</v>
      </c>
      <c r="G104" s="410"/>
      <c r="H104" s="411">
        <v>0</v>
      </c>
      <c r="I104" s="410"/>
      <c r="J104" s="411">
        <v>0</v>
      </c>
      <c r="K104" s="410"/>
      <c r="L104" s="411">
        <v>86951.499999999985</v>
      </c>
      <c r="M104" s="401"/>
      <c r="N104" s="409">
        <v>-1727.4799999999982</v>
      </c>
      <c r="O104" s="401"/>
      <c r="P104" s="409">
        <v>85224.01999999999</v>
      </c>
    </row>
    <row r="105" spans="1:16" x14ac:dyDescent="0.2">
      <c r="A105" s="401" t="s">
        <v>887</v>
      </c>
      <c r="B105" s="415">
        <v>453047.99</v>
      </c>
      <c r="C105" s="410"/>
      <c r="D105" s="415">
        <v>0</v>
      </c>
      <c r="E105" s="410"/>
      <c r="F105" s="415">
        <v>0</v>
      </c>
      <c r="G105" s="410"/>
      <c r="H105" s="415">
        <v>0</v>
      </c>
      <c r="I105" s="410"/>
      <c r="J105" s="415">
        <v>0</v>
      </c>
      <c r="K105" s="410"/>
      <c r="L105" s="415">
        <v>453047.99</v>
      </c>
      <c r="M105" s="401"/>
      <c r="N105" s="416">
        <v>-5033.88</v>
      </c>
      <c r="O105" s="401"/>
      <c r="P105" s="416">
        <v>448014.11</v>
      </c>
    </row>
    <row r="106" spans="1:16" x14ac:dyDescent="0.2">
      <c r="A106" s="401"/>
      <c r="B106" s="411">
        <v>604854986.63999987</v>
      </c>
      <c r="C106" s="410"/>
      <c r="D106" s="411">
        <v>11920900.68</v>
      </c>
      <c r="E106" s="410"/>
      <c r="F106" s="411">
        <v>-1760369.4200000004</v>
      </c>
      <c r="G106" s="410"/>
      <c r="H106" s="411">
        <v>-3798.9399999999441</v>
      </c>
      <c r="I106" s="410"/>
      <c r="J106" s="411">
        <v>10156732.32</v>
      </c>
      <c r="K106" s="410"/>
      <c r="L106" s="411">
        <v>615011718.95999992</v>
      </c>
      <c r="M106" s="401"/>
      <c r="N106" s="411">
        <v>-304594162.50000006</v>
      </c>
      <c r="O106" s="401"/>
      <c r="P106" s="411">
        <v>310417556.45999998</v>
      </c>
    </row>
    <row r="107" spans="1:16" x14ac:dyDescent="0.2">
      <c r="A107" s="401"/>
      <c r="B107" s="411"/>
      <c r="C107" s="408"/>
      <c r="D107" s="411"/>
      <c r="E107" s="408"/>
      <c r="F107" s="411"/>
      <c r="G107" s="408"/>
      <c r="H107" s="411"/>
      <c r="I107" s="408"/>
      <c r="J107" s="411"/>
      <c r="K107" s="408"/>
      <c r="L107" s="411"/>
      <c r="M107" s="401"/>
      <c r="N107" s="401"/>
      <c r="O107" s="401"/>
      <c r="P107" s="401"/>
    </row>
    <row r="108" spans="1:16" x14ac:dyDescent="0.2">
      <c r="A108" s="401"/>
      <c r="B108" s="406"/>
      <c r="C108" s="408"/>
      <c r="D108" s="406"/>
      <c r="E108" s="408"/>
      <c r="F108" s="406"/>
      <c r="G108" s="408"/>
      <c r="H108" s="406"/>
      <c r="I108" s="408"/>
      <c r="J108" s="406"/>
      <c r="K108" s="408"/>
      <c r="L108" s="406"/>
      <c r="M108" s="401"/>
      <c r="N108" s="401"/>
      <c r="O108" s="401"/>
      <c r="P108" s="401"/>
    </row>
    <row r="109" spans="1:16" ht="13.5" thickBot="1" x14ac:dyDescent="0.25">
      <c r="A109" s="400" t="s">
        <v>1494</v>
      </c>
      <c r="B109" s="417">
        <f>B106+B89+B75+B61+B54+B43+B26</f>
        <v>6308098142.2699986</v>
      </c>
      <c r="C109" s="410"/>
      <c r="D109" s="417">
        <f>D106+D89+D75+D61+D54+D43+D26</f>
        <v>68771643.200000003</v>
      </c>
      <c r="E109" s="410"/>
      <c r="F109" s="417">
        <f>F106+F89+F75+F61+F54+F43+F26</f>
        <v>-21893033.060000002</v>
      </c>
      <c r="G109" s="410"/>
      <c r="H109" s="417">
        <f>H106+H89+H75+H61+H54+H43+H26</f>
        <v>-458856.87</v>
      </c>
      <c r="I109" s="410"/>
      <c r="J109" s="417">
        <f>J106+J89+J75+J61+J54+J43+J26</f>
        <v>46419753.270000011</v>
      </c>
      <c r="K109" s="410"/>
      <c r="L109" s="417">
        <f>L106+L89+L75+L61+L54+L43+L26</f>
        <v>6354517895.5400019</v>
      </c>
      <c r="M109" s="401"/>
      <c r="N109" s="417">
        <f>N106+N89+N75+N61+N54+N43+N26</f>
        <v>-2365657838.6400003</v>
      </c>
      <c r="O109" s="401"/>
      <c r="P109" s="417">
        <f>P106+P89+P75+P61+P54+P43+P26</f>
        <v>3988860056.9000001</v>
      </c>
    </row>
    <row r="110" spans="1:16" ht="13.5" thickTop="1" x14ac:dyDescent="0.2">
      <c r="A110" s="223"/>
      <c r="B110" s="525"/>
      <c r="C110" s="526"/>
      <c r="D110" s="525"/>
      <c r="E110" s="526"/>
      <c r="F110" s="525"/>
      <c r="G110" s="526"/>
      <c r="H110" s="525"/>
      <c r="I110" s="526"/>
      <c r="J110" s="525"/>
      <c r="K110" s="526"/>
      <c r="L110" s="525"/>
    </row>
    <row r="111" spans="1:16" x14ac:dyDescent="0.2">
      <c r="C111" s="528"/>
      <c r="E111" s="528"/>
      <c r="G111" s="528"/>
      <c r="I111" s="528"/>
      <c r="K111" s="528"/>
    </row>
    <row r="112" spans="1:16" s="530" customFormat="1" x14ac:dyDescent="0.2">
      <c r="A112" s="529"/>
      <c r="B112" s="525"/>
      <c r="C112" s="526"/>
      <c r="D112" s="525"/>
      <c r="E112" s="526"/>
      <c r="F112" s="525"/>
      <c r="G112" s="526"/>
      <c r="H112" s="525"/>
      <c r="I112" s="526"/>
      <c r="J112" s="525"/>
      <c r="K112" s="526"/>
      <c r="L112" s="525"/>
    </row>
    <row r="113" spans="1:12" s="530" customFormat="1" x14ac:dyDescent="0.2">
      <c r="A113" s="529"/>
      <c r="B113" s="525"/>
      <c r="C113" s="526"/>
      <c r="D113" s="525"/>
      <c r="E113" s="526"/>
      <c r="F113" s="525"/>
      <c r="G113" s="526"/>
      <c r="H113" s="525"/>
      <c r="I113" s="526"/>
      <c r="J113" s="525"/>
      <c r="K113" s="526"/>
      <c r="L113" s="525"/>
    </row>
    <row r="114" spans="1:12" s="530" customFormat="1" x14ac:dyDescent="0.2">
      <c r="B114" s="525"/>
      <c r="C114" s="526"/>
      <c r="D114" s="525"/>
      <c r="E114" s="526"/>
      <c r="F114" s="525"/>
      <c r="G114" s="526"/>
      <c r="H114" s="525"/>
      <c r="I114" s="526"/>
      <c r="J114" s="525"/>
      <c r="K114" s="526"/>
      <c r="L114" s="525"/>
    </row>
    <row r="115" spans="1:12" s="530" customFormat="1" x14ac:dyDescent="0.2">
      <c r="B115" s="525"/>
      <c r="C115" s="526"/>
      <c r="D115" s="525"/>
      <c r="E115" s="526"/>
      <c r="F115" s="525"/>
      <c r="G115" s="526"/>
      <c r="H115" s="525"/>
      <c r="I115" s="526"/>
      <c r="J115" s="525"/>
      <c r="K115" s="526"/>
      <c r="L115" s="525"/>
    </row>
    <row r="116" spans="1:12" s="530" customFormat="1" x14ac:dyDescent="0.2">
      <c r="B116" s="525"/>
      <c r="C116" s="526"/>
      <c r="D116" s="525"/>
      <c r="E116" s="526"/>
      <c r="F116" s="525"/>
      <c r="G116" s="526"/>
      <c r="H116" s="525"/>
      <c r="I116" s="526"/>
      <c r="J116" s="525"/>
      <c r="K116" s="526"/>
      <c r="L116" s="525"/>
    </row>
    <row r="117" spans="1:12" s="530" customFormat="1" x14ac:dyDescent="0.2">
      <c r="B117" s="525"/>
      <c r="C117" s="526"/>
      <c r="D117" s="525"/>
      <c r="E117" s="526"/>
      <c r="F117" s="525"/>
      <c r="G117" s="526"/>
      <c r="H117" s="525"/>
      <c r="I117" s="526"/>
      <c r="J117" s="525"/>
      <c r="K117" s="526"/>
      <c r="L117" s="525"/>
    </row>
    <row r="118" spans="1:12" s="530" customFormat="1" x14ac:dyDescent="0.2">
      <c r="B118" s="525"/>
      <c r="C118" s="526"/>
      <c r="D118" s="525"/>
      <c r="E118" s="526"/>
      <c r="F118" s="525"/>
      <c r="G118" s="526"/>
      <c r="H118" s="525"/>
      <c r="I118" s="526"/>
      <c r="J118" s="525"/>
      <c r="K118" s="526"/>
      <c r="L118" s="525"/>
    </row>
    <row r="119" spans="1:12" s="530" customFormat="1" x14ac:dyDescent="0.2">
      <c r="B119" s="525"/>
      <c r="C119" s="526"/>
      <c r="D119" s="525"/>
      <c r="E119" s="526"/>
      <c r="F119" s="525"/>
      <c r="G119" s="526"/>
      <c r="H119" s="525"/>
      <c r="I119" s="526"/>
      <c r="J119" s="525"/>
      <c r="K119" s="526"/>
      <c r="L119" s="525"/>
    </row>
    <row r="120" spans="1:12" s="530" customFormat="1" x14ac:dyDescent="0.2">
      <c r="B120" s="525"/>
      <c r="C120" s="526"/>
      <c r="D120" s="525"/>
      <c r="E120" s="526"/>
      <c r="F120" s="525"/>
      <c r="G120" s="526"/>
      <c r="H120" s="525"/>
      <c r="I120" s="526"/>
      <c r="J120" s="525"/>
      <c r="K120" s="526"/>
      <c r="L120" s="525"/>
    </row>
    <row r="121" spans="1:12" s="530" customFormat="1" x14ac:dyDescent="0.2">
      <c r="B121" s="525"/>
      <c r="C121" s="526"/>
      <c r="D121" s="525"/>
      <c r="E121" s="526"/>
      <c r="F121" s="525"/>
      <c r="G121" s="526"/>
      <c r="H121" s="525"/>
      <c r="I121" s="526"/>
      <c r="J121" s="525"/>
      <c r="K121" s="526"/>
      <c r="L121" s="525"/>
    </row>
    <row r="122" spans="1:12" s="530" customFormat="1" x14ac:dyDescent="0.2">
      <c r="B122" s="525"/>
      <c r="C122" s="526"/>
      <c r="D122" s="525"/>
      <c r="E122" s="526"/>
      <c r="F122" s="525"/>
      <c r="G122" s="526"/>
      <c r="H122" s="525"/>
      <c r="I122" s="526"/>
      <c r="J122" s="525"/>
      <c r="K122" s="526"/>
      <c r="L122" s="525"/>
    </row>
    <row r="123" spans="1:12" s="530" customFormat="1" x14ac:dyDescent="0.2">
      <c r="B123" s="525"/>
      <c r="C123" s="526"/>
      <c r="D123" s="525"/>
      <c r="E123" s="526"/>
      <c r="F123" s="525"/>
      <c r="G123" s="526"/>
      <c r="H123" s="525"/>
      <c r="I123" s="526"/>
      <c r="J123" s="525"/>
      <c r="K123" s="526"/>
      <c r="L123" s="525"/>
    </row>
    <row r="124" spans="1:12" s="530" customFormat="1" x14ac:dyDescent="0.2">
      <c r="B124" s="525"/>
      <c r="C124" s="526"/>
      <c r="D124" s="525"/>
      <c r="E124" s="526"/>
      <c r="F124" s="525"/>
      <c r="G124" s="526"/>
      <c r="H124" s="525"/>
      <c r="I124" s="526"/>
      <c r="J124" s="525"/>
      <c r="K124" s="526"/>
      <c r="L124" s="525"/>
    </row>
    <row r="125" spans="1:12" s="530" customFormat="1" x14ac:dyDescent="0.2">
      <c r="B125" s="525"/>
      <c r="C125" s="526"/>
      <c r="D125" s="525"/>
      <c r="E125" s="526"/>
      <c r="F125" s="525"/>
      <c r="G125" s="526"/>
      <c r="H125" s="525"/>
      <c r="I125" s="526"/>
      <c r="J125" s="525"/>
      <c r="K125" s="526"/>
      <c r="L125" s="525"/>
    </row>
    <row r="126" spans="1:12" s="530" customFormat="1" x14ac:dyDescent="0.2">
      <c r="A126" s="529"/>
      <c r="B126" s="525"/>
      <c r="C126" s="526"/>
      <c r="D126" s="525"/>
      <c r="E126" s="526"/>
      <c r="F126" s="525"/>
      <c r="G126" s="526"/>
      <c r="H126" s="525"/>
      <c r="I126" s="526"/>
      <c r="J126" s="525"/>
      <c r="K126" s="526"/>
      <c r="L126" s="525"/>
    </row>
    <row r="127" spans="1:12" s="530" customFormat="1" x14ac:dyDescent="0.2">
      <c r="B127" s="525"/>
      <c r="C127" s="526"/>
      <c r="D127" s="525"/>
      <c r="E127" s="526"/>
      <c r="F127" s="525"/>
      <c r="G127" s="526"/>
      <c r="H127" s="525"/>
      <c r="I127" s="526"/>
      <c r="J127" s="525"/>
      <c r="K127" s="526"/>
      <c r="L127" s="525"/>
    </row>
    <row r="128" spans="1:12" s="530" customFormat="1" x14ac:dyDescent="0.2">
      <c r="B128" s="525"/>
      <c r="C128" s="526"/>
      <c r="D128" s="525"/>
      <c r="E128" s="526"/>
      <c r="F128" s="525"/>
      <c r="G128" s="526"/>
      <c r="H128" s="525"/>
      <c r="I128" s="526"/>
      <c r="J128" s="525"/>
      <c r="K128" s="526"/>
      <c r="L128" s="525"/>
    </row>
    <row r="129" spans="1:12" s="530" customFormat="1" x14ac:dyDescent="0.2">
      <c r="B129" s="525"/>
      <c r="C129" s="526"/>
      <c r="D129" s="525"/>
      <c r="E129" s="526"/>
      <c r="F129" s="525"/>
      <c r="G129" s="526"/>
      <c r="H129" s="525"/>
      <c r="I129" s="526"/>
      <c r="J129" s="525"/>
      <c r="K129" s="526"/>
      <c r="L129" s="525"/>
    </row>
    <row r="130" spans="1:12" s="530" customFormat="1" x14ac:dyDescent="0.2">
      <c r="B130" s="525"/>
      <c r="C130" s="526"/>
      <c r="D130" s="525"/>
      <c r="E130" s="526"/>
      <c r="F130" s="525"/>
      <c r="G130" s="526"/>
      <c r="H130" s="525"/>
      <c r="I130" s="526"/>
      <c r="J130" s="525"/>
      <c r="K130" s="526"/>
      <c r="L130" s="525"/>
    </row>
    <row r="131" spans="1:12" s="530" customFormat="1" x14ac:dyDescent="0.2">
      <c r="B131" s="525"/>
      <c r="C131" s="526"/>
      <c r="D131" s="525"/>
      <c r="E131" s="526"/>
      <c r="F131" s="525"/>
      <c r="G131" s="526"/>
      <c r="H131" s="525"/>
      <c r="I131" s="526"/>
      <c r="J131" s="525"/>
      <c r="K131" s="526"/>
      <c r="L131" s="525"/>
    </row>
    <row r="132" spans="1:12" s="530" customFormat="1" x14ac:dyDescent="0.2">
      <c r="B132" s="525"/>
      <c r="C132" s="526"/>
      <c r="D132" s="525"/>
      <c r="E132" s="526"/>
      <c r="F132" s="525"/>
      <c r="G132" s="526"/>
      <c r="H132" s="525"/>
      <c r="I132" s="526"/>
      <c r="J132" s="525"/>
      <c r="K132" s="526"/>
      <c r="L132" s="525"/>
    </row>
    <row r="133" spans="1:12" s="530" customFormat="1" x14ac:dyDescent="0.2">
      <c r="B133" s="525"/>
      <c r="C133" s="526"/>
      <c r="D133" s="525"/>
      <c r="E133" s="526"/>
      <c r="F133" s="525"/>
      <c r="G133" s="526"/>
      <c r="H133" s="525"/>
      <c r="I133" s="526"/>
      <c r="J133" s="525"/>
      <c r="K133" s="526"/>
      <c r="L133" s="525"/>
    </row>
    <row r="134" spans="1:12" s="530" customFormat="1" x14ac:dyDescent="0.2">
      <c r="B134" s="525"/>
      <c r="C134" s="526"/>
      <c r="D134" s="525"/>
      <c r="E134" s="526"/>
      <c r="F134" s="525"/>
      <c r="G134" s="526"/>
      <c r="H134" s="525"/>
      <c r="I134" s="526"/>
      <c r="J134" s="525"/>
      <c r="K134" s="526"/>
      <c r="L134" s="525"/>
    </row>
    <row r="135" spans="1:12" s="530" customFormat="1" x14ac:dyDescent="0.2">
      <c r="B135" s="525"/>
      <c r="C135" s="526"/>
      <c r="D135" s="525"/>
      <c r="E135" s="526"/>
      <c r="F135" s="525"/>
      <c r="G135" s="526"/>
      <c r="H135" s="525"/>
      <c r="I135" s="526"/>
      <c r="J135" s="525"/>
      <c r="K135" s="526"/>
      <c r="L135" s="525"/>
    </row>
    <row r="136" spans="1:12" s="530" customFormat="1" x14ac:dyDescent="0.2">
      <c r="A136" s="529"/>
      <c r="B136" s="525"/>
      <c r="C136" s="526"/>
      <c r="D136" s="525"/>
      <c r="E136" s="526"/>
      <c r="F136" s="525"/>
      <c r="G136" s="526"/>
      <c r="H136" s="525"/>
      <c r="I136" s="526"/>
      <c r="J136" s="525"/>
      <c r="K136" s="526"/>
      <c r="L136" s="525"/>
    </row>
    <row r="137" spans="1:12" s="530" customFormat="1" x14ac:dyDescent="0.2">
      <c r="B137" s="525"/>
      <c r="C137" s="526"/>
      <c r="D137" s="525"/>
      <c r="E137" s="526"/>
      <c r="F137" s="525"/>
      <c r="G137" s="526"/>
      <c r="H137" s="525"/>
      <c r="I137" s="526"/>
      <c r="J137" s="525"/>
      <c r="K137" s="526"/>
      <c r="L137" s="525"/>
    </row>
    <row r="138" spans="1:12" s="530" customFormat="1" x14ac:dyDescent="0.2">
      <c r="B138" s="525"/>
      <c r="C138" s="526"/>
      <c r="D138" s="525"/>
      <c r="E138" s="526"/>
      <c r="F138" s="525"/>
      <c r="G138" s="526"/>
      <c r="H138" s="525"/>
      <c r="I138" s="526"/>
      <c r="J138" s="525"/>
      <c r="K138" s="526"/>
      <c r="L138" s="525"/>
    </row>
    <row r="139" spans="1:12" s="530" customFormat="1" x14ac:dyDescent="0.2">
      <c r="B139" s="525"/>
      <c r="C139" s="526"/>
      <c r="D139" s="525"/>
      <c r="E139" s="526"/>
      <c r="F139" s="525"/>
      <c r="G139" s="526"/>
      <c r="H139" s="525"/>
      <c r="I139" s="526"/>
      <c r="J139" s="525"/>
      <c r="K139" s="526"/>
      <c r="L139" s="525"/>
    </row>
    <row r="140" spans="1:12" s="530" customFormat="1" x14ac:dyDescent="0.2">
      <c r="B140" s="525"/>
      <c r="C140" s="526"/>
      <c r="D140" s="525"/>
      <c r="E140" s="526"/>
      <c r="F140" s="525"/>
      <c r="G140" s="526"/>
      <c r="H140" s="525"/>
      <c r="I140" s="526"/>
      <c r="J140" s="525"/>
      <c r="K140" s="526"/>
      <c r="L140" s="525"/>
    </row>
    <row r="141" spans="1:12" s="530" customFormat="1" x14ac:dyDescent="0.2">
      <c r="B141" s="525"/>
      <c r="C141" s="526"/>
      <c r="D141" s="525"/>
      <c r="E141" s="526"/>
      <c r="F141" s="525"/>
      <c r="G141" s="526"/>
      <c r="H141" s="525"/>
      <c r="I141" s="526"/>
      <c r="J141" s="525"/>
      <c r="K141" s="526"/>
      <c r="L141" s="525"/>
    </row>
    <row r="142" spans="1:12" s="530" customFormat="1" x14ac:dyDescent="0.2">
      <c r="B142" s="525"/>
      <c r="C142" s="526"/>
      <c r="D142" s="525"/>
      <c r="E142" s="526"/>
      <c r="F142" s="525"/>
      <c r="G142" s="526"/>
      <c r="H142" s="525"/>
      <c r="I142" s="526"/>
      <c r="J142" s="525"/>
      <c r="K142" s="526"/>
      <c r="L142" s="525"/>
    </row>
    <row r="143" spans="1:12" s="530" customFormat="1" x14ac:dyDescent="0.2">
      <c r="B143" s="525"/>
      <c r="C143" s="526"/>
      <c r="D143" s="525"/>
      <c r="E143" s="526"/>
      <c r="F143" s="525"/>
      <c r="G143" s="526"/>
      <c r="H143" s="525"/>
      <c r="I143" s="526"/>
      <c r="J143" s="525"/>
      <c r="K143" s="526"/>
      <c r="L143" s="525"/>
    </row>
    <row r="144" spans="1:12" s="530" customFormat="1" x14ac:dyDescent="0.2">
      <c r="B144" s="525"/>
      <c r="C144" s="526"/>
      <c r="D144" s="525"/>
      <c r="E144" s="526"/>
      <c r="F144" s="525"/>
      <c r="G144" s="526"/>
      <c r="H144" s="525"/>
      <c r="I144" s="526"/>
      <c r="J144" s="525"/>
      <c r="K144" s="526"/>
      <c r="L144" s="525"/>
    </row>
    <row r="145" spans="1:12" s="530" customFormat="1" x14ac:dyDescent="0.2">
      <c r="A145" s="529"/>
      <c r="B145" s="525"/>
      <c r="C145" s="526"/>
      <c r="D145" s="525"/>
      <c r="E145" s="526"/>
      <c r="F145" s="525"/>
      <c r="G145" s="526"/>
      <c r="H145" s="525"/>
      <c r="I145" s="526"/>
      <c r="J145" s="525"/>
      <c r="K145" s="526"/>
      <c r="L145" s="525"/>
    </row>
    <row r="146" spans="1:12" s="530" customFormat="1" x14ac:dyDescent="0.2">
      <c r="B146" s="525"/>
      <c r="C146" s="526"/>
      <c r="D146" s="525"/>
      <c r="E146" s="526"/>
      <c r="F146" s="525"/>
      <c r="G146" s="526"/>
      <c r="H146" s="525"/>
      <c r="I146" s="526"/>
      <c r="J146" s="525"/>
      <c r="K146" s="526"/>
      <c r="L146" s="525"/>
    </row>
    <row r="147" spans="1:12" s="530" customFormat="1" x14ac:dyDescent="0.2">
      <c r="B147" s="525"/>
      <c r="C147" s="526"/>
      <c r="D147" s="525"/>
      <c r="E147" s="526"/>
      <c r="F147" s="525"/>
      <c r="G147" s="526"/>
      <c r="H147" s="525"/>
      <c r="I147" s="526"/>
      <c r="J147" s="525"/>
      <c r="K147" s="526"/>
      <c r="L147" s="525"/>
    </row>
    <row r="148" spans="1:12" s="530" customFormat="1" x14ac:dyDescent="0.2">
      <c r="B148" s="525"/>
      <c r="C148" s="526"/>
      <c r="D148" s="525"/>
      <c r="E148" s="526"/>
      <c r="F148" s="525"/>
      <c r="G148" s="526"/>
      <c r="H148" s="525"/>
      <c r="I148" s="526"/>
      <c r="J148" s="525"/>
      <c r="K148" s="526"/>
      <c r="L148" s="525"/>
    </row>
    <row r="149" spans="1:12" s="530" customFormat="1" x14ac:dyDescent="0.2">
      <c r="B149" s="525"/>
      <c r="C149" s="526"/>
      <c r="D149" s="525"/>
      <c r="E149" s="526"/>
      <c r="F149" s="525"/>
      <c r="G149" s="526"/>
      <c r="H149" s="525"/>
      <c r="I149" s="526"/>
      <c r="J149" s="525"/>
      <c r="K149" s="526"/>
      <c r="L149" s="525"/>
    </row>
    <row r="150" spans="1:12" s="530" customFormat="1" x14ac:dyDescent="0.2">
      <c r="A150" s="529"/>
      <c r="B150" s="525"/>
      <c r="C150" s="526"/>
      <c r="D150" s="525"/>
      <c r="E150" s="526"/>
      <c r="F150" s="525"/>
      <c r="G150" s="526"/>
      <c r="H150" s="525"/>
      <c r="I150" s="526"/>
      <c r="J150" s="525"/>
      <c r="K150" s="526"/>
      <c r="L150" s="525"/>
    </row>
    <row r="151" spans="1:12" s="530" customFormat="1" x14ac:dyDescent="0.2">
      <c r="B151" s="525"/>
      <c r="C151" s="526"/>
      <c r="D151" s="525"/>
      <c r="E151" s="526"/>
      <c r="F151" s="525"/>
      <c r="G151" s="526"/>
      <c r="H151" s="525"/>
      <c r="I151" s="526"/>
      <c r="J151" s="525"/>
      <c r="K151" s="526"/>
      <c r="L151" s="525"/>
    </row>
    <row r="152" spans="1:12" s="530" customFormat="1" x14ac:dyDescent="0.2">
      <c r="B152" s="525"/>
      <c r="C152" s="526"/>
      <c r="D152" s="525"/>
      <c r="E152" s="526"/>
      <c r="F152" s="525"/>
      <c r="G152" s="526"/>
      <c r="H152" s="525"/>
      <c r="I152" s="526"/>
      <c r="J152" s="525"/>
      <c r="K152" s="526"/>
      <c r="L152" s="525"/>
    </row>
    <row r="153" spans="1:12" s="530" customFormat="1" x14ac:dyDescent="0.2">
      <c r="B153" s="525"/>
      <c r="C153" s="526"/>
      <c r="D153" s="525"/>
      <c r="E153" s="526"/>
      <c r="F153" s="525"/>
      <c r="G153" s="526"/>
      <c r="H153" s="525"/>
      <c r="I153" s="526"/>
      <c r="J153" s="525"/>
      <c r="K153" s="526"/>
      <c r="L153" s="525"/>
    </row>
    <row r="154" spans="1:12" s="530" customFormat="1" x14ac:dyDescent="0.2">
      <c r="B154" s="525"/>
      <c r="C154" s="526"/>
      <c r="D154" s="525"/>
      <c r="E154" s="526"/>
      <c r="F154" s="525"/>
      <c r="G154" s="526"/>
      <c r="H154" s="525"/>
      <c r="I154" s="526"/>
      <c r="J154" s="525"/>
      <c r="K154" s="526"/>
      <c r="L154" s="525"/>
    </row>
    <row r="155" spans="1:12" s="530" customFormat="1" x14ac:dyDescent="0.2">
      <c r="B155" s="525"/>
      <c r="C155" s="526"/>
      <c r="D155" s="525"/>
      <c r="E155" s="526"/>
      <c r="F155" s="525"/>
      <c r="G155" s="526"/>
      <c r="H155" s="525"/>
      <c r="I155" s="526"/>
      <c r="J155" s="525"/>
      <c r="K155" s="526"/>
      <c r="L155" s="525"/>
    </row>
    <row r="156" spans="1:12" s="530" customFormat="1" x14ac:dyDescent="0.2">
      <c r="B156" s="525"/>
      <c r="C156" s="526"/>
      <c r="D156" s="525"/>
      <c r="E156" s="526"/>
      <c r="F156" s="525"/>
      <c r="G156" s="526"/>
      <c r="H156" s="525"/>
      <c r="I156" s="526"/>
      <c r="J156" s="525"/>
      <c r="K156" s="526"/>
      <c r="L156" s="525"/>
    </row>
    <row r="157" spans="1:12" s="530" customFormat="1" x14ac:dyDescent="0.2">
      <c r="B157" s="525"/>
      <c r="C157" s="526"/>
      <c r="D157" s="525"/>
      <c r="E157" s="526"/>
      <c r="F157" s="525"/>
      <c r="G157" s="526"/>
      <c r="H157" s="525"/>
      <c r="I157" s="526"/>
      <c r="J157" s="525"/>
      <c r="K157" s="526"/>
      <c r="L157" s="525"/>
    </row>
    <row r="158" spans="1:12" s="530" customFormat="1" x14ac:dyDescent="0.2">
      <c r="B158" s="525"/>
      <c r="C158" s="526"/>
      <c r="D158" s="525"/>
      <c r="E158" s="526"/>
      <c r="F158" s="525"/>
      <c r="G158" s="526"/>
      <c r="H158" s="525"/>
      <c r="I158" s="526"/>
      <c r="J158" s="525"/>
      <c r="K158" s="526"/>
      <c r="L158" s="525"/>
    </row>
    <row r="159" spans="1:12" s="530" customFormat="1" x14ac:dyDescent="0.2">
      <c r="A159" s="529"/>
      <c r="B159" s="525"/>
      <c r="C159" s="526"/>
      <c r="D159" s="525"/>
      <c r="E159" s="526"/>
      <c r="F159" s="525"/>
      <c r="G159" s="526"/>
      <c r="H159" s="525"/>
      <c r="I159" s="526"/>
      <c r="J159" s="525"/>
      <c r="K159" s="526"/>
      <c r="L159" s="525"/>
    </row>
    <row r="160" spans="1:12" s="530" customFormat="1" x14ac:dyDescent="0.2">
      <c r="B160" s="525"/>
      <c r="C160" s="526"/>
      <c r="D160" s="525"/>
      <c r="E160" s="526"/>
      <c r="F160" s="525"/>
      <c r="G160" s="526"/>
      <c r="H160" s="525"/>
      <c r="I160" s="526"/>
      <c r="J160" s="525"/>
      <c r="K160" s="526"/>
      <c r="L160" s="525"/>
    </row>
    <row r="161" spans="1:13" s="530" customFormat="1" x14ac:dyDescent="0.2">
      <c r="B161" s="525"/>
      <c r="C161" s="526"/>
      <c r="D161" s="525"/>
      <c r="E161" s="526"/>
      <c r="F161" s="525"/>
      <c r="G161" s="526"/>
      <c r="H161" s="525"/>
      <c r="I161" s="526"/>
      <c r="J161" s="525"/>
      <c r="K161" s="526"/>
      <c r="L161" s="525"/>
    </row>
    <row r="162" spans="1:13" s="530" customFormat="1" x14ac:dyDescent="0.2">
      <c r="B162" s="525"/>
      <c r="C162" s="526"/>
      <c r="D162" s="525"/>
      <c r="E162" s="526"/>
      <c r="F162" s="525"/>
      <c r="G162" s="526"/>
      <c r="H162" s="525"/>
      <c r="I162" s="526"/>
      <c r="J162" s="525"/>
      <c r="K162" s="526"/>
      <c r="L162" s="525"/>
    </row>
    <row r="163" spans="1:13" s="530" customFormat="1" x14ac:dyDescent="0.2">
      <c r="B163" s="525"/>
      <c r="C163" s="526"/>
      <c r="D163" s="525"/>
      <c r="E163" s="526"/>
      <c r="F163" s="525"/>
      <c r="G163" s="526"/>
      <c r="H163" s="525"/>
      <c r="I163" s="526"/>
      <c r="J163" s="525"/>
      <c r="K163" s="526"/>
      <c r="L163" s="525"/>
    </row>
    <row r="164" spans="1:13" s="530" customFormat="1" x14ac:dyDescent="0.2">
      <c r="B164" s="525"/>
      <c r="C164" s="526"/>
      <c r="D164" s="525"/>
      <c r="E164" s="526"/>
      <c r="F164" s="525"/>
      <c r="G164" s="526"/>
      <c r="H164" s="525"/>
      <c r="I164" s="526"/>
      <c r="J164" s="525"/>
      <c r="K164" s="526"/>
      <c r="L164" s="525"/>
    </row>
    <row r="165" spans="1:13" s="530" customFormat="1" x14ac:dyDescent="0.2">
      <c r="B165" s="525"/>
      <c r="C165" s="526"/>
      <c r="D165" s="525"/>
      <c r="E165" s="526"/>
      <c r="F165" s="525"/>
      <c r="G165" s="526"/>
      <c r="H165" s="525"/>
      <c r="I165" s="526"/>
      <c r="J165" s="525"/>
      <c r="K165" s="526"/>
      <c r="L165" s="525"/>
    </row>
    <row r="166" spans="1:13" s="530" customFormat="1" x14ac:dyDescent="0.2">
      <c r="B166" s="525"/>
      <c r="C166" s="526"/>
      <c r="D166" s="525"/>
      <c r="E166" s="526"/>
      <c r="F166" s="525"/>
      <c r="G166" s="526"/>
      <c r="H166" s="525"/>
      <c r="I166" s="526"/>
      <c r="J166" s="525"/>
      <c r="K166" s="526"/>
      <c r="L166" s="525"/>
    </row>
    <row r="167" spans="1:13" s="530" customFormat="1" x14ac:dyDescent="0.2">
      <c r="A167" s="529"/>
      <c r="B167" s="525"/>
      <c r="C167" s="526"/>
      <c r="D167" s="525"/>
      <c r="E167" s="526"/>
      <c r="F167" s="525"/>
      <c r="G167" s="526"/>
      <c r="H167" s="525"/>
      <c r="I167" s="526"/>
      <c r="J167" s="525"/>
      <c r="K167" s="526"/>
      <c r="L167" s="525"/>
    </row>
    <row r="168" spans="1:13" s="530" customFormat="1" x14ac:dyDescent="0.2">
      <c r="B168" s="525"/>
      <c r="C168" s="526"/>
      <c r="D168" s="525"/>
      <c r="E168" s="526"/>
      <c r="F168" s="525"/>
      <c r="G168" s="526"/>
      <c r="H168" s="525"/>
      <c r="I168" s="526"/>
      <c r="J168" s="525"/>
      <c r="K168" s="526"/>
      <c r="L168" s="525"/>
    </row>
    <row r="169" spans="1:13" s="530" customFormat="1" x14ac:dyDescent="0.2">
      <c r="B169" s="525"/>
      <c r="C169" s="526"/>
      <c r="D169" s="525"/>
      <c r="E169" s="526"/>
      <c r="F169" s="525"/>
      <c r="G169" s="526"/>
      <c r="H169" s="525"/>
      <c r="I169" s="526"/>
      <c r="J169" s="525"/>
      <c r="K169" s="526"/>
      <c r="L169" s="525"/>
    </row>
    <row r="170" spans="1:13" s="530" customFormat="1" x14ac:dyDescent="0.2">
      <c r="B170" s="525"/>
      <c r="C170" s="526"/>
      <c r="D170" s="525"/>
      <c r="E170" s="526"/>
      <c r="F170" s="525"/>
      <c r="G170" s="526"/>
      <c r="H170" s="525"/>
      <c r="I170" s="526"/>
      <c r="J170" s="525"/>
      <c r="K170" s="526"/>
      <c r="L170" s="525"/>
      <c r="M170" s="413"/>
    </row>
    <row r="171" spans="1:13" s="530" customFormat="1" x14ac:dyDescent="0.2">
      <c r="B171" s="525"/>
      <c r="C171" s="526"/>
      <c r="D171" s="525"/>
      <c r="E171" s="526"/>
      <c r="F171" s="525"/>
      <c r="G171" s="526"/>
      <c r="H171" s="525"/>
      <c r="I171" s="526"/>
      <c r="J171" s="525"/>
      <c r="K171" s="526"/>
      <c r="L171" s="525"/>
      <c r="M171" s="413"/>
    </row>
    <row r="172" spans="1:13" s="530" customFormat="1" x14ac:dyDescent="0.2">
      <c r="B172" s="525"/>
      <c r="C172" s="526"/>
      <c r="D172" s="525"/>
      <c r="E172" s="526"/>
      <c r="F172" s="525"/>
      <c r="G172" s="526"/>
      <c r="H172" s="525"/>
      <c r="I172" s="526"/>
      <c r="J172" s="525"/>
      <c r="K172" s="526"/>
      <c r="L172" s="525"/>
      <c r="M172" s="413"/>
    </row>
    <row r="173" spans="1:13" s="530" customFormat="1" x14ac:dyDescent="0.2">
      <c r="B173" s="525"/>
      <c r="C173" s="526"/>
      <c r="D173" s="525"/>
      <c r="E173" s="526"/>
      <c r="F173" s="525"/>
      <c r="G173" s="526"/>
      <c r="H173" s="525"/>
      <c r="I173" s="526"/>
      <c r="J173" s="525"/>
      <c r="K173" s="526"/>
      <c r="L173" s="525"/>
      <c r="M173" s="413"/>
    </row>
    <row r="174" spans="1:13" s="530" customFormat="1" x14ac:dyDescent="0.2">
      <c r="B174" s="525"/>
      <c r="C174" s="526"/>
      <c r="D174" s="525"/>
      <c r="E174" s="526"/>
      <c r="F174" s="525"/>
      <c r="G174" s="526"/>
      <c r="H174" s="525"/>
      <c r="I174" s="526"/>
      <c r="J174" s="525"/>
      <c r="K174" s="526"/>
      <c r="L174" s="525"/>
    </row>
    <row r="175" spans="1:13" s="530" customFormat="1" x14ac:dyDescent="0.2">
      <c r="B175" s="525"/>
      <c r="C175" s="526"/>
      <c r="D175" s="525"/>
      <c r="E175" s="526"/>
      <c r="F175" s="525"/>
      <c r="G175" s="526"/>
      <c r="H175" s="525"/>
      <c r="I175" s="526"/>
      <c r="J175" s="525"/>
      <c r="K175" s="526"/>
      <c r="L175" s="525"/>
    </row>
    <row r="176" spans="1:13" s="530" customFormat="1" x14ac:dyDescent="0.2">
      <c r="B176" s="525"/>
      <c r="C176" s="526"/>
      <c r="D176" s="525"/>
      <c r="E176" s="526"/>
      <c r="F176" s="525"/>
      <c r="G176" s="526"/>
      <c r="H176" s="525"/>
      <c r="I176" s="526"/>
      <c r="J176" s="525"/>
      <c r="K176" s="526"/>
      <c r="L176" s="525"/>
    </row>
    <row r="177" spans="1:16" s="530" customFormat="1" x14ac:dyDescent="0.2">
      <c r="A177" s="529"/>
      <c r="B177" s="525"/>
      <c r="C177" s="526"/>
      <c r="D177" s="525"/>
      <c r="E177" s="526"/>
      <c r="F177" s="525"/>
      <c r="G177" s="526"/>
      <c r="H177" s="525"/>
      <c r="I177" s="526"/>
      <c r="J177" s="525"/>
      <c r="K177" s="526"/>
      <c r="L177" s="525"/>
    </row>
    <row r="178" spans="1:16" s="530" customFormat="1" x14ac:dyDescent="0.2">
      <c r="B178" s="525"/>
      <c r="C178" s="526"/>
      <c r="D178" s="525"/>
      <c r="E178" s="526"/>
      <c r="F178" s="525"/>
      <c r="G178" s="526"/>
      <c r="H178" s="525"/>
      <c r="I178" s="526"/>
      <c r="J178" s="525"/>
      <c r="K178" s="526"/>
      <c r="L178" s="525"/>
    </row>
    <row r="179" spans="1:16" s="530" customFormat="1" x14ac:dyDescent="0.2">
      <c r="B179" s="525"/>
      <c r="C179" s="526"/>
      <c r="D179" s="525"/>
      <c r="E179" s="526"/>
      <c r="F179" s="525"/>
      <c r="G179" s="526"/>
      <c r="H179" s="525"/>
      <c r="I179" s="526"/>
      <c r="J179" s="525"/>
      <c r="K179" s="526"/>
      <c r="L179" s="525"/>
    </row>
    <row r="180" spans="1:16" s="530" customFormat="1" x14ac:dyDescent="0.2">
      <c r="A180" s="529"/>
      <c r="B180" s="525"/>
      <c r="C180" s="526"/>
      <c r="D180" s="525"/>
      <c r="E180" s="526"/>
      <c r="F180" s="525"/>
      <c r="G180" s="526"/>
      <c r="H180" s="525"/>
      <c r="I180" s="526"/>
      <c r="J180" s="525"/>
      <c r="K180" s="526"/>
      <c r="L180" s="525"/>
    </row>
    <row r="181" spans="1:16" x14ac:dyDescent="0.2">
      <c r="C181" s="528"/>
      <c r="E181" s="528"/>
      <c r="G181" s="528"/>
      <c r="I181" s="528"/>
      <c r="K181" s="528"/>
    </row>
    <row r="182" spans="1:16" x14ac:dyDescent="0.2">
      <c r="C182" s="528"/>
      <c r="E182" s="528"/>
      <c r="G182" s="528"/>
      <c r="I182" s="528"/>
      <c r="K182" s="528"/>
    </row>
    <row r="183" spans="1:16" x14ac:dyDescent="0.2">
      <c r="A183" s="493" t="s">
        <v>785</v>
      </c>
      <c r="B183" s="493"/>
      <c r="C183" s="493"/>
      <c r="D183" s="493"/>
      <c r="E183" s="493"/>
      <c r="F183" s="493"/>
      <c r="G183" s="493"/>
      <c r="H183" s="493"/>
      <c r="I183" s="493"/>
      <c r="J183" s="493"/>
      <c r="K183" s="493"/>
      <c r="L183" s="493"/>
      <c r="M183" s="493"/>
      <c r="N183" s="493"/>
      <c r="O183" s="493"/>
      <c r="P183" s="493"/>
    </row>
    <row r="184" spans="1:16" x14ac:dyDescent="0.2">
      <c r="A184" s="493" t="s">
        <v>1501</v>
      </c>
      <c r="B184" s="493"/>
      <c r="C184" s="493"/>
      <c r="D184" s="493"/>
      <c r="E184" s="493"/>
      <c r="F184" s="493"/>
      <c r="G184" s="493"/>
      <c r="H184" s="493"/>
      <c r="I184" s="493"/>
      <c r="J184" s="493"/>
      <c r="K184" s="493"/>
      <c r="L184" s="493"/>
      <c r="M184" s="493"/>
      <c r="N184" s="493"/>
      <c r="O184" s="493"/>
      <c r="P184" s="493"/>
    </row>
    <row r="185" spans="1:16" x14ac:dyDescent="0.2">
      <c r="A185" s="496" t="s">
        <v>1513</v>
      </c>
      <c r="B185" s="497"/>
      <c r="C185" s="497"/>
      <c r="D185" s="497"/>
      <c r="E185" s="497"/>
      <c r="F185" s="497"/>
      <c r="G185" s="497"/>
      <c r="H185" s="497"/>
      <c r="I185" s="497"/>
      <c r="J185" s="497"/>
      <c r="K185" s="497"/>
      <c r="L185" s="497"/>
      <c r="M185" s="497"/>
      <c r="N185" s="497"/>
      <c r="O185" s="497"/>
      <c r="P185" s="497"/>
    </row>
    <row r="186" spans="1:16" x14ac:dyDescent="0.2">
      <c r="A186" s="523"/>
      <c r="B186" s="523"/>
      <c r="C186" s="523"/>
      <c r="D186" s="523"/>
      <c r="E186" s="523"/>
      <c r="F186" s="523"/>
      <c r="G186" s="523"/>
      <c r="H186" s="523"/>
      <c r="I186" s="523"/>
      <c r="J186" s="523"/>
      <c r="K186" s="523"/>
      <c r="L186" s="523"/>
      <c r="M186" s="401"/>
      <c r="N186" s="401"/>
      <c r="O186" s="401"/>
      <c r="P186" s="401"/>
    </row>
    <row r="187" spans="1:16" x14ac:dyDescent="0.2">
      <c r="A187" s="523"/>
      <c r="B187" s="523"/>
      <c r="C187" s="523"/>
      <c r="D187" s="523"/>
      <c r="E187" s="523"/>
      <c r="F187" s="523"/>
      <c r="G187" s="523"/>
      <c r="H187" s="523"/>
      <c r="I187" s="523"/>
      <c r="J187" s="523"/>
      <c r="K187" s="523"/>
      <c r="L187" s="523"/>
      <c r="M187" s="401"/>
      <c r="N187" s="401"/>
      <c r="O187" s="401"/>
      <c r="P187" s="401"/>
    </row>
    <row r="188" spans="1:16" x14ac:dyDescent="0.2">
      <c r="A188" s="401"/>
      <c r="B188" s="402" t="s">
        <v>786</v>
      </c>
      <c r="C188" s="401"/>
      <c r="D188" s="406"/>
      <c r="E188" s="401"/>
      <c r="F188" s="406"/>
      <c r="G188" s="401"/>
      <c r="H188" s="402" t="s">
        <v>787</v>
      </c>
      <c r="I188" s="401"/>
      <c r="J188" s="406"/>
      <c r="K188" s="401"/>
      <c r="L188" s="402" t="s">
        <v>788</v>
      </c>
      <c r="M188" s="401"/>
      <c r="N188" s="401"/>
      <c r="O188" s="401"/>
      <c r="P188" s="400" t="s">
        <v>1495</v>
      </c>
    </row>
    <row r="189" spans="1:16" x14ac:dyDescent="0.2">
      <c r="A189" s="401"/>
      <c r="B189" s="403" t="s">
        <v>789</v>
      </c>
      <c r="C189" s="401"/>
      <c r="D189" s="403" t="s">
        <v>790</v>
      </c>
      <c r="E189" s="401"/>
      <c r="F189" s="403" t="s">
        <v>791</v>
      </c>
      <c r="G189" s="401"/>
      <c r="H189" s="403" t="s">
        <v>792</v>
      </c>
      <c r="I189" s="401"/>
      <c r="J189" s="403" t="s">
        <v>793</v>
      </c>
      <c r="K189" s="401"/>
      <c r="L189" s="403" t="s">
        <v>789</v>
      </c>
      <c r="M189" s="401"/>
      <c r="N189" s="403" t="s">
        <v>1496</v>
      </c>
      <c r="O189" s="401"/>
      <c r="P189" s="403" t="s">
        <v>1497</v>
      </c>
    </row>
    <row r="190" spans="1:16" x14ac:dyDescent="0.2">
      <c r="A190" s="400" t="s">
        <v>1491</v>
      </c>
      <c r="B190" s="404"/>
      <c r="C190" s="401"/>
      <c r="D190" s="404"/>
      <c r="E190" s="401"/>
      <c r="F190" s="404"/>
      <c r="G190" s="401"/>
      <c r="H190" s="404"/>
      <c r="I190" s="401"/>
      <c r="J190" s="404"/>
      <c r="K190" s="401"/>
      <c r="L190" s="404"/>
      <c r="M190" s="401"/>
      <c r="N190" s="401"/>
      <c r="O190" s="401"/>
      <c r="P190" s="401"/>
    </row>
    <row r="191" spans="1:16" x14ac:dyDescent="0.2">
      <c r="A191" s="400" t="s">
        <v>1492</v>
      </c>
      <c r="B191" s="406"/>
      <c r="C191" s="401"/>
      <c r="D191" s="406"/>
      <c r="E191" s="401"/>
      <c r="F191" s="406"/>
      <c r="G191" s="401"/>
      <c r="H191" s="406"/>
      <c r="I191" s="401"/>
      <c r="J191" s="406"/>
      <c r="K191" s="401"/>
      <c r="L191" s="406"/>
      <c r="M191" s="401"/>
      <c r="N191" s="401"/>
      <c r="O191" s="401"/>
      <c r="P191" s="401"/>
    </row>
    <row r="192" spans="1:16" x14ac:dyDescent="0.2">
      <c r="A192" s="400" t="s">
        <v>794</v>
      </c>
      <c r="B192" s="406"/>
      <c r="C192" s="531"/>
      <c r="D192" s="406"/>
      <c r="E192" s="531"/>
      <c r="F192" s="406"/>
      <c r="G192" s="531"/>
      <c r="H192" s="406"/>
      <c r="I192" s="531"/>
      <c r="J192" s="406"/>
      <c r="K192" s="531"/>
      <c r="L192" s="406"/>
      <c r="M192" s="531"/>
      <c r="N192" s="401"/>
      <c r="O192" s="401"/>
      <c r="P192" s="401"/>
    </row>
    <row r="193" spans="1:16" x14ac:dyDescent="0.2">
      <c r="A193" s="401" t="s">
        <v>795</v>
      </c>
      <c r="B193" s="406">
        <v>91001.83</v>
      </c>
      <c r="C193" s="531"/>
      <c r="D193" s="406">
        <v>0</v>
      </c>
      <c r="E193" s="531"/>
      <c r="F193" s="406">
        <v>0</v>
      </c>
      <c r="G193" s="531"/>
      <c r="H193" s="406">
        <v>0</v>
      </c>
      <c r="I193" s="531"/>
      <c r="J193" s="406">
        <v>0</v>
      </c>
      <c r="K193" s="531"/>
      <c r="L193" s="406">
        <v>91001.83</v>
      </c>
      <c r="M193" s="531"/>
      <c r="N193" s="409">
        <v>-65979.41</v>
      </c>
      <c r="O193" s="401"/>
      <c r="P193" s="409">
        <v>25022.42</v>
      </c>
    </row>
    <row r="194" spans="1:16" x14ac:dyDescent="0.2">
      <c r="A194" s="401" t="s">
        <v>796</v>
      </c>
      <c r="B194" s="406">
        <v>102248.61</v>
      </c>
      <c r="C194" s="531"/>
      <c r="D194" s="406">
        <v>0</v>
      </c>
      <c r="E194" s="531"/>
      <c r="F194" s="406">
        <v>0</v>
      </c>
      <c r="G194" s="531"/>
      <c r="H194" s="406">
        <v>0</v>
      </c>
      <c r="I194" s="531"/>
      <c r="J194" s="406">
        <v>0</v>
      </c>
      <c r="K194" s="531"/>
      <c r="L194" s="406">
        <v>102248.61</v>
      </c>
      <c r="M194" s="531"/>
      <c r="N194" s="409">
        <v>0</v>
      </c>
      <c r="O194" s="401"/>
      <c r="P194" s="409">
        <v>102248.61</v>
      </c>
    </row>
    <row r="195" spans="1:16" x14ac:dyDescent="0.2">
      <c r="A195" s="401" t="s">
        <v>797</v>
      </c>
      <c r="B195" s="406">
        <v>448173.6</v>
      </c>
      <c r="C195" s="531"/>
      <c r="D195" s="406">
        <v>0</v>
      </c>
      <c r="E195" s="531"/>
      <c r="F195" s="406">
        <v>0</v>
      </c>
      <c r="G195" s="531"/>
      <c r="H195" s="406">
        <v>0</v>
      </c>
      <c r="I195" s="531"/>
      <c r="J195" s="406">
        <v>0</v>
      </c>
      <c r="K195" s="531"/>
      <c r="L195" s="406">
        <v>448173.6</v>
      </c>
      <c r="M195" s="531"/>
      <c r="N195" s="409">
        <v>-97701.96</v>
      </c>
      <c r="O195" s="401"/>
      <c r="P195" s="409">
        <v>350471.63999999996</v>
      </c>
    </row>
    <row r="196" spans="1:16" x14ac:dyDescent="0.2">
      <c r="A196" s="401" t="s">
        <v>798</v>
      </c>
      <c r="B196" s="406">
        <v>7633021.1499999994</v>
      </c>
      <c r="C196" s="531"/>
      <c r="D196" s="406">
        <v>65052.99</v>
      </c>
      <c r="E196" s="531"/>
      <c r="F196" s="406">
        <v>-1145.8699999999999</v>
      </c>
      <c r="G196" s="531"/>
      <c r="H196" s="406">
        <v>0</v>
      </c>
      <c r="I196" s="531"/>
      <c r="J196" s="406">
        <v>63907.119999999995</v>
      </c>
      <c r="K196" s="531"/>
      <c r="L196" s="406">
        <v>7696928.2699999996</v>
      </c>
      <c r="M196" s="531"/>
      <c r="N196" s="409">
        <v>-2567142.34</v>
      </c>
      <c r="O196" s="401"/>
      <c r="P196" s="409">
        <v>5129785.93</v>
      </c>
    </row>
    <row r="197" spans="1:16" x14ac:dyDescent="0.2">
      <c r="A197" s="401" t="s">
        <v>799</v>
      </c>
      <c r="B197" s="406">
        <v>22357598.059999999</v>
      </c>
      <c r="C197" s="531"/>
      <c r="D197" s="406">
        <v>1078194.49</v>
      </c>
      <c r="E197" s="531"/>
      <c r="F197" s="406">
        <v>-63893.65</v>
      </c>
      <c r="G197" s="531"/>
      <c r="H197" s="406">
        <v>0</v>
      </c>
      <c r="I197" s="531"/>
      <c r="J197" s="406">
        <v>1014300.84</v>
      </c>
      <c r="K197" s="531"/>
      <c r="L197" s="406">
        <v>23371898.899999999</v>
      </c>
      <c r="M197" s="531"/>
      <c r="N197" s="409">
        <v>-10086469.199999999</v>
      </c>
      <c r="O197" s="401"/>
      <c r="P197" s="409">
        <v>13285429.699999999</v>
      </c>
    </row>
    <row r="198" spans="1:16" x14ac:dyDescent="0.2">
      <c r="A198" s="401" t="s">
        <v>800</v>
      </c>
      <c r="B198" s="406">
        <v>19534429.530000001</v>
      </c>
      <c r="C198" s="531"/>
      <c r="D198" s="406">
        <v>663208.87</v>
      </c>
      <c r="E198" s="531"/>
      <c r="F198" s="406">
        <v>-75655.56</v>
      </c>
      <c r="G198" s="531"/>
      <c r="H198" s="406">
        <v>0</v>
      </c>
      <c r="I198" s="531"/>
      <c r="J198" s="406">
        <v>587553.31000000006</v>
      </c>
      <c r="K198" s="531"/>
      <c r="L198" s="406">
        <v>20121982.84</v>
      </c>
      <c r="M198" s="531"/>
      <c r="N198" s="409">
        <v>-8598144.5099999998</v>
      </c>
      <c r="O198" s="401"/>
      <c r="P198" s="409">
        <v>11523838.33</v>
      </c>
    </row>
    <row r="199" spans="1:16" x14ac:dyDescent="0.2">
      <c r="A199" s="401" t="s">
        <v>801</v>
      </c>
      <c r="B199" s="406">
        <v>0</v>
      </c>
      <c r="C199" s="531"/>
      <c r="D199" s="406">
        <v>0</v>
      </c>
      <c r="E199" s="531"/>
      <c r="F199" s="406">
        <v>0</v>
      </c>
      <c r="G199" s="531"/>
      <c r="H199" s="406">
        <v>0</v>
      </c>
      <c r="I199" s="531"/>
      <c r="J199" s="406">
        <v>0</v>
      </c>
      <c r="K199" s="531"/>
      <c r="L199" s="406">
        <v>0</v>
      </c>
      <c r="M199" s="531"/>
      <c r="N199" s="409">
        <v>0</v>
      </c>
      <c r="O199" s="401"/>
      <c r="P199" s="409">
        <v>0</v>
      </c>
    </row>
    <row r="200" spans="1:16" x14ac:dyDescent="0.2">
      <c r="A200" s="401" t="s">
        <v>802</v>
      </c>
      <c r="B200" s="406">
        <v>2724267.95</v>
      </c>
      <c r="C200" s="531"/>
      <c r="D200" s="406">
        <v>40052.53</v>
      </c>
      <c r="E200" s="531"/>
      <c r="F200" s="406">
        <v>-356.63</v>
      </c>
      <c r="G200" s="531"/>
      <c r="H200" s="406">
        <v>0</v>
      </c>
      <c r="I200" s="531"/>
      <c r="J200" s="406">
        <v>39695.9</v>
      </c>
      <c r="K200" s="531"/>
      <c r="L200" s="406">
        <v>2763963.85</v>
      </c>
      <c r="M200" s="531"/>
      <c r="N200" s="409">
        <v>-278193.71999999997</v>
      </c>
      <c r="O200" s="401"/>
      <c r="P200" s="409">
        <v>2485770.13</v>
      </c>
    </row>
    <row r="201" spans="1:16" x14ac:dyDescent="0.2">
      <c r="A201" s="401" t="s">
        <v>803</v>
      </c>
      <c r="B201" s="406">
        <v>14022746.779999999</v>
      </c>
      <c r="C201" s="531"/>
      <c r="D201" s="406">
        <v>709.28</v>
      </c>
      <c r="E201" s="531"/>
      <c r="F201" s="406">
        <v>0</v>
      </c>
      <c r="G201" s="531"/>
      <c r="H201" s="406">
        <v>0</v>
      </c>
      <c r="I201" s="531"/>
      <c r="J201" s="406">
        <v>709.28</v>
      </c>
      <c r="K201" s="531"/>
      <c r="L201" s="406">
        <v>14023456.059999999</v>
      </c>
      <c r="M201" s="531"/>
      <c r="N201" s="409">
        <v>-7717115.9800000004</v>
      </c>
      <c r="O201" s="401"/>
      <c r="P201" s="409">
        <v>6306340.0799999982</v>
      </c>
    </row>
    <row r="202" spans="1:16" x14ac:dyDescent="0.2">
      <c r="A202" s="401" t="s">
        <v>804</v>
      </c>
      <c r="B202" s="406">
        <v>5185262.08</v>
      </c>
      <c r="C202" s="531"/>
      <c r="D202" s="406">
        <v>-9325.6500000000015</v>
      </c>
      <c r="E202" s="531"/>
      <c r="F202" s="406">
        <v>-490.7</v>
      </c>
      <c r="G202" s="531"/>
      <c r="H202" s="406">
        <v>0</v>
      </c>
      <c r="I202" s="531"/>
      <c r="J202" s="406">
        <v>-9816.3500000000022</v>
      </c>
      <c r="K202" s="531"/>
      <c r="L202" s="406">
        <v>5175445.7300000004</v>
      </c>
      <c r="M202" s="531"/>
      <c r="N202" s="409">
        <v>-4077239.44</v>
      </c>
      <c r="O202" s="401"/>
      <c r="P202" s="409">
        <v>1098206.2900000005</v>
      </c>
    </row>
    <row r="203" spans="1:16" x14ac:dyDescent="0.2">
      <c r="A203" s="401" t="s">
        <v>805</v>
      </c>
      <c r="B203" s="406">
        <v>3637511.5</v>
      </c>
      <c r="C203" s="531"/>
      <c r="D203" s="406">
        <v>0</v>
      </c>
      <c r="E203" s="531"/>
      <c r="F203" s="406">
        <v>0</v>
      </c>
      <c r="G203" s="531"/>
      <c r="H203" s="406">
        <v>0</v>
      </c>
      <c r="I203" s="531"/>
      <c r="J203" s="406">
        <v>0</v>
      </c>
      <c r="K203" s="531"/>
      <c r="L203" s="406">
        <v>3637511.5</v>
      </c>
      <c r="M203" s="531"/>
      <c r="N203" s="409">
        <v>-2449403.59</v>
      </c>
      <c r="O203" s="401"/>
      <c r="P203" s="409">
        <v>1188107.9100000001</v>
      </c>
    </row>
    <row r="204" spans="1:16" x14ac:dyDescent="0.2">
      <c r="A204" s="401" t="s">
        <v>806</v>
      </c>
      <c r="B204" s="406">
        <v>868638.16</v>
      </c>
      <c r="C204" s="532"/>
      <c r="D204" s="406">
        <v>0</v>
      </c>
      <c r="E204" s="532"/>
      <c r="F204" s="406">
        <v>-12297.5</v>
      </c>
      <c r="G204" s="532"/>
      <c r="H204" s="406">
        <v>0</v>
      </c>
      <c r="I204" s="532"/>
      <c r="J204" s="411">
        <v>-12297.5</v>
      </c>
      <c r="K204" s="532"/>
      <c r="L204" s="411">
        <v>856340.66</v>
      </c>
      <c r="M204" s="531"/>
      <c r="N204" s="409">
        <v>-939984.51</v>
      </c>
      <c r="O204" s="401"/>
      <c r="P204" s="409">
        <v>-83643.849999999977</v>
      </c>
    </row>
    <row r="205" spans="1:16" x14ac:dyDescent="0.2">
      <c r="A205" s="401" t="s">
        <v>807</v>
      </c>
      <c r="B205" s="415">
        <v>2080208.8800000001</v>
      </c>
      <c r="C205" s="532"/>
      <c r="D205" s="415">
        <v>-23670.839999999997</v>
      </c>
      <c r="E205" s="532"/>
      <c r="F205" s="415">
        <v>-17884.310000000001</v>
      </c>
      <c r="G205" s="532"/>
      <c r="H205" s="415">
        <v>0</v>
      </c>
      <c r="I205" s="532"/>
      <c r="J205" s="415">
        <v>-41555.149999999994</v>
      </c>
      <c r="K205" s="532"/>
      <c r="L205" s="415">
        <v>2038653.7300000002</v>
      </c>
      <c r="M205" s="531"/>
      <c r="N205" s="416">
        <v>-529113.86999999988</v>
      </c>
      <c r="O205" s="401"/>
      <c r="P205" s="416">
        <v>1509539.8600000003</v>
      </c>
    </row>
    <row r="206" spans="1:16" x14ac:dyDescent="0.2">
      <c r="A206" s="401"/>
      <c r="B206" s="411">
        <v>78685108.129999995</v>
      </c>
      <c r="C206" s="532"/>
      <c r="D206" s="411">
        <v>1814221.6700000002</v>
      </c>
      <c r="E206" s="532"/>
      <c r="F206" s="411">
        <v>-171724.22000000003</v>
      </c>
      <c r="G206" s="532"/>
      <c r="H206" s="411">
        <v>0</v>
      </c>
      <c r="I206" s="532"/>
      <c r="J206" s="411">
        <v>1642497.45</v>
      </c>
      <c r="K206" s="532"/>
      <c r="L206" s="411">
        <v>80327605.579999998</v>
      </c>
      <c r="M206" s="531"/>
      <c r="N206" s="411">
        <v>-37406488.530000001</v>
      </c>
      <c r="O206" s="401"/>
      <c r="P206" s="411">
        <v>42921117.04999999</v>
      </c>
    </row>
    <row r="207" spans="1:16" x14ac:dyDescent="0.2">
      <c r="A207" s="401"/>
      <c r="B207" s="411"/>
      <c r="C207" s="532"/>
      <c r="D207" s="411"/>
      <c r="E207" s="532"/>
      <c r="F207" s="411"/>
      <c r="G207" s="532"/>
      <c r="H207" s="411"/>
      <c r="I207" s="532"/>
      <c r="J207" s="411"/>
      <c r="K207" s="532"/>
      <c r="L207" s="411"/>
      <c r="M207" s="531"/>
      <c r="N207" s="401"/>
      <c r="O207" s="401"/>
      <c r="P207" s="401"/>
    </row>
    <row r="208" spans="1:16" x14ac:dyDescent="0.2">
      <c r="A208" s="400" t="s">
        <v>809</v>
      </c>
      <c r="B208" s="411"/>
      <c r="C208" s="532"/>
      <c r="D208" s="411"/>
      <c r="E208" s="532"/>
      <c r="F208" s="411"/>
      <c r="G208" s="532"/>
      <c r="H208" s="411"/>
      <c r="I208" s="532"/>
      <c r="J208" s="411"/>
      <c r="K208" s="532"/>
      <c r="L208" s="411"/>
      <c r="M208" s="531"/>
      <c r="N208" s="401"/>
      <c r="O208" s="401"/>
      <c r="P208" s="401"/>
    </row>
    <row r="209" spans="1:16" x14ac:dyDescent="0.2">
      <c r="A209" s="401" t="s">
        <v>810</v>
      </c>
      <c r="B209" s="411">
        <v>80601.7</v>
      </c>
      <c r="C209" s="532"/>
      <c r="D209" s="411">
        <v>0</v>
      </c>
      <c r="E209" s="532"/>
      <c r="F209" s="411">
        <v>0</v>
      </c>
      <c r="G209" s="532"/>
      <c r="H209" s="411">
        <v>0</v>
      </c>
      <c r="I209" s="532"/>
      <c r="J209" s="411">
        <v>0</v>
      </c>
      <c r="K209" s="532"/>
      <c r="L209" s="411">
        <v>80601.7</v>
      </c>
      <c r="M209" s="531"/>
      <c r="N209" s="409">
        <v>0</v>
      </c>
      <c r="O209" s="401"/>
      <c r="P209" s="409">
        <v>80601.7</v>
      </c>
    </row>
    <row r="210" spans="1:16" x14ac:dyDescent="0.2">
      <c r="A210" s="401" t="s">
        <v>811</v>
      </c>
      <c r="B210" s="411">
        <v>868090.79999999993</v>
      </c>
      <c r="C210" s="532"/>
      <c r="D210" s="411">
        <v>0</v>
      </c>
      <c r="E210" s="532"/>
      <c r="F210" s="411">
        <v>0</v>
      </c>
      <c r="G210" s="532"/>
      <c r="H210" s="411">
        <v>0</v>
      </c>
      <c r="I210" s="532"/>
      <c r="J210" s="411">
        <v>0</v>
      </c>
      <c r="K210" s="532"/>
      <c r="L210" s="411">
        <v>868090.79999999993</v>
      </c>
      <c r="M210" s="531"/>
      <c r="N210" s="409">
        <v>-227668.94</v>
      </c>
      <c r="O210" s="401"/>
      <c r="P210" s="409">
        <v>640421.85999999987</v>
      </c>
    </row>
    <row r="211" spans="1:16" x14ac:dyDescent="0.2">
      <c r="A211" s="401" t="s">
        <v>888</v>
      </c>
      <c r="B211" s="411">
        <v>40883.599999999999</v>
      </c>
      <c r="C211" s="532"/>
      <c r="D211" s="411">
        <v>0</v>
      </c>
      <c r="E211" s="532"/>
      <c r="F211" s="411">
        <v>0</v>
      </c>
      <c r="G211" s="532"/>
      <c r="H211" s="411">
        <v>0</v>
      </c>
      <c r="I211" s="532"/>
      <c r="J211" s="411">
        <v>0</v>
      </c>
      <c r="K211" s="532"/>
      <c r="L211" s="411">
        <v>40883.599999999999</v>
      </c>
      <c r="M211" s="531"/>
      <c r="N211" s="409">
        <v>-40890.81</v>
      </c>
      <c r="O211" s="401"/>
      <c r="P211" s="409">
        <v>-7.2099999999991269</v>
      </c>
    </row>
    <row r="212" spans="1:16" x14ac:dyDescent="0.2">
      <c r="A212" s="401" t="s">
        <v>813</v>
      </c>
      <c r="B212" s="411">
        <v>7397.76</v>
      </c>
      <c r="C212" s="532"/>
      <c r="D212" s="411">
        <v>0</v>
      </c>
      <c r="E212" s="532"/>
      <c r="F212" s="411">
        <v>0</v>
      </c>
      <c r="G212" s="532"/>
      <c r="H212" s="411">
        <v>0</v>
      </c>
      <c r="I212" s="532"/>
      <c r="J212" s="411">
        <v>0</v>
      </c>
      <c r="K212" s="532"/>
      <c r="L212" s="411">
        <v>7397.76</v>
      </c>
      <c r="M212" s="531"/>
      <c r="N212" s="409">
        <v>-7397.76</v>
      </c>
      <c r="O212" s="401"/>
      <c r="P212" s="409">
        <v>0</v>
      </c>
    </row>
    <row r="213" spans="1:16" x14ac:dyDescent="0.2">
      <c r="A213" s="401" t="s">
        <v>1499</v>
      </c>
      <c r="B213" s="411">
        <v>3040.05</v>
      </c>
      <c r="C213" s="532"/>
      <c r="D213" s="411">
        <v>0</v>
      </c>
      <c r="E213" s="532"/>
      <c r="F213" s="411">
        <v>0</v>
      </c>
      <c r="G213" s="532"/>
      <c r="H213" s="411">
        <v>0</v>
      </c>
      <c r="I213" s="532"/>
      <c r="J213" s="411">
        <v>0</v>
      </c>
      <c r="K213" s="532"/>
      <c r="L213" s="411">
        <v>3040.05</v>
      </c>
      <c r="M213" s="531"/>
      <c r="N213" s="409">
        <v>-614.07000000000005</v>
      </c>
      <c r="O213" s="401"/>
      <c r="P213" s="409">
        <v>2425.98</v>
      </c>
    </row>
    <row r="214" spans="1:16" x14ac:dyDescent="0.2">
      <c r="A214" s="401" t="s">
        <v>817</v>
      </c>
      <c r="B214" s="411">
        <v>763898.4</v>
      </c>
      <c r="C214" s="532"/>
      <c r="D214" s="411">
        <v>0</v>
      </c>
      <c r="E214" s="532"/>
      <c r="F214" s="411">
        <v>0</v>
      </c>
      <c r="G214" s="532"/>
      <c r="H214" s="411">
        <v>0</v>
      </c>
      <c r="I214" s="532"/>
      <c r="J214" s="411">
        <v>0</v>
      </c>
      <c r="K214" s="532"/>
      <c r="L214" s="411">
        <v>763898.4</v>
      </c>
      <c r="M214" s="531"/>
      <c r="N214" s="409">
        <v>-763898.4</v>
      </c>
      <c r="O214" s="401"/>
      <c r="P214" s="409">
        <v>0</v>
      </c>
    </row>
    <row r="215" spans="1:16" x14ac:dyDescent="0.2">
      <c r="A215" s="401" t="s">
        <v>818</v>
      </c>
      <c r="B215" s="411">
        <v>4526.22</v>
      </c>
      <c r="C215" s="532"/>
      <c r="D215" s="411">
        <v>0</v>
      </c>
      <c r="E215" s="532"/>
      <c r="F215" s="411">
        <v>0</v>
      </c>
      <c r="G215" s="532"/>
      <c r="H215" s="411">
        <v>0</v>
      </c>
      <c r="I215" s="532"/>
      <c r="J215" s="411">
        <v>0</v>
      </c>
      <c r="K215" s="532"/>
      <c r="L215" s="411">
        <v>4526.22</v>
      </c>
      <c r="M215" s="531"/>
      <c r="N215" s="409">
        <v>-2396.2899999999995</v>
      </c>
      <c r="O215" s="401"/>
      <c r="P215" s="409">
        <v>2129.9300000000007</v>
      </c>
    </row>
    <row r="216" spans="1:16" x14ac:dyDescent="0.2">
      <c r="A216" s="401" t="s">
        <v>819</v>
      </c>
      <c r="B216" s="411">
        <v>385789.06000000006</v>
      </c>
      <c r="C216" s="532"/>
      <c r="D216" s="411">
        <v>7561.5499999999993</v>
      </c>
      <c r="E216" s="532"/>
      <c r="F216" s="411">
        <v>0</v>
      </c>
      <c r="G216" s="532"/>
      <c r="H216" s="411">
        <v>0</v>
      </c>
      <c r="I216" s="532"/>
      <c r="J216" s="411">
        <v>7561.5499999999993</v>
      </c>
      <c r="K216" s="532"/>
      <c r="L216" s="411">
        <v>393350.61000000004</v>
      </c>
      <c r="M216" s="531"/>
      <c r="N216" s="409">
        <v>-101535.06999999998</v>
      </c>
      <c r="O216" s="401"/>
      <c r="P216" s="409">
        <v>291815.54000000004</v>
      </c>
    </row>
    <row r="217" spans="1:16" x14ac:dyDescent="0.2">
      <c r="A217" s="401" t="s">
        <v>820</v>
      </c>
      <c r="B217" s="411">
        <v>0</v>
      </c>
      <c r="C217" s="532"/>
      <c r="D217" s="411">
        <v>0</v>
      </c>
      <c r="E217" s="532"/>
      <c r="F217" s="411">
        <v>0</v>
      </c>
      <c r="G217" s="532"/>
      <c r="H217" s="411">
        <v>0</v>
      </c>
      <c r="I217" s="532"/>
      <c r="J217" s="411">
        <v>0</v>
      </c>
      <c r="K217" s="532"/>
      <c r="L217" s="411">
        <v>0</v>
      </c>
      <c r="M217" s="531"/>
      <c r="N217" s="409">
        <v>0</v>
      </c>
      <c r="O217" s="401"/>
      <c r="P217" s="409">
        <v>0</v>
      </c>
    </row>
    <row r="218" spans="1:16" x14ac:dyDescent="0.2">
      <c r="A218" s="401" t="s">
        <v>821</v>
      </c>
      <c r="B218" s="411">
        <v>98524.02</v>
      </c>
      <c r="C218" s="532"/>
      <c r="D218" s="411">
        <v>14767.5</v>
      </c>
      <c r="E218" s="532"/>
      <c r="F218" s="411">
        <v>0</v>
      </c>
      <c r="G218" s="532"/>
      <c r="H218" s="411">
        <v>0</v>
      </c>
      <c r="I218" s="532"/>
      <c r="J218" s="411">
        <v>14767.5</v>
      </c>
      <c r="K218" s="532"/>
      <c r="L218" s="411">
        <v>113291.52</v>
      </c>
      <c r="M218" s="531"/>
      <c r="N218" s="409">
        <v>-9518.5400000000009</v>
      </c>
      <c r="O218" s="401"/>
      <c r="P218" s="409">
        <v>103772.98000000001</v>
      </c>
    </row>
    <row r="219" spans="1:16" x14ac:dyDescent="0.2">
      <c r="A219" s="401" t="s">
        <v>822</v>
      </c>
      <c r="B219" s="411">
        <v>998676.44</v>
      </c>
      <c r="C219" s="532"/>
      <c r="D219" s="411">
        <v>0</v>
      </c>
      <c r="E219" s="532"/>
      <c r="F219" s="411">
        <v>0</v>
      </c>
      <c r="G219" s="532"/>
      <c r="H219" s="411">
        <v>0</v>
      </c>
      <c r="I219" s="532"/>
      <c r="J219" s="411">
        <v>0</v>
      </c>
      <c r="K219" s="532"/>
      <c r="L219" s="411">
        <v>998676.44</v>
      </c>
      <c r="M219" s="531"/>
      <c r="N219" s="409">
        <v>-459667.86000000004</v>
      </c>
      <c r="O219" s="401"/>
      <c r="P219" s="409">
        <v>539008.57999999984</v>
      </c>
    </row>
    <row r="220" spans="1:16" x14ac:dyDescent="0.2">
      <c r="A220" s="401" t="s">
        <v>823</v>
      </c>
      <c r="B220" s="415">
        <v>0</v>
      </c>
      <c r="C220" s="532"/>
      <c r="D220" s="415">
        <v>0</v>
      </c>
      <c r="E220" s="532"/>
      <c r="F220" s="415">
        <v>0</v>
      </c>
      <c r="G220" s="532"/>
      <c r="H220" s="415">
        <v>0</v>
      </c>
      <c r="I220" s="532"/>
      <c r="J220" s="415">
        <v>0</v>
      </c>
      <c r="K220" s="532"/>
      <c r="L220" s="415">
        <v>0</v>
      </c>
      <c r="M220" s="531"/>
      <c r="N220" s="416">
        <v>-2.4920152746910063E-12</v>
      </c>
      <c r="O220" s="401"/>
      <c r="P220" s="416">
        <v>-2.4920152746910063E-12</v>
      </c>
    </row>
    <row r="221" spans="1:16" x14ac:dyDescent="0.2">
      <c r="A221" s="401"/>
      <c r="B221" s="411">
        <v>3251428.05</v>
      </c>
      <c r="C221" s="532"/>
      <c r="D221" s="411">
        <v>22329.05</v>
      </c>
      <c r="E221" s="532"/>
      <c r="F221" s="411">
        <v>0</v>
      </c>
      <c r="G221" s="532"/>
      <c r="H221" s="411">
        <v>0</v>
      </c>
      <c r="I221" s="532"/>
      <c r="J221" s="411">
        <v>22329.05</v>
      </c>
      <c r="K221" s="532"/>
      <c r="L221" s="411">
        <v>3273757.1</v>
      </c>
      <c r="M221" s="531"/>
      <c r="N221" s="411">
        <v>-1613587.7400000002</v>
      </c>
      <c r="O221" s="401"/>
      <c r="P221" s="411">
        <v>1660169.3599999999</v>
      </c>
    </row>
    <row r="222" spans="1:16" x14ac:dyDescent="0.2">
      <c r="A222" s="401"/>
      <c r="B222" s="411"/>
      <c r="C222" s="532"/>
      <c r="D222" s="411"/>
      <c r="E222" s="532"/>
      <c r="F222" s="411"/>
      <c r="G222" s="532"/>
      <c r="H222" s="411"/>
      <c r="I222" s="532"/>
      <c r="J222" s="411"/>
      <c r="K222" s="532"/>
      <c r="L222" s="411"/>
      <c r="M222" s="531"/>
      <c r="N222" s="401"/>
      <c r="O222" s="401"/>
      <c r="P222" s="401"/>
    </row>
    <row r="223" spans="1:16" x14ac:dyDescent="0.2">
      <c r="A223" s="400" t="s">
        <v>833</v>
      </c>
      <c r="B223" s="411"/>
      <c r="C223" s="532"/>
      <c r="D223" s="411"/>
      <c r="E223" s="532"/>
      <c r="F223" s="411"/>
      <c r="G223" s="532"/>
      <c r="H223" s="411"/>
      <c r="I223" s="532"/>
      <c r="J223" s="411"/>
      <c r="K223" s="532"/>
      <c r="L223" s="411"/>
      <c r="M223" s="531"/>
      <c r="N223" s="401"/>
      <c r="O223" s="401"/>
      <c r="P223" s="401"/>
    </row>
    <row r="224" spans="1:16" x14ac:dyDescent="0.2">
      <c r="A224" s="401" t="s">
        <v>834</v>
      </c>
      <c r="B224" s="415">
        <v>5338.69</v>
      </c>
      <c r="C224" s="532"/>
      <c r="D224" s="415">
        <v>0</v>
      </c>
      <c r="E224" s="532"/>
      <c r="F224" s="415">
        <v>0</v>
      </c>
      <c r="G224" s="532"/>
      <c r="H224" s="415">
        <v>0</v>
      </c>
      <c r="I224" s="532"/>
      <c r="J224" s="415">
        <v>0</v>
      </c>
      <c r="K224" s="532"/>
      <c r="L224" s="415">
        <v>5338.69</v>
      </c>
      <c r="M224" s="531"/>
      <c r="N224" s="416">
        <v>0</v>
      </c>
      <c r="O224" s="401"/>
      <c r="P224" s="416">
        <v>5338.69</v>
      </c>
    </row>
    <row r="225" spans="1:16" x14ac:dyDescent="0.2">
      <c r="A225" s="401"/>
      <c r="B225" s="411">
        <v>5338.69</v>
      </c>
      <c r="C225" s="532"/>
      <c r="D225" s="411">
        <v>0</v>
      </c>
      <c r="E225" s="532"/>
      <c r="F225" s="411">
        <v>0</v>
      </c>
      <c r="G225" s="532"/>
      <c r="H225" s="411">
        <v>0</v>
      </c>
      <c r="I225" s="532"/>
      <c r="J225" s="411">
        <v>0</v>
      </c>
      <c r="K225" s="532"/>
      <c r="L225" s="411">
        <v>5338.69</v>
      </c>
      <c r="M225" s="531"/>
      <c r="N225" s="411">
        <v>0</v>
      </c>
      <c r="O225" s="401"/>
      <c r="P225" s="411">
        <v>5338.69</v>
      </c>
    </row>
    <row r="226" spans="1:16" x14ac:dyDescent="0.2">
      <c r="A226" s="401"/>
      <c r="B226" s="411"/>
      <c r="C226" s="532"/>
      <c r="D226" s="411"/>
      <c r="E226" s="532"/>
      <c r="F226" s="411"/>
      <c r="G226" s="532"/>
      <c r="H226" s="411"/>
      <c r="I226" s="532"/>
      <c r="J226" s="411"/>
      <c r="K226" s="532"/>
      <c r="L226" s="411"/>
      <c r="M226" s="531"/>
      <c r="N226" s="401"/>
      <c r="O226" s="401"/>
      <c r="P226" s="401"/>
    </row>
    <row r="227" spans="1:16" x14ac:dyDescent="0.2">
      <c r="A227" s="400" t="s">
        <v>859</v>
      </c>
      <c r="B227" s="411"/>
      <c r="C227" s="532"/>
      <c r="D227" s="411"/>
      <c r="E227" s="532"/>
      <c r="F227" s="411"/>
      <c r="G227" s="532"/>
      <c r="H227" s="411"/>
      <c r="I227" s="532"/>
      <c r="J227" s="411"/>
      <c r="K227" s="532"/>
      <c r="L227" s="411"/>
      <c r="M227" s="531"/>
      <c r="N227" s="401"/>
      <c r="O227" s="401"/>
      <c r="P227" s="401"/>
    </row>
    <row r="228" spans="1:16" x14ac:dyDescent="0.2">
      <c r="A228" s="401" t="s">
        <v>860</v>
      </c>
      <c r="B228" s="411">
        <v>2117788.8400000003</v>
      </c>
      <c r="C228" s="532"/>
      <c r="D228" s="411">
        <v>842.38</v>
      </c>
      <c r="E228" s="532"/>
      <c r="F228" s="411">
        <v>0</v>
      </c>
      <c r="G228" s="532"/>
      <c r="H228" s="411">
        <v>0</v>
      </c>
      <c r="I228" s="532"/>
      <c r="J228" s="411">
        <v>842.38</v>
      </c>
      <c r="K228" s="532"/>
      <c r="L228" s="411">
        <v>2118631.2200000002</v>
      </c>
      <c r="M228" s="531"/>
      <c r="N228" s="409">
        <v>-1839782.0899999999</v>
      </c>
      <c r="O228" s="401"/>
      <c r="P228" s="409">
        <v>278849.13000000035</v>
      </c>
    </row>
    <row r="229" spans="1:16" x14ac:dyDescent="0.2">
      <c r="A229" s="401" t="s">
        <v>861</v>
      </c>
      <c r="B229" s="411">
        <v>45700.5</v>
      </c>
      <c r="C229" s="532"/>
      <c r="D229" s="411">
        <v>0</v>
      </c>
      <c r="E229" s="532"/>
      <c r="F229" s="411">
        <v>0</v>
      </c>
      <c r="G229" s="532"/>
      <c r="H229" s="411">
        <v>0</v>
      </c>
      <c r="I229" s="532"/>
      <c r="J229" s="411">
        <v>0</v>
      </c>
      <c r="K229" s="532"/>
      <c r="L229" s="411">
        <v>45700.5</v>
      </c>
      <c r="M229" s="531"/>
      <c r="N229" s="409">
        <v>0</v>
      </c>
      <c r="O229" s="401"/>
      <c r="P229" s="409">
        <v>45700.5</v>
      </c>
    </row>
    <row r="230" spans="1:16" x14ac:dyDescent="0.2">
      <c r="A230" s="401" t="s">
        <v>862</v>
      </c>
      <c r="B230" s="411">
        <v>1447989.99</v>
      </c>
      <c r="C230" s="532"/>
      <c r="D230" s="411">
        <v>0</v>
      </c>
      <c r="E230" s="532"/>
      <c r="F230" s="411">
        <v>0</v>
      </c>
      <c r="G230" s="532"/>
      <c r="H230" s="411">
        <v>0</v>
      </c>
      <c r="I230" s="532"/>
      <c r="J230" s="411">
        <v>0</v>
      </c>
      <c r="K230" s="532"/>
      <c r="L230" s="411">
        <v>1447989.99</v>
      </c>
      <c r="M230" s="531"/>
      <c r="N230" s="409">
        <v>-696120.75000000012</v>
      </c>
      <c r="O230" s="401"/>
      <c r="P230" s="409">
        <v>751869.23999999987</v>
      </c>
    </row>
    <row r="231" spans="1:16" x14ac:dyDescent="0.2">
      <c r="A231" s="401" t="s">
        <v>864</v>
      </c>
      <c r="B231" s="411">
        <v>17500760.41</v>
      </c>
      <c r="C231" s="532"/>
      <c r="D231" s="411">
        <v>264118.86</v>
      </c>
      <c r="E231" s="532"/>
      <c r="F231" s="411">
        <v>-150490.28</v>
      </c>
      <c r="G231" s="532"/>
      <c r="H231" s="411">
        <v>0</v>
      </c>
      <c r="I231" s="532"/>
      <c r="J231" s="411">
        <v>113628.57999999999</v>
      </c>
      <c r="K231" s="532"/>
      <c r="L231" s="411">
        <v>17614388.989999998</v>
      </c>
      <c r="M231" s="531"/>
      <c r="N231" s="409">
        <v>-7028966.870000001</v>
      </c>
      <c r="O231" s="401"/>
      <c r="P231" s="409">
        <v>10585422.119999997</v>
      </c>
    </row>
    <row r="232" spans="1:16" x14ac:dyDescent="0.2">
      <c r="A232" s="401" t="s">
        <v>881</v>
      </c>
      <c r="B232" s="411">
        <v>7191287.0700000003</v>
      </c>
      <c r="C232" s="532"/>
      <c r="D232" s="411">
        <v>0</v>
      </c>
      <c r="E232" s="532"/>
      <c r="F232" s="411">
        <v>0</v>
      </c>
      <c r="G232" s="532"/>
      <c r="H232" s="411">
        <v>0</v>
      </c>
      <c r="I232" s="532"/>
      <c r="J232" s="411">
        <v>0</v>
      </c>
      <c r="K232" s="532"/>
      <c r="L232" s="411">
        <v>7191287.0700000003</v>
      </c>
      <c r="M232" s="531"/>
      <c r="N232" s="409">
        <v>-4520005.3599999994</v>
      </c>
      <c r="O232" s="401"/>
      <c r="P232" s="409">
        <v>2671281.7100000009</v>
      </c>
    </row>
    <row r="233" spans="1:16" x14ac:dyDescent="0.2">
      <c r="A233" s="401" t="s">
        <v>882</v>
      </c>
      <c r="B233" s="411">
        <v>8107735.0800000001</v>
      </c>
      <c r="C233" s="532"/>
      <c r="D233" s="411">
        <v>41116.53</v>
      </c>
      <c r="E233" s="532"/>
      <c r="F233" s="411">
        <v>-60867.5</v>
      </c>
      <c r="G233" s="532"/>
      <c r="H233" s="411">
        <v>0</v>
      </c>
      <c r="I233" s="532"/>
      <c r="J233" s="411">
        <v>-19750.97</v>
      </c>
      <c r="K233" s="532"/>
      <c r="L233" s="411">
        <v>8087984.1100000003</v>
      </c>
      <c r="M233" s="531"/>
      <c r="N233" s="409">
        <v>-4435309.7199999988</v>
      </c>
      <c r="O233" s="401"/>
      <c r="P233" s="409">
        <v>3652674.3900000015</v>
      </c>
    </row>
    <row r="234" spans="1:16" x14ac:dyDescent="0.2">
      <c r="A234" s="401" t="s">
        <v>883</v>
      </c>
      <c r="B234" s="411">
        <v>15421935.85</v>
      </c>
      <c r="C234" s="532"/>
      <c r="D234" s="411">
        <v>801979.13</v>
      </c>
      <c r="E234" s="532"/>
      <c r="F234" s="411">
        <v>-111.73</v>
      </c>
      <c r="G234" s="532"/>
      <c r="H234" s="411">
        <v>0</v>
      </c>
      <c r="I234" s="532"/>
      <c r="J234" s="411">
        <v>801867.4</v>
      </c>
      <c r="K234" s="532"/>
      <c r="L234" s="411">
        <v>16223803.25</v>
      </c>
      <c r="M234" s="531"/>
      <c r="N234" s="409">
        <v>-8938690.6399999987</v>
      </c>
      <c r="O234" s="401"/>
      <c r="P234" s="409">
        <v>7285112.6100000013</v>
      </c>
    </row>
    <row r="235" spans="1:16" x14ac:dyDescent="0.2">
      <c r="A235" s="401" t="s">
        <v>884</v>
      </c>
      <c r="B235" s="411">
        <v>0</v>
      </c>
      <c r="C235" s="532"/>
      <c r="D235" s="411">
        <v>0</v>
      </c>
      <c r="E235" s="532"/>
      <c r="F235" s="411">
        <v>0</v>
      </c>
      <c r="G235" s="532"/>
      <c r="H235" s="411">
        <v>0</v>
      </c>
      <c r="I235" s="532"/>
      <c r="J235" s="411">
        <v>0</v>
      </c>
      <c r="K235" s="532"/>
      <c r="L235" s="411">
        <v>0</v>
      </c>
      <c r="M235" s="531"/>
      <c r="N235" s="409">
        <v>0</v>
      </c>
      <c r="O235" s="401"/>
      <c r="P235" s="409">
        <v>0</v>
      </c>
    </row>
    <row r="236" spans="1:16" x14ac:dyDescent="0.2">
      <c r="A236" s="401" t="s">
        <v>1500</v>
      </c>
      <c r="B236" s="415">
        <v>0</v>
      </c>
      <c r="C236" s="532"/>
      <c r="D236" s="415">
        <v>0</v>
      </c>
      <c r="E236" s="532"/>
      <c r="F236" s="415">
        <v>0</v>
      </c>
      <c r="G236" s="532"/>
      <c r="H236" s="415">
        <v>0</v>
      </c>
      <c r="I236" s="532"/>
      <c r="J236" s="415">
        <v>0</v>
      </c>
      <c r="K236" s="532"/>
      <c r="L236" s="415">
        <v>0</v>
      </c>
      <c r="M236" s="531"/>
      <c r="N236" s="416">
        <v>0</v>
      </c>
      <c r="O236" s="401"/>
      <c r="P236" s="416">
        <v>0</v>
      </c>
    </row>
    <row r="237" spans="1:16" x14ac:dyDescent="0.2">
      <c r="A237" s="401"/>
      <c r="B237" s="411">
        <v>51833197.740000002</v>
      </c>
      <c r="C237" s="532"/>
      <c r="D237" s="411">
        <v>1108056.8999999999</v>
      </c>
      <c r="E237" s="532"/>
      <c r="F237" s="411">
        <v>-211469.51</v>
      </c>
      <c r="G237" s="532"/>
      <c r="H237" s="411">
        <v>0</v>
      </c>
      <c r="I237" s="532"/>
      <c r="J237" s="411">
        <v>896587.39</v>
      </c>
      <c r="K237" s="532"/>
      <c r="L237" s="411">
        <v>52729785.130000003</v>
      </c>
      <c r="M237" s="531"/>
      <c r="N237" s="411">
        <v>-27458875.43</v>
      </c>
      <c r="O237" s="401"/>
      <c r="P237" s="411">
        <v>25270909.700000003</v>
      </c>
    </row>
    <row r="238" spans="1:16" x14ac:dyDescent="0.2">
      <c r="A238" s="401"/>
      <c r="B238" s="411"/>
      <c r="C238" s="531"/>
      <c r="D238" s="411"/>
      <c r="E238" s="531"/>
      <c r="F238" s="411"/>
      <c r="G238" s="531"/>
      <c r="H238" s="411"/>
      <c r="I238" s="531"/>
      <c r="J238" s="411"/>
      <c r="K238" s="531"/>
      <c r="L238" s="411"/>
      <c r="M238" s="531"/>
      <c r="N238" s="401"/>
      <c r="O238" s="401"/>
      <c r="P238" s="401"/>
    </row>
    <row r="239" spans="1:16" x14ac:dyDescent="0.2">
      <c r="A239" s="401"/>
      <c r="B239" s="406"/>
      <c r="C239" s="531"/>
      <c r="D239" s="406"/>
      <c r="E239" s="531"/>
      <c r="F239" s="406"/>
      <c r="G239" s="531"/>
      <c r="H239" s="406"/>
      <c r="I239" s="531"/>
      <c r="J239" s="406"/>
      <c r="K239" s="531"/>
      <c r="L239" s="406"/>
      <c r="M239" s="531"/>
      <c r="N239" s="401"/>
      <c r="O239" s="401"/>
      <c r="P239" s="401"/>
    </row>
    <row r="240" spans="1:16" ht="13.5" thickBot="1" x14ac:dyDescent="0.25">
      <c r="A240" s="400" t="s">
        <v>889</v>
      </c>
      <c r="B240" s="417">
        <v>133775072.60999998</v>
      </c>
      <c r="C240" s="532"/>
      <c r="D240" s="417">
        <v>2944607.62</v>
      </c>
      <c r="E240" s="532"/>
      <c r="F240" s="417">
        <v>-383193.73000000004</v>
      </c>
      <c r="G240" s="532"/>
      <c r="H240" s="417">
        <v>0</v>
      </c>
      <c r="I240" s="532"/>
      <c r="J240" s="417">
        <v>2561413.89</v>
      </c>
      <c r="K240" s="532"/>
      <c r="L240" s="417">
        <v>136336486.5</v>
      </c>
      <c r="M240" s="532"/>
      <c r="N240" s="417">
        <v>-66478951.700000003</v>
      </c>
      <c r="O240" s="401"/>
      <c r="P240" s="417">
        <v>69857534.799999997</v>
      </c>
    </row>
    <row r="241" spans="1:12" ht="13.5" thickTop="1" x14ac:dyDescent="0.2">
      <c r="C241" s="533"/>
      <c r="E241" s="533"/>
      <c r="G241" s="533"/>
      <c r="I241" s="533"/>
      <c r="K241" s="533"/>
    </row>
    <row r="242" spans="1:12" x14ac:dyDescent="0.2">
      <c r="C242" s="533"/>
      <c r="E242" s="533"/>
      <c r="G242" s="533"/>
      <c r="I242" s="533"/>
      <c r="K242" s="533"/>
    </row>
    <row r="243" spans="1:12" s="530" customFormat="1" x14ac:dyDescent="0.2">
      <c r="A243" s="529"/>
      <c r="B243" s="525"/>
      <c r="C243" s="534"/>
      <c r="D243" s="525"/>
      <c r="E243" s="534"/>
      <c r="F243" s="525"/>
      <c r="G243" s="534"/>
      <c r="H243" s="525"/>
      <c r="I243" s="534"/>
      <c r="J243" s="525"/>
      <c r="K243" s="534"/>
      <c r="L243" s="525"/>
    </row>
    <row r="244" spans="1:12" s="530" customFormat="1" x14ac:dyDescent="0.2">
      <c r="A244" s="529"/>
      <c r="B244" s="525"/>
      <c r="C244" s="534"/>
      <c r="D244" s="525"/>
      <c r="E244" s="534"/>
      <c r="F244" s="525"/>
      <c r="G244" s="534"/>
      <c r="H244" s="525"/>
      <c r="I244" s="534"/>
      <c r="J244" s="525"/>
      <c r="K244" s="534"/>
      <c r="L244" s="525"/>
    </row>
    <row r="245" spans="1:12" s="530" customFormat="1" x14ac:dyDescent="0.2">
      <c r="B245" s="525"/>
      <c r="C245" s="534"/>
      <c r="D245" s="525"/>
      <c r="E245" s="534"/>
      <c r="F245" s="525"/>
      <c r="G245" s="534"/>
      <c r="H245" s="525"/>
      <c r="I245" s="534"/>
      <c r="J245" s="525"/>
      <c r="K245" s="534"/>
      <c r="L245" s="525"/>
    </row>
    <row r="246" spans="1:12" s="530" customFormat="1" x14ac:dyDescent="0.2">
      <c r="B246" s="525"/>
      <c r="C246" s="534"/>
      <c r="D246" s="525"/>
      <c r="E246" s="534"/>
      <c r="F246" s="525"/>
      <c r="G246" s="534"/>
      <c r="H246" s="525"/>
      <c r="I246" s="534"/>
      <c r="J246" s="525"/>
      <c r="K246" s="534"/>
      <c r="L246" s="525"/>
    </row>
    <row r="247" spans="1:12" s="530" customFormat="1" x14ac:dyDescent="0.2">
      <c r="B247" s="525"/>
      <c r="C247" s="534"/>
      <c r="D247" s="525"/>
      <c r="E247" s="534"/>
      <c r="F247" s="525"/>
      <c r="G247" s="534"/>
      <c r="H247" s="525"/>
      <c r="I247" s="534"/>
      <c r="J247" s="525"/>
      <c r="K247" s="534"/>
      <c r="L247" s="525"/>
    </row>
    <row r="248" spans="1:12" s="530" customFormat="1" x14ac:dyDescent="0.2">
      <c r="B248" s="525"/>
      <c r="C248" s="534"/>
      <c r="D248" s="525"/>
      <c r="E248" s="534"/>
      <c r="F248" s="525"/>
      <c r="G248" s="534"/>
      <c r="H248" s="525"/>
      <c r="I248" s="534"/>
      <c r="J248" s="525"/>
      <c r="K248" s="534"/>
      <c r="L248" s="525"/>
    </row>
    <row r="249" spans="1:12" s="530" customFormat="1" x14ac:dyDescent="0.2">
      <c r="B249" s="525"/>
      <c r="C249" s="534"/>
      <c r="D249" s="525"/>
      <c r="E249" s="534"/>
      <c r="F249" s="525"/>
      <c r="G249" s="534"/>
      <c r="H249" s="525"/>
      <c r="I249" s="534"/>
      <c r="J249" s="525"/>
      <c r="K249" s="534"/>
      <c r="L249" s="525"/>
    </row>
    <row r="250" spans="1:12" s="530" customFormat="1" x14ac:dyDescent="0.2">
      <c r="B250" s="525"/>
      <c r="C250" s="534"/>
      <c r="D250" s="525"/>
      <c r="E250" s="534"/>
      <c r="F250" s="525"/>
      <c r="G250" s="534"/>
      <c r="H250" s="525"/>
      <c r="I250" s="534"/>
      <c r="J250" s="525"/>
      <c r="K250" s="534"/>
      <c r="L250" s="525"/>
    </row>
    <row r="251" spans="1:12" s="530" customFormat="1" x14ac:dyDescent="0.2">
      <c r="B251" s="525"/>
      <c r="C251" s="534"/>
      <c r="D251" s="525"/>
      <c r="E251" s="534"/>
      <c r="F251" s="525"/>
      <c r="G251" s="534"/>
      <c r="H251" s="525"/>
      <c r="I251" s="534"/>
      <c r="J251" s="525"/>
      <c r="K251" s="534"/>
      <c r="L251" s="525"/>
    </row>
    <row r="252" spans="1:12" s="530" customFormat="1" x14ac:dyDescent="0.2">
      <c r="B252" s="525"/>
      <c r="C252" s="534"/>
      <c r="D252" s="525"/>
      <c r="E252" s="534"/>
      <c r="F252" s="525"/>
      <c r="G252" s="534"/>
      <c r="H252" s="525"/>
      <c r="I252" s="534"/>
      <c r="J252" s="525"/>
      <c r="K252" s="534"/>
      <c r="L252" s="525"/>
    </row>
    <row r="253" spans="1:12" s="530" customFormat="1" x14ac:dyDescent="0.2">
      <c r="B253" s="525"/>
      <c r="C253" s="534"/>
      <c r="D253" s="525"/>
      <c r="E253" s="534"/>
      <c r="F253" s="525"/>
      <c r="G253" s="534"/>
      <c r="H253" s="525"/>
      <c r="I253" s="534"/>
      <c r="J253" s="525"/>
      <c r="K253" s="534"/>
      <c r="L253" s="525"/>
    </row>
    <row r="254" spans="1:12" s="530" customFormat="1" x14ac:dyDescent="0.2">
      <c r="B254" s="525"/>
      <c r="C254" s="534"/>
      <c r="D254" s="525"/>
      <c r="E254" s="534"/>
      <c r="F254" s="525"/>
      <c r="G254" s="534"/>
      <c r="H254" s="525"/>
      <c r="I254" s="534"/>
      <c r="J254" s="525"/>
      <c r="K254" s="534"/>
      <c r="L254" s="525"/>
    </row>
    <row r="255" spans="1:12" s="530" customFormat="1" x14ac:dyDescent="0.2">
      <c r="B255" s="525"/>
      <c r="C255" s="534"/>
      <c r="D255" s="525"/>
      <c r="E255" s="534"/>
      <c r="F255" s="525"/>
      <c r="G255" s="534"/>
      <c r="H255" s="525"/>
      <c r="I255" s="534"/>
      <c r="J255" s="525"/>
      <c r="K255" s="534"/>
      <c r="L255" s="525"/>
    </row>
    <row r="256" spans="1:12" s="530" customFormat="1" x14ac:dyDescent="0.2">
      <c r="A256" s="529"/>
      <c r="B256" s="525"/>
      <c r="C256" s="534"/>
      <c r="D256" s="525"/>
      <c r="E256" s="534"/>
      <c r="F256" s="525"/>
      <c r="G256" s="534"/>
      <c r="H256" s="525"/>
      <c r="I256" s="534"/>
      <c r="J256" s="525"/>
      <c r="K256" s="534"/>
      <c r="L256" s="525"/>
    </row>
    <row r="257" spans="1:12" s="530" customFormat="1" x14ac:dyDescent="0.2">
      <c r="B257" s="525"/>
      <c r="C257" s="534"/>
      <c r="D257" s="525"/>
      <c r="E257" s="534"/>
      <c r="F257" s="525"/>
      <c r="G257" s="534"/>
      <c r="H257" s="525"/>
      <c r="I257" s="534"/>
      <c r="J257" s="525"/>
      <c r="K257" s="534"/>
      <c r="L257" s="525"/>
    </row>
    <row r="258" spans="1:12" s="530" customFormat="1" x14ac:dyDescent="0.2">
      <c r="B258" s="525"/>
      <c r="C258" s="534"/>
      <c r="D258" s="525"/>
      <c r="E258" s="534"/>
      <c r="F258" s="525"/>
      <c r="G258" s="534"/>
      <c r="H258" s="525"/>
      <c r="I258" s="534"/>
      <c r="J258" s="525"/>
      <c r="K258" s="534"/>
      <c r="L258" s="525"/>
    </row>
    <row r="259" spans="1:12" s="530" customFormat="1" x14ac:dyDescent="0.2">
      <c r="B259" s="525"/>
      <c r="C259" s="534"/>
      <c r="D259" s="525"/>
      <c r="E259" s="534"/>
      <c r="F259" s="525"/>
      <c r="G259" s="534"/>
      <c r="H259" s="525"/>
      <c r="I259" s="534"/>
      <c r="J259" s="525"/>
      <c r="K259" s="534"/>
      <c r="L259" s="525"/>
    </row>
    <row r="260" spans="1:12" s="530" customFormat="1" x14ac:dyDescent="0.2">
      <c r="A260" s="529"/>
      <c r="B260" s="525"/>
      <c r="C260" s="534"/>
      <c r="D260" s="525"/>
      <c r="E260" s="534"/>
      <c r="F260" s="525"/>
      <c r="G260" s="534"/>
      <c r="H260" s="525"/>
      <c r="I260" s="534"/>
      <c r="J260" s="525"/>
      <c r="K260" s="534"/>
      <c r="L260" s="525"/>
    </row>
    <row r="261" spans="1:12" s="530" customFormat="1" x14ac:dyDescent="0.2">
      <c r="B261" s="525"/>
      <c r="C261" s="534"/>
      <c r="D261" s="525"/>
      <c r="E261" s="534"/>
      <c r="F261" s="525"/>
      <c r="G261" s="534"/>
      <c r="H261" s="525"/>
      <c r="I261" s="534"/>
      <c r="J261" s="525"/>
      <c r="K261" s="534"/>
      <c r="L261" s="525"/>
    </row>
    <row r="262" spans="1:12" s="530" customFormat="1" x14ac:dyDescent="0.2">
      <c r="B262" s="525"/>
      <c r="C262" s="534"/>
      <c r="D262" s="525"/>
      <c r="E262" s="534"/>
      <c r="F262" s="525"/>
      <c r="G262" s="534"/>
      <c r="H262" s="525"/>
      <c r="I262" s="534"/>
      <c r="J262" s="525"/>
      <c r="K262" s="534"/>
      <c r="L262" s="525"/>
    </row>
    <row r="263" spans="1:12" s="530" customFormat="1" x14ac:dyDescent="0.2">
      <c r="B263" s="525"/>
      <c r="C263" s="534"/>
      <c r="D263" s="525"/>
      <c r="E263" s="534"/>
      <c r="F263" s="525"/>
      <c r="G263" s="534"/>
      <c r="H263" s="525"/>
      <c r="I263" s="534"/>
      <c r="J263" s="525"/>
      <c r="K263" s="534"/>
      <c r="L263" s="525"/>
    </row>
    <row r="264" spans="1:12" s="530" customFormat="1" x14ac:dyDescent="0.2">
      <c r="B264" s="525"/>
      <c r="C264" s="534"/>
      <c r="D264" s="525"/>
      <c r="E264" s="534"/>
      <c r="F264" s="525"/>
      <c r="G264" s="534"/>
      <c r="H264" s="525"/>
      <c r="I264" s="534"/>
      <c r="J264" s="525"/>
      <c r="K264" s="534"/>
      <c r="L264" s="525"/>
    </row>
    <row r="265" spans="1:12" s="530" customFormat="1" x14ac:dyDescent="0.2">
      <c r="B265" s="525"/>
      <c r="C265" s="534"/>
      <c r="D265" s="525"/>
      <c r="E265" s="534"/>
      <c r="F265" s="525"/>
      <c r="G265" s="534"/>
      <c r="H265" s="525"/>
      <c r="I265" s="534"/>
      <c r="J265" s="525"/>
      <c r="K265" s="534"/>
      <c r="L265" s="525"/>
    </row>
    <row r="266" spans="1:12" s="530" customFormat="1" x14ac:dyDescent="0.2">
      <c r="B266" s="525"/>
      <c r="C266" s="534"/>
      <c r="D266" s="525"/>
      <c r="E266" s="534"/>
      <c r="F266" s="525"/>
      <c r="G266" s="534"/>
      <c r="H266" s="525"/>
      <c r="I266" s="534"/>
      <c r="J266" s="525"/>
      <c r="K266" s="534"/>
      <c r="L266" s="525"/>
    </row>
    <row r="267" spans="1:12" s="530" customFormat="1" x14ac:dyDescent="0.2">
      <c r="A267" s="529"/>
      <c r="B267" s="525"/>
      <c r="C267" s="534"/>
      <c r="D267" s="525"/>
      <c r="E267" s="534"/>
      <c r="F267" s="525"/>
      <c r="G267" s="534"/>
      <c r="H267" s="525"/>
      <c r="I267" s="534"/>
      <c r="J267" s="525"/>
      <c r="K267" s="534"/>
      <c r="L267" s="525"/>
    </row>
    <row r="268" spans="1:12" s="530" customFormat="1" x14ac:dyDescent="0.2">
      <c r="A268" s="529"/>
      <c r="B268" s="525"/>
      <c r="C268" s="534"/>
      <c r="D268" s="525"/>
      <c r="E268" s="534"/>
      <c r="F268" s="525"/>
      <c r="G268" s="534"/>
      <c r="H268" s="525"/>
      <c r="I268" s="534"/>
      <c r="J268" s="525"/>
      <c r="K268" s="534"/>
      <c r="L268" s="525"/>
    </row>
    <row r="269" spans="1:12" s="530" customFormat="1" x14ac:dyDescent="0.2">
      <c r="B269" s="525"/>
      <c r="C269" s="534"/>
      <c r="D269" s="525"/>
      <c r="E269" s="534"/>
      <c r="F269" s="525"/>
      <c r="G269" s="534"/>
      <c r="H269" s="525"/>
      <c r="I269" s="534"/>
      <c r="J269" s="525"/>
      <c r="K269" s="534"/>
      <c r="L269" s="525"/>
    </row>
    <row r="270" spans="1:12" s="530" customFormat="1" x14ac:dyDescent="0.2">
      <c r="A270" s="529"/>
      <c r="B270" s="525"/>
      <c r="C270" s="534"/>
      <c r="D270" s="525"/>
      <c r="E270" s="534"/>
      <c r="F270" s="525"/>
      <c r="G270" s="534"/>
      <c r="H270" s="525"/>
      <c r="I270" s="534"/>
      <c r="J270" s="525"/>
      <c r="K270" s="534"/>
      <c r="L270" s="525"/>
    </row>
    <row r="273" spans="1:16" x14ac:dyDescent="0.2">
      <c r="A273" s="493" t="s">
        <v>785</v>
      </c>
      <c r="B273" s="493"/>
      <c r="C273" s="493"/>
      <c r="D273" s="493"/>
      <c r="E273" s="493"/>
      <c r="F273" s="493"/>
      <c r="G273" s="493"/>
      <c r="H273" s="493"/>
      <c r="I273" s="493"/>
      <c r="J273" s="493"/>
      <c r="K273" s="493"/>
      <c r="L273" s="493"/>
      <c r="M273" s="493"/>
      <c r="N273" s="493"/>
      <c r="O273" s="493"/>
      <c r="P273" s="493"/>
    </row>
    <row r="274" spans="1:16" x14ac:dyDescent="0.2">
      <c r="A274" s="493" t="s">
        <v>1503</v>
      </c>
      <c r="B274" s="493"/>
      <c r="C274" s="493"/>
      <c r="D274" s="493"/>
      <c r="E274" s="493"/>
      <c r="F274" s="493"/>
      <c r="G274" s="493"/>
      <c r="H274" s="493"/>
      <c r="I274" s="493"/>
      <c r="J274" s="493"/>
      <c r="K274" s="493"/>
      <c r="L274" s="493"/>
      <c r="M274" s="493"/>
      <c r="N274" s="493"/>
      <c r="O274" s="493"/>
      <c r="P274" s="493"/>
    </row>
    <row r="275" spans="1:16" x14ac:dyDescent="0.2">
      <c r="A275" s="496" t="s">
        <v>1513</v>
      </c>
      <c r="B275" s="497"/>
      <c r="C275" s="497"/>
      <c r="D275" s="497"/>
      <c r="E275" s="497"/>
      <c r="F275" s="497"/>
      <c r="G275" s="497"/>
      <c r="H275" s="497"/>
      <c r="I275" s="497"/>
      <c r="J275" s="497"/>
      <c r="K275" s="497"/>
      <c r="L275" s="497"/>
      <c r="M275" s="497"/>
      <c r="N275" s="497"/>
      <c r="O275" s="497"/>
      <c r="P275" s="497"/>
    </row>
    <row r="276" spans="1:16" x14ac:dyDescent="0.2">
      <c r="A276" s="523"/>
      <c r="B276" s="535"/>
      <c r="C276" s="523"/>
      <c r="D276" s="535"/>
      <c r="E276" s="523"/>
      <c r="F276" s="535"/>
      <c r="G276" s="523"/>
      <c r="H276" s="535"/>
      <c r="I276" s="523"/>
      <c r="J276" s="535"/>
      <c r="K276" s="523"/>
      <c r="L276" s="535"/>
      <c r="M276" s="401"/>
      <c r="N276" s="401"/>
      <c r="O276" s="401"/>
      <c r="P276" s="401"/>
    </row>
    <row r="277" spans="1:16" x14ac:dyDescent="0.2">
      <c r="A277" s="523"/>
      <c r="B277" s="535"/>
      <c r="C277" s="523"/>
      <c r="D277" s="535"/>
      <c r="E277" s="523"/>
      <c r="F277" s="535"/>
      <c r="G277" s="523"/>
      <c r="H277" s="535"/>
      <c r="I277" s="523"/>
      <c r="J277" s="535"/>
      <c r="K277" s="523"/>
      <c r="L277" s="535"/>
      <c r="M277" s="401"/>
      <c r="N277" s="401"/>
      <c r="O277" s="401"/>
      <c r="P277" s="401"/>
    </row>
    <row r="278" spans="1:16" x14ac:dyDescent="0.2">
      <c r="A278" s="401"/>
      <c r="B278" s="406"/>
      <c r="C278" s="401"/>
      <c r="D278" s="406"/>
      <c r="E278" s="401"/>
      <c r="F278" s="406"/>
      <c r="G278" s="401"/>
      <c r="H278" s="406"/>
      <c r="I278" s="401"/>
      <c r="J278" s="406"/>
      <c r="K278" s="401"/>
      <c r="L278" s="406"/>
      <c r="M278" s="401"/>
      <c r="N278" s="401"/>
      <c r="O278" s="401"/>
      <c r="P278" s="401"/>
    </row>
    <row r="279" spans="1:16" x14ac:dyDescent="0.2">
      <c r="A279" s="401"/>
      <c r="B279" s="402" t="s">
        <v>786</v>
      </c>
      <c r="C279" s="401"/>
      <c r="D279" s="406"/>
      <c r="E279" s="401"/>
      <c r="F279" s="406"/>
      <c r="G279" s="401"/>
      <c r="H279" s="402" t="s">
        <v>787</v>
      </c>
      <c r="I279" s="401"/>
      <c r="J279" s="406"/>
      <c r="K279" s="401"/>
      <c r="L279" s="402" t="s">
        <v>788</v>
      </c>
      <c r="M279" s="401"/>
      <c r="N279" s="401"/>
      <c r="O279" s="401"/>
      <c r="P279" s="400" t="s">
        <v>1495</v>
      </c>
    </row>
    <row r="280" spans="1:16" x14ac:dyDescent="0.2">
      <c r="A280" s="401"/>
      <c r="B280" s="403" t="s">
        <v>789</v>
      </c>
      <c r="C280" s="401"/>
      <c r="D280" s="403" t="s">
        <v>790</v>
      </c>
      <c r="E280" s="401"/>
      <c r="F280" s="403" t="s">
        <v>791</v>
      </c>
      <c r="G280" s="401"/>
      <c r="H280" s="403" t="s">
        <v>792</v>
      </c>
      <c r="I280" s="401"/>
      <c r="J280" s="403" t="s">
        <v>793</v>
      </c>
      <c r="K280" s="401"/>
      <c r="L280" s="403" t="s">
        <v>789</v>
      </c>
      <c r="M280" s="401"/>
      <c r="N280" s="403" t="s">
        <v>1496</v>
      </c>
      <c r="O280" s="401"/>
      <c r="P280" s="403" t="s">
        <v>1497</v>
      </c>
    </row>
    <row r="281" spans="1:16" x14ac:dyDescent="0.2">
      <c r="A281" s="400" t="s">
        <v>1491</v>
      </c>
      <c r="B281" s="404"/>
      <c r="C281" s="401"/>
      <c r="D281" s="404"/>
      <c r="E281" s="401"/>
      <c r="F281" s="404"/>
      <c r="G281" s="401"/>
      <c r="H281" s="404"/>
      <c r="I281" s="401"/>
      <c r="J281" s="404"/>
      <c r="K281" s="401"/>
      <c r="L281" s="404"/>
      <c r="M281" s="401"/>
      <c r="N281" s="401"/>
      <c r="O281" s="401"/>
      <c r="P281" s="401"/>
    </row>
    <row r="282" spans="1:16" x14ac:dyDescent="0.2">
      <c r="A282" s="400" t="s">
        <v>1492</v>
      </c>
      <c r="B282" s="406"/>
      <c r="C282" s="401"/>
      <c r="D282" s="406"/>
      <c r="E282" s="401"/>
      <c r="F282" s="406"/>
      <c r="G282" s="401"/>
      <c r="H282" s="406"/>
      <c r="I282" s="401"/>
      <c r="J282" s="406"/>
      <c r="K282" s="401"/>
      <c r="L282" s="406"/>
      <c r="M282" s="401"/>
      <c r="N282" s="401"/>
      <c r="O282" s="401"/>
      <c r="P282" s="401"/>
    </row>
    <row r="283" spans="1:16" x14ac:dyDescent="0.2">
      <c r="A283" s="400" t="s">
        <v>794</v>
      </c>
      <c r="B283" s="406"/>
      <c r="C283" s="401"/>
      <c r="D283" s="406"/>
      <c r="E283" s="401"/>
      <c r="F283" s="406"/>
      <c r="G283" s="401"/>
      <c r="H283" s="406"/>
      <c r="I283" s="401"/>
      <c r="J283" s="406"/>
      <c r="K283" s="401"/>
      <c r="L283" s="406"/>
      <c r="M283" s="401"/>
      <c r="N283" s="401"/>
      <c r="O283" s="401"/>
      <c r="P283" s="401"/>
    </row>
    <row r="284" spans="1:16" x14ac:dyDescent="0.2">
      <c r="A284" s="401" t="s">
        <v>795</v>
      </c>
      <c r="B284" s="406">
        <v>2627.41</v>
      </c>
      <c r="C284" s="531"/>
      <c r="D284" s="406">
        <v>0</v>
      </c>
      <c r="E284" s="531"/>
      <c r="F284" s="406">
        <v>0</v>
      </c>
      <c r="G284" s="531"/>
      <c r="H284" s="406">
        <v>0</v>
      </c>
      <c r="I284" s="531"/>
      <c r="J284" s="406">
        <v>0</v>
      </c>
      <c r="K284" s="531"/>
      <c r="L284" s="406">
        <v>2627.41</v>
      </c>
      <c r="M284" s="401"/>
      <c r="N284" s="409">
        <v>-2379.3900000000003</v>
      </c>
      <c r="O284" s="401"/>
      <c r="P284" s="409">
        <v>248.01999999999953</v>
      </c>
    </row>
    <row r="285" spans="1:16" x14ac:dyDescent="0.2">
      <c r="A285" s="401" t="s">
        <v>796</v>
      </c>
      <c r="B285" s="406">
        <v>2412.8200000000002</v>
      </c>
      <c r="C285" s="531"/>
      <c r="D285" s="406">
        <v>0</v>
      </c>
      <c r="E285" s="531"/>
      <c r="F285" s="406">
        <v>0</v>
      </c>
      <c r="G285" s="531"/>
      <c r="H285" s="406">
        <v>0</v>
      </c>
      <c r="I285" s="531"/>
      <c r="J285" s="406">
        <v>0</v>
      </c>
      <c r="K285" s="531"/>
      <c r="L285" s="406">
        <v>2412.8200000000002</v>
      </c>
      <c r="M285" s="401"/>
      <c r="N285" s="409">
        <v>0</v>
      </c>
      <c r="O285" s="401"/>
      <c r="P285" s="409">
        <v>2412.8200000000002</v>
      </c>
    </row>
    <row r="286" spans="1:16" x14ac:dyDescent="0.2">
      <c r="A286" s="401" t="s">
        <v>797</v>
      </c>
      <c r="B286" s="406">
        <v>2621.29</v>
      </c>
      <c r="C286" s="531"/>
      <c r="D286" s="406">
        <v>0</v>
      </c>
      <c r="E286" s="531"/>
      <c r="F286" s="406">
        <v>0</v>
      </c>
      <c r="G286" s="531"/>
      <c r="H286" s="406">
        <v>0</v>
      </c>
      <c r="I286" s="531"/>
      <c r="J286" s="406">
        <v>0</v>
      </c>
      <c r="K286" s="531"/>
      <c r="L286" s="406">
        <v>2621.29</v>
      </c>
      <c r="M286" s="401"/>
      <c r="N286" s="409">
        <v>-2466.7400000000002</v>
      </c>
      <c r="O286" s="401"/>
      <c r="P286" s="409">
        <v>154.54999999999973</v>
      </c>
    </row>
    <row r="287" spans="1:16" x14ac:dyDescent="0.2">
      <c r="A287" s="401" t="s">
        <v>798</v>
      </c>
      <c r="B287" s="406">
        <v>56019.76</v>
      </c>
      <c r="C287" s="531"/>
      <c r="D287" s="406">
        <v>0</v>
      </c>
      <c r="E287" s="531"/>
      <c r="F287" s="406">
        <v>0</v>
      </c>
      <c r="G287" s="531"/>
      <c r="H287" s="406">
        <v>0</v>
      </c>
      <c r="I287" s="531"/>
      <c r="J287" s="406">
        <v>0</v>
      </c>
      <c r="K287" s="531"/>
      <c r="L287" s="406">
        <v>56019.76</v>
      </c>
      <c r="M287" s="401"/>
      <c r="N287" s="409">
        <v>-45349.49</v>
      </c>
      <c r="O287" s="401"/>
      <c r="P287" s="409">
        <v>10670.270000000004</v>
      </c>
    </row>
    <row r="288" spans="1:16" x14ac:dyDescent="0.2">
      <c r="A288" s="401" t="s">
        <v>799</v>
      </c>
      <c r="B288" s="406">
        <v>27811.690000000002</v>
      </c>
      <c r="C288" s="531"/>
      <c r="D288" s="406">
        <v>20002.55</v>
      </c>
      <c r="E288" s="531"/>
      <c r="F288" s="406">
        <v>0</v>
      </c>
      <c r="G288" s="531"/>
      <c r="H288" s="406">
        <v>299.95999999999998</v>
      </c>
      <c r="I288" s="531"/>
      <c r="J288" s="406">
        <v>20302.509999999998</v>
      </c>
      <c r="K288" s="531"/>
      <c r="L288" s="406">
        <v>48114.2</v>
      </c>
      <c r="M288" s="401"/>
      <c r="N288" s="409">
        <v>-40805.51999999999</v>
      </c>
      <c r="O288" s="401"/>
      <c r="P288" s="409">
        <v>7308.6800000000076</v>
      </c>
    </row>
    <row r="289" spans="1:16" x14ac:dyDescent="0.2">
      <c r="A289" s="401" t="s">
        <v>800</v>
      </c>
      <c r="B289" s="406">
        <v>47063.18</v>
      </c>
      <c r="C289" s="531"/>
      <c r="D289" s="406">
        <v>0</v>
      </c>
      <c r="E289" s="531"/>
      <c r="F289" s="406">
        <v>0</v>
      </c>
      <c r="G289" s="531"/>
      <c r="H289" s="406">
        <v>-299.95999999999998</v>
      </c>
      <c r="I289" s="531"/>
      <c r="J289" s="406">
        <v>-299.95999999999998</v>
      </c>
      <c r="K289" s="531"/>
      <c r="L289" s="406">
        <v>46763.22</v>
      </c>
      <c r="M289" s="401"/>
      <c r="N289" s="409">
        <v>-44341.760000000002</v>
      </c>
      <c r="O289" s="401"/>
      <c r="P289" s="409">
        <v>2421.4599999999991</v>
      </c>
    </row>
    <row r="290" spans="1:16" x14ac:dyDescent="0.2">
      <c r="A290" s="401" t="s">
        <v>801</v>
      </c>
      <c r="B290" s="406">
        <v>0</v>
      </c>
      <c r="C290" s="531"/>
      <c r="D290" s="406">
        <v>0</v>
      </c>
      <c r="E290" s="531"/>
      <c r="F290" s="406">
        <v>0</v>
      </c>
      <c r="G290" s="531"/>
      <c r="H290" s="406">
        <v>0</v>
      </c>
      <c r="I290" s="531"/>
      <c r="J290" s="406">
        <v>0</v>
      </c>
      <c r="K290" s="531"/>
      <c r="L290" s="406">
        <v>0</v>
      </c>
      <c r="M290" s="401"/>
      <c r="N290" s="409">
        <v>0</v>
      </c>
      <c r="O290" s="401"/>
      <c r="P290" s="409">
        <v>0</v>
      </c>
    </row>
    <row r="291" spans="1:16" x14ac:dyDescent="0.2">
      <c r="A291" s="401" t="s">
        <v>1264</v>
      </c>
      <c r="B291" s="406">
        <v>0</v>
      </c>
      <c r="C291" s="531"/>
      <c r="D291" s="406">
        <v>0</v>
      </c>
      <c r="E291" s="531"/>
      <c r="F291" s="406">
        <v>0</v>
      </c>
      <c r="G291" s="531"/>
      <c r="H291" s="406">
        <v>0</v>
      </c>
      <c r="I291" s="531"/>
      <c r="J291" s="406">
        <v>0</v>
      </c>
      <c r="K291" s="531"/>
      <c r="L291" s="406">
        <v>0</v>
      </c>
      <c r="M291" s="401"/>
      <c r="N291" s="409">
        <v>0</v>
      </c>
      <c r="O291" s="401"/>
      <c r="P291" s="409">
        <v>0</v>
      </c>
    </row>
    <row r="292" spans="1:16" x14ac:dyDescent="0.2">
      <c r="A292" s="401" t="s">
        <v>803</v>
      </c>
      <c r="B292" s="406">
        <v>3118.28</v>
      </c>
      <c r="C292" s="531"/>
      <c r="D292" s="406">
        <v>0</v>
      </c>
      <c r="E292" s="531"/>
      <c r="F292" s="406">
        <v>0</v>
      </c>
      <c r="G292" s="531"/>
      <c r="H292" s="406">
        <v>0</v>
      </c>
      <c r="I292" s="531"/>
      <c r="J292" s="406">
        <v>0</v>
      </c>
      <c r="K292" s="531"/>
      <c r="L292" s="406">
        <v>3118.28</v>
      </c>
      <c r="M292" s="401"/>
      <c r="N292" s="409">
        <v>-4755.2299999999996</v>
      </c>
      <c r="O292" s="401"/>
      <c r="P292" s="409">
        <v>-1636.9499999999994</v>
      </c>
    </row>
    <row r="293" spans="1:16" x14ac:dyDescent="0.2">
      <c r="A293" s="401" t="s">
        <v>804</v>
      </c>
      <c r="B293" s="406">
        <v>254.62</v>
      </c>
      <c r="C293" s="531"/>
      <c r="D293" s="406">
        <v>0</v>
      </c>
      <c r="E293" s="531"/>
      <c r="F293" s="406">
        <v>0</v>
      </c>
      <c r="G293" s="531"/>
      <c r="H293" s="406">
        <v>0</v>
      </c>
      <c r="I293" s="531"/>
      <c r="J293" s="406">
        <v>0</v>
      </c>
      <c r="K293" s="531"/>
      <c r="L293" s="406">
        <v>254.62</v>
      </c>
      <c r="M293" s="401"/>
      <c r="N293" s="409">
        <v>-1120.05</v>
      </c>
      <c r="O293" s="401"/>
      <c r="P293" s="409">
        <v>-865.43</v>
      </c>
    </row>
    <row r="294" spans="1:16" x14ac:dyDescent="0.2">
      <c r="A294" s="401" t="s">
        <v>805</v>
      </c>
      <c r="B294" s="406">
        <v>111.07999999999993</v>
      </c>
      <c r="C294" s="531"/>
      <c r="D294" s="406">
        <v>0</v>
      </c>
      <c r="E294" s="531"/>
      <c r="F294" s="406">
        <v>0</v>
      </c>
      <c r="G294" s="531"/>
      <c r="H294" s="406">
        <v>0</v>
      </c>
      <c r="I294" s="531"/>
      <c r="J294" s="406">
        <v>0</v>
      </c>
      <c r="K294" s="531"/>
      <c r="L294" s="406">
        <v>111.07999999999993</v>
      </c>
      <c r="M294" s="401"/>
      <c r="N294" s="409">
        <v>279.95000000000027</v>
      </c>
      <c r="O294" s="401"/>
      <c r="P294" s="409">
        <v>391.0300000000002</v>
      </c>
    </row>
    <row r="295" spans="1:16" x14ac:dyDescent="0.2">
      <c r="A295" s="401" t="s">
        <v>806</v>
      </c>
      <c r="B295" s="415">
        <v>0</v>
      </c>
      <c r="C295" s="532"/>
      <c r="D295" s="415">
        <v>0</v>
      </c>
      <c r="E295" s="532"/>
      <c r="F295" s="415">
        <v>0</v>
      </c>
      <c r="G295" s="532"/>
      <c r="H295" s="415">
        <v>0</v>
      </c>
      <c r="I295" s="532"/>
      <c r="J295" s="415">
        <v>0</v>
      </c>
      <c r="K295" s="532"/>
      <c r="L295" s="415">
        <v>0</v>
      </c>
      <c r="M295" s="412"/>
      <c r="N295" s="416">
        <v>-330.73</v>
      </c>
      <c r="O295" s="401"/>
      <c r="P295" s="416">
        <v>-330.73</v>
      </c>
    </row>
    <row r="296" spans="1:16" x14ac:dyDescent="0.2">
      <c r="A296" s="401"/>
      <c r="B296" s="411">
        <v>142040.12999999998</v>
      </c>
      <c r="C296" s="532"/>
      <c r="D296" s="411">
        <v>20002.55</v>
      </c>
      <c r="E296" s="532"/>
      <c r="F296" s="411">
        <v>0</v>
      </c>
      <c r="G296" s="532"/>
      <c r="H296" s="411">
        <v>0</v>
      </c>
      <c r="I296" s="532"/>
      <c r="J296" s="411">
        <v>20002.55</v>
      </c>
      <c r="K296" s="532"/>
      <c r="L296" s="411">
        <v>162042.68</v>
      </c>
      <c r="M296" s="412"/>
      <c r="N296" s="411">
        <v>-141268.96</v>
      </c>
      <c r="O296" s="401"/>
      <c r="P296" s="411">
        <v>20773.720000000008</v>
      </c>
    </row>
    <row r="297" spans="1:16" x14ac:dyDescent="0.2">
      <c r="A297" s="401"/>
      <c r="B297" s="411"/>
      <c r="C297" s="532"/>
      <c r="D297" s="411"/>
      <c r="E297" s="532"/>
      <c r="F297" s="411"/>
      <c r="G297" s="532"/>
      <c r="H297" s="411"/>
      <c r="I297" s="532"/>
      <c r="J297" s="411"/>
      <c r="K297" s="532"/>
      <c r="L297" s="411"/>
      <c r="M297" s="412"/>
      <c r="N297" s="401"/>
      <c r="O297" s="401"/>
      <c r="P297" s="401"/>
    </row>
    <row r="298" spans="1:16" x14ac:dyDescent="0.2">
      <c r="A298" s="400" t="s">
        <v>859</v>
      </c>
      <c r="B298" s="411"/>
      <c r="C298" s="532"/>
      <c r="D298" s="411"/>
      <c r="E298" s="532"/>
      <c r="F298" s="411"/>
      <c r="G298" s="532"/>
      <c r="H298" s="411"/>
      <c r="I298" s="532"/>
      <c r="J298" s="411"/>
      <c r="K298" s="532"/>
      <c r="L298" s="411"/>
      <c r="M298" s="412"/>
      <c r="N298" s="401"/>
      <c r="O298" s="401"/>
      <c r="P298" s="401"/>
    </row>
    <row r="299" spans="1:16" x14ac:dyDescent="0.2">
      <c r="A299" s="401" t="s">
        <v>860</v>
      </c>
      <c r="B299" s="411">
        <v>439.53</v>
      </c>
      <c r="C299" s="532"/>
      <c r="D299" s="411">
        <v>0</v>
      </c>
      <c r="E299" s="532"/>
      <c r="F299" s="411">
        <v>0</v>
      </c>
      <c r="G299" s="532"/>
      <c r="H299" s="411">
        <v>0</v>
      </c>
      <c r="I299" s="532"/>
      <c r="J299" s="411">
        <v>0</v>
      </c>
      <c r="K299" s="532"/>
      <c r="L299" s="411">
        <v>439.53</v>
      </c>
      <c r="M299" s="412"/>
      <c r="N299" s="409">
        <v>-345.21999999999997</v>
      </c>
      <c r="O299" s="401"/>
      <c r="P299" s="409">
        <v>94.31</v>
      </c>
    </row>
    <row r="300" spans="1:16" x14ac:dyDescent="0.2">
      <c r="A300" s="401" t="s">
        <v>882</v>
      </c>
      <c r="B300" s="411">
        <v>120573.73</v>
      </c>
      <c r="C300" s="532"/>
      <c r="D300" s="411">
        <v>5545.3</v>
      </c>
      <c r="E300" s="532"/>
      <c r="F300" s="411">
        <v>-140.03</v>
      </c>
      <c r="G300" s="532"/>
      <c r="H300" s="411">
        <v>0</v>
      </c>
      <c r="I300" s="532"/>
      <c r="J300" s="411">
        <v>5405.27</v>
      </c>
      <c r="K300" s="532"/>
      <c r="L300" s="411">
        <v>125979</v>
      </c>
      <c r="M300" s="412"/>
      <c r="N300" s="409">
        <v>-72250.11</v>
      </c>
      <c r="O300" s="401"/>
      <c r="P300" s="409">
        <v>53728.89</v>
      </c>
    </row>
    <row r="301" spans="1:16" x14ac:dyDescent="0.2">
      <c r="A301" s="401" t="s">
        <v>883</v>
      </c>
      <c r="B301" s="415">
        <v>76032.17</v>
      </c>
      <c r="C301" s="532"/>
      <c r="D301" s="415">
        <v>2029.56</v>
      </c>
      <c r="E301" s="532"/>
      <c r="F301" s="415">
        <v>0</v>
      </c>
      <c r="G301" s="532"/>
      <c r="H301" s="415">
        <v>0</v>
      </c>
      <c r="I301" s="532"/>
      <c r="J301" s="415">
        <v>2029.56</v>
      </c>
      <c r="K301" s="532"/>
      <c r="L301" s="415">
        <v>78061.73</v>
      </c>
      <c r="M301" s="412"/>
      <c r="N301" s="416">
        <v>-44963.670000000006</v>
      </c>
      <c r="O301" s="401"/>
      <c r="P301" s="416">
        <v>33098.05999999999</v>
      </c>
    </row>
    <row r="302" spans="1:16" x14ac:dyDescent="0.2">
      <c r="A302" s="401"/>
      <c r="B302" s="411">
        <v>197045.43</v>
      </c>
      <c r="C302" s="532"/>
      <c r="D302" s="411">
        <v>7574.8600000000006</v>
      </c>
      <c r="E302" s="532"/>
      <c r="F302" s="411">
        <v>-140.03</v>
      </c>
      <c r="G302" s="532"/>
      <c r="H302" s="411">
        <v>0</v>
      </c>
      <c r="I302" s="532"/>
      <c r="J302" s="411">
        <v>7434.83</v>
      </c>
      <c r="K302" s="532"/>
      <c r="L302" s="411">
        <v>204480.26</v>
      </c>
      <c r="M302" s="412"/>
      <c r="N302" s="411">
        <v>-117559</v>
      </c>
      <c r="O302" s="401"/>
      <c r="P302" s="411">
        <v>86921.25999999998</v>
      </c>
    </row>
    <row r="303" spans="1:16" x14ac:dyDescent="0.2">
      <c r="A303" s="401"/>
      <c r="B303" s="411"/>
      <c r="C303" s="532"/>
      <c r="D303" s="411"/>
      <c r="E303" s="532"/>
      <c r="F303" s="411"/>
      <c r="G303" s="532"/>
      <c r="H303" s="411"/>
      <c r="I303" s="532"/>
      <c r="J303" s="411"/>
      <c r="K303" s="532"/>
      <c r="L303" s="411"/>
      <c r="M303" s="412"/>
      <c r="N303" s="401"/>
      <c r="O303" s="401"/>
      <c r="P303" s="401"/>
    </row>
    <row r="304" spans="1:16" x14ac:dyDescent="0.2">
      <c r="A304" s="401"/>
      <c r="B304" s="406"/>
      <c r="C304" s="531"/>
      <c r="D304" s="406"/>
      <c r="E304" s="531"/>
      <c r="F304" s="406"/>
      <c r="G304" s="531"/>
      <c r="H304" s="406"/>
      <c r="I304" s="531"/>
      <c r="J304" s="406"/>
      <c r="K304" s="531"/>
      <c r="L304" s="406"/>
      <c r="M304" s="401"/>
      <c r="N304" s="401"/>
      <c r="O304" s="401"/>
      <c r="P304" s="401"/>
    </row>
    <row r="305" spans="1:16" ht="13.5" thickBot="1" x14ac:dyDescent="0.25">
      <c r="A305" s="400" t="s">
        <v>1502</v>
      </c>
      <c r="B305" s="417">
        <v>339085.55999999994</v>
      </c>
      <c r="C305" s="531"/>
      <c r="D305" s="417">
        <v>27577.41</v>
      </c>
      <c r="E305" s="531"/>
      <c r="F305" s="417">
        <v>-140.03</v>
      </c>
      <c r="G305" s="531"/>
      <c r="H305" s="417">
        <v>0</v>
      </c>
      <c r="I305" s="531"/>
      <c r="J305" s="417">
        <v>27437.379999999997</v>
      </c>
      <c r="K305" s="531"/>
      <c r="L305" s="417">
        <v>366522.94</v>
      </c>
      <c r="M305" s="401"/>
      <c r="N305" s="417">
        <v>-258827.96</v>
      </c>
      <c r="O305" s="401"/>
      <c r="P305" s="417">
        <v>107694.97999999998</v>
      </c>
    </row>
    <row r="306" spans="1:16" ht="13.5" thickTop="1" x14ac:dyDescent="0.2"/>
    <row r="308" spans="1:16" x14ac:dyDescent="0.2">
      <c r="A308" s="495" t="s">
        <v>785</v>
      </c>
      <c r="B308" s="495"/>
      <c r="C308" s="495"/>
      <c r="D308" s="495"/>
      <c r="E308" s="495"/>
      <c r="F308" s="495"/>
      <c r="G308" s="495"/>
      <c r="H308" s="495"/>
      <c r="I308" s="495"/>
      <c r="J308" s="495"/>
      <c r="K308" s="495"/>
      <c r="L308" s="495"/>
    </row>
    <row r="309" spans="1:16" x14ac:dyDescent="0.2">
      <c r="A309" s="495" t="s">
        <v>1345</v>
      </c>
      <c r="B309" s="495"/>
      <c r="C309" s="495"/>
      <c r="D309" s="495"/>
      <c r="E309" s="495"/>
      <c r="F309" s="495"/>
      <c r="G309" s="495"/>
      <c r="H309" s="495"/>
      <c r="I309" s="495"/>
      <c r="J309" s="495"/>
      <c r="K309" s="495"/>
      <c r="L309" s="495"/>
    </row>
    <row r="310" spans="1:16" x14ac:dyDescent="0.2">
      <c r="A310" s="496" t="s">
        <v>1513</v>
      </c>
      <c r="B310" s="497"/>
      <c r="C310" s="497"/>
      <c r="D310" s="497"/>
      <c r="E310" s="497"/>
      <c r="F310" s="497"/>
      <c r="G310" s="497"/>
      <c r="H310" s="497"/>
      <c r="I310" s="497"/>
      <c r="J310" s="497"/>
      <c r="K310" s="497"/>
      <c r="L310" s="497"/>
    </row>
    <row r="311" spans="1:16" x14ac:dyDescent="0.2">
      <c r="A311" s="492"/>
      <c r="B311" s="492"/>
      <c r="C311" s="492"/>
      <c r="D311" s="492"/>
      <c r="E311" s="492"/>
      <c r="F311" s="492"/>
      <c r="G311" s="492"/>
      <c r="H311" s="492"/>
      <c r="I311" s="492"/>
      <c r="J311" s="492"/>
      <c r="K311" s="492"/>
      <c r="L311" s="492"/>
    </row>
    <row r="312" spans="1:16" x14ac:dyDescent="0.2">
      <c r="B312" s="407"/>
      <c r="D312" s="407"/>
      <c r="F312" s="407"/>
      <c r="H312" s="407"/>
      <c r="J312" s="407"/>
      <c r="L312" s="407"/>
    </row>
    <row r="313" spans="1:16" x14ac:dyDescent="0.2">
      <c r="B313" s="536" t="s">
        <v>786</v>
      </c>
      <c r="H313" s="536" t="s">
        <v>787</v>
      </c>
      <c r="L313" s="536" t="s">
        <v>788</v>
      </c>
    </row>
    <row r="314" spans="1:16" x14ac:dyDescent="0.2">
      <c r="B314" s="537" t="s">
        <v>789</v>
      </c>
      <c r="D314" s="537" t="s">
        <v>790</v>
      </c>
      <c r="F314" s="537" t="s">
        <v>791</v>
      </c>
      <c r="H314" s="537" t="s">
        <v>792</v>
      </c>
      <c r="J314" s="537" t="s">
        <v>793</v>
      </c>
      <c r="L314" s="537" t="s">
        <v>789</v>
      </c>
    </row>
    <row r="315" spans="1:16" x14ac:dyDescent="0.2">
      <c r="B315" s="538"/>
      <c r="D315" s="538"/>
      <c r="F315" s="538"/>
      <c r="H315" s="538"/>
      <c r="J315" s="538"/>
      <c r="L315" s="538"/>
    </row>
    <row r="316" spans="1:16" x14ac:dyDescent="0.2">
      <c r="A316" s="223" t="s">
        <v>890</v>
      </c>
      <c r="B316" s="407"/>
      <c r="D316" s="407"/>
      <c r="F316" s="407"/>
      <c r="H316" s="407"/>
      <c r="J316" s="407"/>
      <c r="L316" s="407"/>
    </row>
    <row r="317" spans="1:16" x14ac:dyDescent="0.2">
      <c r="A317" s="223" t="s">
        <v>794</v>
      </c>
      <c r="B317" s="407"/>
      <c r="D317" s="407"/>
      <c r="F317" s="407"/>
      <c r="H317" s="407"/>
      <c r="J317" s="407"/>
      <c r="L317" s="407"/>
    </row>
    <row r="318" spans="1:16" x14ac:dyDescent="0.2">
      <c r="A318" s="407" t="s">
        <v>796</v>
      </c>
      <c r="B318" s="539">
        <v>792599.21</v>
      </c>
      <c r="D318" s="539">
        <v>0</v>
      </c>
      <c r="F318" s="539">
        <v>0</v>
      </c>
      <c r="H318" s="539">
        <v>0</v>
      </c>
      <c r="J318" s="539">
        <v>0</v>
      </c>
      <c r="L318" s="539">
        <v>792599.21</v>
      </c>
    </row>
    <row r="319" spans="1:16" x14ac:dyDescent="0.2">
      <c r="B319" s="525">
        <v>0</v>
      </c>
      <c r="C319" s="525"/>
      <c r="D319" s="525">
        <v>0</v>
      </c>
      <c r="E319" s="525"/>
      <c r="F319" s="525">
        <v>0</v>
      </c>
      <c r="G319" s="525"/>
      <c r="H319" s="525">
        <v>0</v>
      </c>
      <c r="I319" s="525"/>
      <c r="J319" s="525">
        <v>0</v>
      </c>
      <c r="K319" s="525"/>
      <c r="L319" s="525">
        <v>792599.21</v>
      </c>
    </row>
    <row r="320" spans="1:16" x14ac:dyDescent="0.2">
      <c r="A320" s="223"/>
      <c r="B320" s="407"/>
      <c r="D320" s="407"/>
      <c r="F320" s="407"/>
      <c r="H320" s="407"/>
      <c r="J320" s="407"/>
      <c r="L320" s="407"/>
    </row>
    <row r="321" spans="1:12" x14ac:dyDescent="0.2">
      <c r="A321" s="223"/>
      <c r="B321" s="407"/>
      <c r="D321" s="407"/>
      <c r="F321" s="407"/>
      <c r="H321" s="407"/>
      <c r="J321" s="407"/>
      <c r="L321" s="407"/>
    </row>
    <row r="322" spans="1:12" x14ac:dyDescent="0.2">
      <c r="A322" s="223" t="s">
        <v>891</v>
      </c>
      <c r="B322" s="525"/>
      <c r="C322" s="525"/>
      <c r="D322" s="525"/>
      <c r="E322" s="525"/>
      <c r="F322" s="525"/>
      <c r="G322" s="525"/>
      <c r="H322" s="525"/>
      <c r="I322" s="525"/>
      <c r="J322" s="525"/>
      <c r="K322" s="525"/>
      <c r="L322" s="525"/>
    </row>
    <row r="323" spans="1:12" x14ac:dyDescent="0.2">
      <c r="A323" s="407" t="s">
        <v>849</v>
      </c>
      <c r="B323" s="525">
        <v>0</v>
      </c>
      <c r="C323" s="525"/>
      <c r="D323" s="525">
        <v>0</v>
      </c>
      <c r="E323" s="525"/>
      <c r="F323" s="525">
        <v>0</v>
      </c>
      <c r="G323" s="525"/>
      <c r="H323" s="525">
        <v>0</v>
      </c>
      <c r="I323" s="525"/>
      <c r="J323" s="525">
        <v>0</v>
      </c>
      <c r="K323" s="525"/>
      <c r="L323" s="525">
        <v>0</v>
      </c>
    </row>
    <row r="324" spans="1:12" x14ac:dyDescent="0.2">
      <c r="A324" s="407" t="s">
        <v>850</v>
      </c>
      <c r="B324" s="525">
        <v>0</v>
      </c>
      <c r="C324" s="525"/>
      <c r="D324" s="525">
        <v>0</v>
      </c>
      <c r="E324" s="525"/>
      <c r="F324" s="525">
        <v>0</v>
      </c>
      <c r="G324" s="525"/>
      <c r="H324" s="525">
        <v>0</v>
      </c>
      <c r="I324" s="525"/>
      <c r="J324" s="525">
        <v>0</v>
      </c>
      <c r="K324" s="525"/>
      <c r="L324" s="525">
        <v>0</v>
      </c>
    </row>
    <row r="325" spans="1:12" x14ac:dyDescent="0.2">
      <c r="A325" s="407" t="s">
        <v>852</v>
      </c>
      <c r="B325" s="525">
        <v>0</v>
      </c>
      <c r="C325" s="525"/>
      <c r="D325" s="525">
        <v>0</v>
      </c>
      <c r="E325" s="525"/>
      <c r="F325" s="525">
        <v>0</v>
      </c>
      <c r="G325" s="525"/>
      <c r="H325" s="525">
        <v>0</v>
      </c>
      <c r="I325" s="525"/>
      <c r="J325" s="525">
        <v>0</v>
      </c>
      <c r="K325" s="525"/>
      <c r="L325" s="525">
        <v>0</v>
      </c>
    </row>
    <row r="326" spans="1:12" x14ac:dyDescent="0.2">
      <c r="A326" s="407" t="s">
        <v>854</v>
      </c>
      <c r="B326" s="525">
        <v>0</v>
      </c>
      <c r="C326" s="525"/>
      <c r="D326" s="525">
        <v>0</v>
      </c>
      <c r="E326" s="525"/>
      <c r="F326" s="525">
        <v>0</v>
      </c>
      <c r="G326" s="525"/>
      <c r="H326" s="525">
        <v>0</v>
      </c>
      <c r="I326" s="525"/>
      <c r="J326" s="525">
        <v>0</v>
      </c>
      <c r="K326" s="525"/>
      <c r="L326" s="525">
        <v>0</v>
      </c>
    </row>
    <row r="327" spans="1:12" x14ac:dyDescent="0.2">
      <c r="A327" s="407" t="s">
        <v>892</v>
      </c>
      <c r="B327" s="525">
        <v>0</v>
      </c>
      <c r="C327" s="525"/>
      <c r="D327" s="525">
        <v>0</v>
      </c>
      <c r="E327" s="525"/>
      <c r="F327" s="525">
        <v>0</v>
      </c>
      <c r="G327" s="525"/>
      <c r="H327" s="525">
        <v>0</v>
      </c>
      <c r="I327" s="525"/>
      <c r="J327" s="525">
        <v>0</v>
      </c>
      <c r="K327" s="525"/>
      <c r="L327" s="525">
        <v>0</v>
      </c>
    </row>
    <row r="328" spans="1:12" x14ac:dyDescent="0.2">
      <c r="A328" s="407" t="s">
        <v>857</v>
      </c>
      <c r="B328" s="539">
        <v>0</v>
      </c>
      <c r="C328" s="525"/>
      <c r="D328" s="539">
        <v>0</v>
      </c>
      <c r="E328" s="525"/>
      <c r="F328" s="539">
        <v>0</v>
      </c>
      <c r="G328" s="525"/>
      <c r="H328" s="539">
        <v>0</v>
      </c>
      <c r="I328" s="525"/>
      <c r="J328" s="539">
        <v>0</v>
      </c>
      <c r="K328" s="525"/>
      <c r="L328" s="539">
        <v>0</v>
      </c>
    </row>
    <row r="329" spans="1:12" x14ac:dyDescent="0.2">
      <c r="B329" s="525">
        <v>0</v>
      </c>
      <c r="C329" s="525"/>
      <c r="D329" s="525">
        <v>0</v>
      </c>
      <c r="E329" s="525"/>
      <c r="F329" s="525">
        <v>0</v>
      </c>
      <c r="G329" s="525"/>
      <c r="H329" s="525">
        <v>0</v>
      </c>
      <c r="I329" s="525"/>
      <c r="J329" s="525">
        <v>0</v>
      </c>
      <c r="K329" s="525"/>
      <c r="L329" s="525">
        <v>0</v>
      </c>
    </row>
    <row r="330" spans="1:12" x14ac:dyDescent="0.2">
      <c r="B330" s="525"/>
      <c r="C330" s="527"/>
      <c r="D330" s="525"/>
      <c r="E330" s="527"/>
      <c r="F330" s="525"/>
      <c r="G330" s="527"/>
      <c r="H330" s="525"/>
      <c r="I330" s="527"/>
      <c r="J330" s="525"/>
      <c r="K330" s="527"/>
      <c r="L330" s="525"/>
    </row>
    <row r="331" spans="1:12" x14ac:dyDescent="0.2">
      <c r="C331" s="527"/>
      <c r="E331" s="527"/>
      <c r="G331" s="527"/>
      <c r="I331" s="527"/>
      <c r="K331" s="527"/>
    </row>
    <row r="332" spans="1:12" ht="13.5" thickBot="1" x14ac:dyDescent="0.25">
      <c r="A332" s="223" t="s">
        <v>893</v>
      </c>
      <c r="B332" s="540">
        <v>0</v>
      </c>
      <c r="C332" s="527"/>
      <c r="D332" s="540">
        <v>0</v>
      </c>
      <c r="E332" s="527"/>
      <c r="F332" s="540">
        <v>0</v>
      </c>
      <c r="G332" s="527"/>
      <c r="H332" s="540">
        <v>0</v>
      </c>
      <c r="I332" s="527"/>
      <c r="J332" s="540">
        <v>0</v>
      </c>
      <c r="K332" s="527"/>
      <c r="L332" s="540">
        <v>792599.21</v>
      </c>
    </row>
    <row r="333" spans="1:12" ht="13.5" thickTop="1" x14ac:dyDescent="0.2"/>
    <row r="335" spans="1:12" s="418" customFormat="1" ht="15" x14ac:dyDescent="0.2">
      <c r="A335" s="494" t="s">
        <v>785</v>
      </c>
      <c r="B335" s="494"/>
      <c r="C335" s="494"/>
      <c r="D335" s="494"/>
      <c r="E335" s="494"/>
      <c r="F335" s="494"/>
      <c r="G335" s="494"/>
      <c r="H335" s="494"/>
      <c r="I335" s="494"/>
      <c r="J335" s="494"/>
      <c r="K335" s="494"/>
      <c r="L335" s="494"/>
    </row>
    <row r="336" spans="1:12" s="418" customFormat="1" ht="15" x14ac:dyDescent="0.2">
      <c r="A336" s="494" t="s">
        <v>1370</v>
      </c>
      <c r="B336" s="494"/>
      <c r="C336" s="494"/>
      <c r="D336" s="494"/>
      <c r="E336" s="494"/>
      <c r="F336" s="494"/>
      <c r="G336" s="494"/>
      <c r="H336" s="494"/>
      <c r="I336" s="494"/>
      <c r="J336" s="494"/>
      <c r="K336" s="494"/>
      <c r="L336" s="494"/>
    </row>
    <row r="337" spans="1:14" s="419" customFormat="1" x14ac:dyDescent="0.2">
      <c r="A337" s="496" t="s">
        <v>1513</v>
      </c>
      <c r="B337" s="497"/>
      <c r="C337" s="497"/>
      <c r="D337" s="497"/>
      <c r="E337" s="497"/>
      <c r="F337" s="497"/>
      <c r="G337" s="497"/>
      <c r="H337" s="497"/>
      <c r="I337" s="497"/>
      <c r="J337" s="497"/>
      <c r="K337" s="497"/>
      <c r="L337" s="497"/>
    </row>
    <row r="338" spans="1:14" s="419" customFormat="1" x14ac:dyDescent="0.2">
      <c r="A338" s="541"/>
      <c r="B338" s="541"/>
      <c r="C338" s="541"/>
      <c r="D338" s="541"/>
      <c r="E338" s="541"/>
      <c r="F338" s="541"/>
      <c r="G338" s="541"/>
      <c r="H338" s="541"/>
      <c r="I338" s="541"/>
      <c r="J338" s="541"/>
      <c r="K338" s="541"/>
      <c r="L338" s="541"/>
    </row>
    <row r="339" spans="1:14" s="419" customFormat="1" x14ac:dyDescent="0.2"/>
    <row r="340" spans="1:14" s="419" customFormat="1" x14ac:dyDescent="0.2">
      <c r="B340" s="542" t="s">
        <v>786</v>
      </c>
      <c r="D340" s="543"/>
      <c r="F340" s="543"/>
      <c r="H340" s="542" t="s">
        <v>787</v>
      </c>
      <c r="J340" s="543"/>
      <c r="L340" s="542" t="s">
        <v>788</v>
      </c>
    </row>
    <row r="341" spans="1:14" s="419" customFormat="1" x14ac:dyDescent="0.2">
      <c r="B341" s="544" t="s">
        <v>789</v>
      </c>
      <c r="D341" s="544" t="s">
        <v>790</v>
      </c>
      <c r="F341" s="544" t="s">
        <v>791</v>
      </c>
      <c r="H341" s="544" t="s">
        <v>792</v>
      </c>
      <c r="J341" s="544" t="s">
        <v>793</v>
      </c>
      <c r="L341" s="544" t="s">
        <v>789</v>
      </c>
    </row>
    <row r="342" spans="1:14" s="419" customFormat="1" x14ac:dyDescent="0.2">
      <c r="B342" s="545"/>
      <c r="D342" s="545"/>
      <c r="F342" s="545"/>
      <c r="H342" s="545"/>
      <c r="J342" s="545"/>
      <c r="L342" s="545"/>
    </row>
    <row r="343" spans="1:14" s="419" customFormat="1" x14ac:dyDescent="0.2">
      <c r="B343" s="545"/>
      <c r="D343" s="545"/>
      <c r="F343" s="545"/>
      <c r="H343" s="545"/>
      <c r="J343" s="545"/>
      <c r="L343" s="545"/>
    </row>
    <row r="344" spans="1:14" s="419" customFormat="1" x14ac:dyDescent="0.2">
      <c r="A344" s="419" t="s">
        <v>1371</v>
      </c>
      <c r="B344" s="545"/>
      <c r="D344" s="545"/>
      <c r="F344" s="545"/>
      <c r="H344" s="545"/>
      <c r="J344" s="545"/>
      <c r="L344" s="545"/>
    </row>
    <row r="345" spans="1:14" s="419" customFormat="1" x14ac:dyDescent="0.2">
      <c r="A345" s="419" t="s">
        <v>809</v>
      </c>
      <c r="B345" s="545"/>
      <c r="D345" s="545"/>
      <c r="F345" s="545"/>
      <c r="H345" s="545"/>
      <c r="J345" s="545"/>
      <c r="L345" s="545"/>
    </row>
    <row r="346" spans="1:14" s="419" customFormat="1" x14ac:dyDescent="0.2">
      <c r="A346" s="419" t="s">
        <v>811</v>
      </c>
      <c r="B346" s="545">
        <v>0</v>
      </c>
      <c r="D346" s="545">
        <v>0</v>
      </c>
      <c r="F346" s="545">
        <v>0</v>
      </c>
      <c r="H346" s="546">
        <v>73177.16</v>
      </c>
      <c r="J346" s="546">
        <v>73177.16</v>
      </c>
      <c r="L346" s="546">
        <v>73177.16</v>
      </c>
    </row>
    <row r="347" spans="1:14" s="419" customFormat="1" x14ac:dyDescent="0.2">
      <c r="B347" s="545">
        <v>0</v>
      </c>
      <c r="D347" s="545">
        <v>0</v>
      </c>
      <c r="F347" s="545">
        <v>0</v>
      </c>
      <c r="H347" s="546">
        <v>73177.16</v>
      </c>
      <c r="J347" s="546">
        <v>73177.16</v>
      </c>
      <c r="L347" s="546">
        <v>73177.16</v>
      </c>
    </row>
    <row r="348" spans="1:14" s="419" customFormat="1" x14ac:dyDescent="0.2">
      <c r="A348" s="395"/>
    </row>
    <row r="349" spans="1:14" s="419" customFormat="1" x14ac:dyDescent="0.2">
      <c r="A349" s="395" t="s">
        <v>891</v>
      </c>
      <c r="B349" s="547"/>
      <c r="C349" s="547"/>
      <c r="D349" s="547"/>
      <c r="E349" s="547"/>
      <c r="F349" s="547"/>
      <c r="G349" s="547"/>
      <c r="H349" s="547"/>
      <c r="I349" s="547"/>
      <c r="J349" s="547"/>
      <c r="K349" s="547"/>
      <c r="L349" s="547"/>
      <c r="M349" s="532"/>
      <c r="N349" s="531"/>
    </row>
    <row r="350" spans="1:14" s="419" customFormat="1" x14ac:dyDescent="0.2">
      <c r="A350" s="419" t="s">
        <v>1372</v>
      </c>
      <c r="B350" s="547">
        <v>0</v>
      </c>
      <c r="C350" s="547"/>
      <c r="D350" s="547">
        <v>0</v>
      </c>
      <c r="E350" s="547"/>
      <c r="F350" s="547">
        <v>0</v>
      </c>
      <c r="G350" s="547"/>
      <c r="H350" s="547">
        <v>0</v>
      </c>
      <c r="I350" s="547"/>
      <c r="J350" s="547">
        <v>0</v>
      </c>
      <c r="K350" s="547"/>
      <c r="L350" s="547">
        <v>0</v>
      </c>
      <c r="M350" s="532"/>
      <c r="N350" s="531"/>
    </row>
    <row r="351" spans="1:14" s="419" customFormat="1" x14ac:dyDescent="0.2">
      <c r="A351" s="419" t="s">
        <v>850</v>
      </c>
      <c r="B351" s="547">
        <v>0</v>
      </c>
      <c r="C351" s="547"/>
      <c r="D351" s="547">
        <v>0</v>
      </c>
      <c r="E351" s="547"/>
      <c r="F351" s="547">
        <v>0</v>
      </c>
      <c r="G351" s="547"/>
      <c r="H351" s="547">
        <v>0</v>
      </c>
      <c r="I351" s="547"/>
      <c r="J351" s="547">
        <v>0</v>
      </c>
      <c r="K351" s="547"/>
      <c r="L351" s="547">
        <v>0</v>
      </c>
      <c r="M351" s="532"/>
      <c r="N351" s="531"/>
    </row>
    <row r="352" spans="1:14" s="419" customFormat="1" x14ac:dyDescent="0.2">
      <c r="A352" s="419" t="s">
        <v>852</v>
      </c>
      <c r="B352" s="547">
        <v>483341.17</v>
      </c>
      <c r="C352" s="547"/>
      <c r="D352" s="547">
        <v>0</v>
      </c>
      <c r="E352" s="547"/>
      <c r="F352" s="547">
        <v>0</v>
      </c>
      <c r="G352" s="547"/>
      <c r="H352" s="547">
        <v>0</v>
      </c>
      <c r="I352" s="547"/>
      <c r="J352" s="547">
        <v>0</v>
      </c>
      <c r="K352" s="547"/>
      <c r="L352" s="547">
        <v>483341.17</v>
      </c>
      <c r="M352" s="532"/>
      <c r="N352" s="531"/>
    </row>
    <row r="353" spans="1:14" s="419" customFormat="1" x14ac:dyDescent="0.2">
      <c r="A353" s="419" t="s">
        <v>854</v>
      </c>
      <c r="B353" s="547">
        <v>0</v>
      </c>
      <c r="C353" s="547"/>
      <c r="D353" s="547">
        <v>0</v>
      </c>
      <c r="E353" s="547"/>
      <c r="F353" s="547">
        <v>0</v>
      </c>
      <c r="G353" s="547"/>
      <c r="H353" s="547">
        <v>0</v>
      </c>
      <c r="I353" s="547"/>
      <c r="J353" s="547">
        <v>0</v>
      </c>
      <c r="K353" s="547"/>
      <c r="L353" s="547">
        <v>0</v>
      </c>
      <c r="M353" s="532"/>
      <c r="N353" s="531"/>
    </row>
    <row r="354" spans="1:14" s="548" customFormat="1" x14ac:dyDescent="0.2">
      <c r="A354" s="548" t="s">
        <v>892</v>
      </c>
      <c r="B354" s="547">
        <v>0</v>
      </c>
      <c r="C354" s="547"/>
      <c r="D354" s="547">
        <v>0</v>
      </c>
      <c r="E354" s="547"/>
      <c r="F354" s="547">
        <v>0</v>
      </c>
      <c r="G354" s="547"/>
      <c r="H354" s="547">
        <v>0</v>
      </c>
      <c r="I354" s="547"/>
      <c r="J354" s="547">
        <v>0</v>
      </c>
      <c r="K354" s="547"/>
      <c r="L354" s="547">
        <v>0</v>
      </c>
      <c r="M354" s="532"/>
      <c r="N354" s="532"/>
    </row>
    <row r="355" spans="1:14" s="419" customFormat="1" x14ac:dyDescent="0.2">
      <c r="A355" s="419" t="s">
        <v>857</v>
      </c>
      <c r="B355" s="549">
        <v>0</v>
      </c>
      <c r="C355" s="547"/>
      <c r="D355" s="549">
        <v>0</v>
      </c>
      <c r="E355" s="547"/>
      <c r="F355" s="549">
        <v>0</v>
      </c>
      <c r="G355" s="547"/>
      <c r="H355" s="549">
        <v>0</v>
      </c>
      <c r="I355" s="547"/>
      <c r="J355" s="549">
        <v>0</v>
      </c>
      <c r="K355" s="547"/>
      <c r="L355" s="549">
        <v>0</v>
      </c>
      <c r="M355" s="532"/>
      <c r="N355" s="531"/>
    </row>
    <row r="356" spans="1:14" s="419" customFormat="1" x14ac:dyDescent="0.2">
      <c r="B356" s="547">
        <v>483341.17</v>
      </c>
      <c r="C356" s="547"/>
      <c r="D356" s="547">
        <v>0</v>
      </c>
      <c r="E356" s="547"/>
      <c r="F356" s="547">
        <v>0</v>
      </c>
      <c r="G356" s="547"/>
      <c r="H356" s="547">
        <v>0</v>
      </c>
      <c r="I356" s="547"/>
      <c r="J356" s="547">
        <v>0</v>
      </c>
      <c r="K356" s="547"/>
      <c r="L356" s="547">
        <v>483341.17</v>
      </c>
      <c r="M356" s="532"/>
      <c r="N356" s="531"/>
    </row>
    <row r="357" spans="1:14" s="419" customFormat="1" x14ac:dyDescent="0.2">
      <c r="B357" s="547"/>
      <c r="C357" s="543"/>
      <c r="D357" s="547"/>
      <c r="E357" s="543"/>
      <c r="F357" s="547"/>
      <c r="G357" s="543"/>
      <c r="H357" s="547"/>
      <c r="I357" s="543"/>
      <c r="J357" s="547"/>
      <c r="K357" s="543"/>
      <c r="L357" s="547"/>
      <c r="M357" s="531"/>
      <c r="N357" s="531"/>
    </row>
    <row r="358" spans="1:14" s="419" customFormat="1" x14ac:dyDescent="0.2">
      <c r="B358" s="543"/>
      <c r="C358" s="543"/>
      <c r="D358" s="543"/>
      <c r="E358" s="543"/>
      <c r="F358" s="543"/>
      <c r="G358" s="543"/>
      <c r="H358" s="543"/>
      <c r="I358" s="543"/>
      <c r="J358" s="543"/>
      <c r="K358" s="543"/>
      <c r="L358" s="543"/>
      <c r="M358" s="531"/>
      <c r="N358" s="531"/>
    </row>
    <row r="359" spans="1:14" s="419" customFormat="1" ht="13.5" thickBot="1" x14ac:dyDescent="0.25">
      <c r="A359" s="395" t="s">
        <v>1373</v>
      </c>
      <c r="B359" s="550">
        <v>483341.17</v>
      </c>
      <c r="C359" s="543"/>
      <c r="D359" s="550">
        <v>0</v>
      </c>
      <c r="E359" s="543"/>
      <c r="F359" s="550">
        <v>0</v>
      </c>
      <c r="G359" s="543"/>
      <c r="H359" s="550">
        <v>73177.16</v>
      </c>
      <c r="I359" s="543"/>
      <c r="J359" s="550">
        <v>73177.16</v>
      </c>
      <c r="K359" s="543"/>
      <c r="L359" s="550">
        <v>556518.32999999996</v>
      </c>
      <c r="M359" s="531"/>
      <c r="N359" s="531"/>
    </row>
    <row r="360" spans="1:14" ht="13.5" thickTop="1" x14ac:dyDescent="0.2"/>
  </sheetData>
  <mergeCells count="15">
    <mergeCell ref="A1:P1"/>
    <mergeCell ref="A335:L335"/>
    <mergeCell ref="A336:L336"/>
    <mergeCell ref="A337:L337"/>
    <mergeCell ref="A310:L310"/>
    <mergeCell ref="A308:L308"/>
    <mergeCell ref="A309:L309"/>
    <mergeCell ref="A273:P273"/>
    <mergeCell ref="A274:P274"/>
    <mergeCell ref="A275:P275"/>
    <mergeCell ref="A2:P2"/>
    <mergeCell ref="A3:P3"/>
    <mergeCell ref="A183:P183"/>
    <mergeCell ref="A184:P184"/>
    <mergeCell ref="A185:P185"/>
  </mergeCells>
  <phoneticPr fontId="10" type="noConversion"/>
  <pageMargins left="0.75" right="0.75" top="1" bottom="1" header="0.5" footer="0.5"/>
  <pageSetup scale="61" fitToHeight="0" orientation="landscape" r:id="rId1"/>
  <headerFooter alignWithMargins="0">
    <oddFooter>&amp;L&amp;Z
&amp;F&amp;C&amp;A&amp;R5.&amp;P</oddFooter>
  </headerFooter>
  <rowBreaks count="7" manualBreakCount="7">
    <brk id="43" max="13" man="1"/>
    <brk id="76" max="16383" man="1"/>
    <brk id="110" max="13" man="1"/>
    <brk id="146" max="16383" man="1"/>
    <brk id="176" max="16383" man="1"/>
    <brk id="251" max="16383" man="1"/>
    <brk id="28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0"/>
  <sheetViews>
    <sheetView zoomScale="85" zoomScaleNormal="85" workbookViewId="0">
      <selection activeCell="A4" sqref="A4"/>
    </sheetView>
  </sheetViews>
  <sheetFormatPr defaultRowHeight="12.75" x14ac:dyDescent="0.2"/>
  <cols>
    <col min="1" max="1" width="28.625" style="160" customWidth="1"/>
    <col min="2" max="2" width="12.125" style="164" customWidth="1"/>
    <col min="3" max="3" width="8.375" style="162" customWidth="1"/>
    <col min="4" max="4" width="15.875" style="163" customWidth="1"/>
    <col min="5" max="5" width="5" style="160" customWidth="1"/>
    <col min="6" max="6" width="10" style="160" customWidth="1"/>
    <col min="7" max="7" width="11.875" style="160" customWidth="1"/>
    <col min="8" max="8" width="25.875" style="160" bestFit="1" customWidth="1"/>
    <col min="9" max="9" width="15.5" style="160" bestFit="1" customWidth="1"/>
    <col min="10" max="16384" width="9" style="160"/>
  </cols>
  <sheetData>
    <row r="1" spans="1:9" ht="15.75" x14ac:dyDescent="0.25">
      <c r="A1" s="498" t="s">
        <v>940</v>
      </c>
      <c r="B1" s="498"/>
      <c r="C1" s="498"/>
      <c r="D1" s="498"/>
      <c r="E1" s="498"/>
      <c r="F1" s="498"/>
      <c r="G1" s="498"/>
      <c r="H1" s="498"/>
      <c r="I1" s="498"/>
    </row>
    <row r="2" spans="1:9" ht="15.75" x14ac:dyDescent="0.25">
      <c r="A2" s="498" t="s">
        <v>355</v>
      </c>
      <c r="B2" s="498"/>
      <c r="C2" s="498"/>
      <c r="D2" s="498"/>
      <c r="E2" s="498"/>
      <c r="F2" s="498"/>
      <c r="G2" s="498"/>
      <c r="H2" s="498"/>
      <c r="I2" s="498"/>
    </row>
    <row r="3" spans="1:9" ht="15.75" x14ac:dyDescent="0.25">
      <c r="A3" s="499" t="s">
        <v>1512</v>
      </c>
      <c r="B3" s="498"/>
      <c r="C3" s="498"/>
      <c r="D3" s="498"/>
      <c r="E3" s="498"/>
      <c r="F3" s="498"/>
      <c r="G3" s="498"/>
      <c r="H3" s="498"/>
      <c r="I3" s="498"/>
    </row>
    <row r="4" spans="1:9" ht="15.75" x14ac:dyDescent="0.25">
      <c r="A4" s="224"/>
      <c r="B4" s="226"/>
      <c r="C4" s="227"/>
      <c r="D4" s="228"/>
      <c r="E4" s="224"/>
      <c r="F4" s="224"/>
      <c r="G4" s="224"/>
      <c r="H4" s="224"/>
      <c r="I4" s="224"/>
    </row>
    <row r="5" spans="1:9" s="161" customFormat="1" ht="15.75" x14ac:dyDescent="0.25">
      <c r="A5" s="225" t="s">
        <v>356</v>
      </c>
      <c r="B5" s="229" t="s">
        <v>357</v>
      </c>
      <c r="C5" s="230" t="s">
        <v>358</v>
      </c>
      <c r="D5" s="231" t="s">
        <v>1265</v>
      </c>
      <c r="E5" s="232" t="s">
        <v>359</v>
      </c>
      <c r="F5" s="225" t="s">
        <v>360</v>
      </c>
      <c r="G5" s="225" t="s">
        <v>361</v>
      </c>
      <c r="H5" s="225" t="s">
        <v>362</v>
      </c>
      <c r="I5" s="232" t="s">
        <v>363</v>
      </c>
    </row>
    <row r="6" spans="1:9" ht="15.75" x14ac:dyDescent="0.25">
      <c r="A6" s="306" t="s">
        <v>364</v>
      </c>
      <c r="B6" s="307">
        <v>33724</v>
      </c>
      <c r="C6" s="310">
        <v>1</v>
      </c>
      <c r="D6" s="309">
        <v>280370.75</v>
      </c>
      <c r="E6" s="388">
        <v>110</v>
      </c>
      <c r="F6" s="388">
        <v>135010</v>
      </c>
      <c r="G6" s="388">
        <v>15667943</v>
      </c>
      <c r="H6" s="306" t="s">
        <v>365</v>
      </c>
      <c r="I6" s="306" t="s">
        <v>366</v>
      </c>
    </row>
    <row r="7" spans="1:9" ht="15.75" x14ac:dyDescent="0.25">
      <c r="A7" s="306" t="s">
        <v>367</v>
      </c>
      <c r="B7" s="307">
        <v>31777</v>
      </c>
      <c r="C7" s="310">
        <v>13</v>
      </c>
      <c r="D7" s="308">
        <v>401394.19</v>
      </c>
      <c r="E7" s="388">
        <v>110</v>
      </c>
      <c r="F7" s="388">
        <v>135400</v>
      </c>
      <c r="G7" s="388">
        <v>15986566</v>
      </c>
      <c r="H7" s="306" t="s">
        <v>1266</v>
      </c>
      <c r="I7" s="306" t="s">
        <v>366</v>
      </c>
    </row>
    <row r="8" spans="1:9" ht="15.75" x14ac:dyDescent="0.25">
      <c r="A8" s="306" t="s">
        <v>368</v>
      </c>
      <c r="B8" s="307">
        <v>31777</v>
      </c>
      <c r="C8" s="310">
        <v>4</v>
      </c>
      <c r="D8" s="308">
        <v>128159.45</v>
      </c>
      <c r="E8" s="388">
        <v>110</v>
      </c>
      <c r="F8" s="388">
        <v>135400</v>
      </c>
      <c r="G8" s="388">
        <v>15986601</v>
      </c>
      <c r="H8" s="306" t="s">
        <v>1266</v>
      </c>
      <c r="I8" s="306" t="s">
        <v>366</v>
      </c>
    </row>
    <row r="9" spans="1:9" ht="15.75" x14ac:dyDescent="0.25">
      <c r="A9" s="306" t="s">
        <v>369</v>
      </c>
      <c r="B9" s="307">
        <v>31777</v>
      </c>
      <c r="C9" s="310">
        <v>19</v>
      </c>
      <c r="D9" s="308">
        <v>1187826.03</v>
      </c>
      <c r="E9" s="388">
        <v>110</v>
      </c>
      <c r="F9" s="388">
        <v>135400</v>
      </c>
      <c r="G9" s="388">
        <v>15986671</v>
      </c>
      <c r="H9" s="306" t="s">
        <v>1266</v>
      </c>
      <c r="I9" s="306" t="s">
        <v>366</v>
      </c>
    </row>
    <row r="10" spans="1:9" ht="15.75" x14ac:dyDescent="0.25">
      <c r="A10" s="306" t="s">
        <v>370</v>
      </c>
      <c r="B10" s="307">
        <v>31777</v>
      </c>
      <c r="C10" s="310">
        <v>4</v>
      </c>
      <c r="D10" s="308">
        <v>223405.59</v>
      </c>
      <c r="E10" s="388">
        <v>110</v>
      </c>
      <c r="F10" s="388">
        <v>135400</v>
      </c>
      <c r="G10" s="388">
        <v>15986446</v>
      </c>
      <c r="H10" s="306" t="s">
        <v>1266</v>
      </c>
      <c r="I10" s="306" t="s">
        <v>366</v>
      </c>
    </row>
    <row r="11" spans="1:9" ht="15.75" x14ac:dyDescent="0.25">
      <c r="A11" s="306" t="s">
        <v>371</v>
      </c>
      <c r="B11" s="307">
        <v>31777</v>
      </c>
      <c r="C11" s="310">
        <v>18</v>
      </c>
      <c r="D11" s="308">
        <v>784428.75</v>
      </c>
      <c r="E11" s="388">
        <v>110</v>
      </c>
      <c r="F11" s="388">
        <v>135400</v>
      </c>
      <c r="G11" s="388">
        <v>15986489</v>
      </c>
      <c r="H11" s="306" t="s">
        <v>1266</v>
      </c>
      <c r="I11" s="306" t="s">
        <v>366</v>
      </c>
    </row>
    <row r="12" spans="1:9" ht="15.75" x14ac:dyDescent="0.25">
      <c r="A12" s="306" t="s">
        <v>372</v>
      </c>
      <c r="B12" s="307">
        <v>31777</v>
      </c>
      <c r="C12" s="310">
        <v>4</v>
      </c>
      <c r="D12" s="308">
        <v>312627.28000000003</v>
      </c>
      <c r="E12" s="388">
        <v>110</v>
      </c>
      <c r="F12" s="388">
        <v>135400</v>
      </c>
      <c r="G12" s="388">
        <v>15986496</v>
      </c>
      <c r="H12" s="306" t="s">
        <v>1266</v>
      </c>
      <c r="I12" s="306" t="s">
        <v>366</v>
      </c>
    </row>
    <row r="13" spans="1:9" ht="15.75" x14ac:dyDescent="0.25">
      <c r="A13" s="306" t="s">
        <v>373</v>
      </c>
      <c r="B13" s="307">
        <v>31777</v>
      </c>
      <c r="C13" s="310">
        <v>11</v>
      </c>
      <c r="D13" s="308">
        <v>830088.05</v>
      </c>
      <c r="E13" s="388">
        <v>110</v>
      </c>
      <c r="F13" s="388">
        <v>135400</v>
      </c>
      <c r="G13" s="388">
        <v>15986517</v>
      </c>
      <c r="H13" s="306" t="s">
        <v>1266</v>
      </c>
      <c r="I13" s="306" t="s">
        <v>366</v>
      </c>
    </row>
    <row r="14" spans="1:9" ht="15.75" x14ac:dyDescent="0.25">
      <c r="A14" s="306" t="s">
        <v>374</v>
      </c>
      <c r="B14" s="307">
        <v>31777</v>
      </c>
      <c r="C14" s="310">
        <v>2</v>
      </c>
      <c r="D14" s="308">
        <v>168454.43</v>
      </c>
      <c r="E14" s="388">
        <v>110</v>
      </c>
      <c r="F14" s="388">
        <v>135400</v>
      </c>
      <c r="G14" s="388">
        <v>15986524</v>
      </c>
      <c r="H14" s="306" t="s">
        <v>1266</v>
      </c>
      <c r="I14" s="306" t="s">
        <v>366</v>
      </c>
    </row>
    <row r="15" spans="1:9" ht="15.75" x14ac:dyDescent="0.25">
      <c r="A15" s="306" t="s">
        <v>375</v>
      </c>
      <c r="B15" s="307">
        <v>31777</v>
      </c>
      <c r="C15" s="310">
        <v>12</v>
      </c>
      <c r="D15" s="308">
        <v>363713.82</v>
      </c>
      <c r="E15" s="388">
        <v>110</v>
      </c>
      <c r="F15" s="388">
        <v>135400</v>
      </c>
      <c r="G15" s="388">
        <v>15986531</v>
      </c>
      <c r="H15" s="306" t="s">
        <v>1266</v>
      </c>
      <c r="I15" s="306" t="s">
        <v>366</v>
      </c>
    </row>
    <row r="16" spans="1:9" ht="15.75" x14ac:dyDescent="0.25">
      <c r="A16" s="306" t="s">
        <v>376</v>
      </c>
      <c r="B16" s="307">
        <v>31777</v>
      </c>
      <c r="C16" s="310">
        <v>8</v>
      </c>
      <c r="D16" s="308">
        <v>288709.93</v>
      </c>
      <c r="E16" s="388">
        <v>110</v>
      </c>
      <c r="F16" s="388">
        <v>135400</v>
      </c>
      <c r="G16" s="388">
        <v>15986538</v>
      </c>
      <c r="H16" s="306" t="s">
        <v>1266</v>
      </c>
      <c r="I16" s="306" t="s">
        <v>366</v>
      </c>
    </row>
    <row r="17" spans="1:9" ht="15.75" x14ac:dyDescent="0.25">
      <c r="A17" s="306" t="s">
        <v>377</v>
      </c>
      <c r="B17" s="307">
        <v>31777</v>
      </c>
      <c r="C17" s="310">
        <v>1</v>
      </c>
      <c r="D17" s="308">
        <v>80515.350000000006</v>
      </c>
      <c r="E17" s="388">
        <v>110</v>
      </c>
      <c r="F17" s="388">
        <v>135400</v>
      </c>
      <c r="G17" s="388">
        <v>15986545</v>
      </c>
      <c r="H17" s="306" t="s">
        <v>1266</v>
      </c>
      <c r="I17" s="306" t="s">
        <v>366</v>
      </c>
    </row>
    <row r="18" spans="1:9" ht="15.75" x14ac:dyDescent="0.25">
      <c r="A18" s="306" t="s">
        <v>378</v>
      </c>
      <c r="B18" s="307">
        <v>38595</v>
      </c>
      <c r="C18" s="310">
        <v>1</v>
      </c>
      <c r="D18" s="308">
        <v>3894.47</v>
      </c>
      <c r="E18" s="388">
        <v>110</v>
      </c>
      <c r="F18" s="388">
        <v>135500</v>
      </c>
      <c r="G18" s="388">
        <v>15774276</v>
      </c>
      <c r="H18" s="306" t="s">
        <v>379</v>
      </c>
      <c r="I18" s="306" t="s">
        <v>366</v>
      </c>
    </row>
    <row r="19" spans="1:9" ht="15.75" x14ac:dyDescent="0.25">
      <c r="A19" s="306" t="s">
        <v>380</v>
      </c>
      <c r="B19" s="307">
        <v>33238</v>
      </c>
      <c r="C19" s="310">
        <v>8</v>
      </c>
      <c r="D19" s="308">
        <v>1626.87</v>
      </c>
      <c r="E19" s="388">
        <v>110</v>
      </c>
      <c r="F19" s="388">
        <v>135500</v>
      </c>
      <c r="G19" s="388">
        <v>15774367</v>
      </c>
      <c r="H19" s="306" t="s">
        <v>381</v>
      </c>
      <c r="I19" s="306" t="s">
        <v>366</v>
      </c>
    </row>
    <row r="20" spans="1:9" ht="15.75" x14ac:dyDescent="0.25">
      <c r="A20" s="306" t="s">
        <v>382</v>
      </c>
      <c r="B20" s="307">
        <v>31777</v>
      </c>
      <c r="C20" s="310">
        <v>18</v>
      </c>
      <c r="D20" s="308">
        <v>4081.53</v>
      </c>
      <c r="E20" s="388">
        <v>110</v>
      </c>
      <c r="F20" s="388">
        <v>135500</v>
      </c>
      <c r="G20" s="388">
        <v>15775606</v>
      </c>
      <c r="H20" s="306" t="s">
        <v>383</v>
      </c>
      <c r="I20" s="306" t="s">
        <v>366</v>
      </c>
    </row>
    <row r="21" spans="1:9" ht="15.75" x14ac:dyDescent="0.25">
      <c r="A21" s="306" t="s">
        <v>384</v>
      </c>
      <c r="B21" s="307">
        <v>31777</v>
      </c>
      <c r="C21" s="310">
        <v>48</v>
      </c>
      <c r="D21" s="312">
        <v>21883.71</v>
      </c>
      <c r="E21" s="388">
        <v>110</v>
      </c>
      <c r="F21" s="388">
        <v>135500</v>
      </c>
      <c r="G21" s="388">
        <v>15776474</v>
      </c>
      <c r="H21" s="306" t="s">
        <v>385</v>
      </c>
      <c r="I21" s="306" t="s">
        <v>366</v>
      </c>
    </row>
    <row r="22" spans="1:9" ht="15.75" x14ac:dyDescent="0.25">
      <c r="A22" s="306" t="s">
        <v>386</v>
      </c>
      <c r="B22" s="307">
        <v>31777</v>
      </c>
      <c r="C22" s="310">
        <v>26</v>
      </c>
      <c r="D22" s="312">
        <v>16136.36</v>
      </c>
      <c r="E22" s="388">
        <v>110</v>
      </c>
      <c r="F22" s="388">
        <v>135500</v>
      </c>
      <c r="G22" s="388">
        <v>15772113</v>
      </c>
      <c r="H22" s="306" t="s">
        <v>387</v>
      </c>
      <c r="I22" s="306" t="s">
        <v>366</v>
      </c>
    </row>
    <row r="23" spans="1:9" ht="15.75" x14ac:dyDescent="0.25">
      <c r="A23" s="306" t="s">
        <v>388</v>
      </c>
      <c r="B23" s="307">
        <v>31777</v>
      </c>
      <c r="C23" s="310">
        <v>2</v>
      </c>
      <c r="D23" s="312">
        <v>2436.6999999999998</v>
      </c>
      <c r="E23" s="388">
        <v>110</v>
      </c>
      <c r="F23" s="388">
        <v>135500</v>
      </c>
      <c r="G23" s="388">
        <v>15773303</v>
      </c>
      <c r="H23" s="306" t="s">
        <v>389</v>
      </c>
      <c r="I23" s="306" t="s">
        <v>366</v>
      </c>
    </row>
    <row r="24" spans="1:9" ht="15.75" x14ac:dyDescent="0.25">
      <c r="A24" s="306" t="s">
        <v>390</v>
      </c>
      <c r="B24" s="307">
        <v>31777</v>
      </c>
      <c r="C24" s="310">
        <v>1</v>
      </c>
      <c r="D24" s="312">
        <v>1298.3399999999999</v>
      </c>
      <c r="E24" s="388">
        <v>110</v>
      </c>
      <c r="F24" s="388">
        <v>135500</v>
      </c>
      <c r="G24" s="388">
        <v>15773779</v>
      </c>
      <c r="H24" s="306" t="s">
        <v>391</v>
      </c>
      <c r="I24" s="306" t="s">
        <v>366</v>
      </c>
    </row>
    <row r="25" spans="1:9" ht="15.75" x14ac:dyDescent="0.25">
      <c r="A25" s="346" t="s">
        <v>1312</v>
      </c>
      <c r="B25" s="347">
        <v>40056</v>
      </c>
      <c r="C25" s="348">
        <v>100</v>
      </c>
      <c r="D25" s="312">
        <v>5569.77</v>
      </c>
      <c r="E25" s="389">
        <v>110</v>
      </c>
      <c r="F25" s="389">
        <v>135600</v>
      </c>
      <c r="G25" s="389">
        <v>16694063</v>
      </c>
      <c r="H25" s="349" t="s">
        <v>1313</v>
      </c>
      <c r="I25" s="346" t="s">
        <v>366</v>
      </c>
    </row>
    <row r="26" spans="1:9" ht="15.75" x14ac:dyDescent="0.25">
      <c r="A26" s="306" t="s">
        <v>392</v>
      </c>
      <c r="B26" s="307">
        <v>31777</v>
      </c>
      <c r="C26" s="310">
        <v>239474</v>
      </c>
      <c r="D26" s="312">
        <v>523304.25</v>
      </c>
      <c r="E26" s="388">
        <v>110</v>
      </c>
      <c r="F26" s="388">
        <v>135600</v>
      </c>
      <c r="G26" s="388">
        <v>15995287</v>
      </c>
      <c r="H26" s="306" t="s">
        <v>393</v>
      </c>
      <c r="I26" s="306" t="s">
        <v>366</v>
      </c>
    </row>
    <row r="27" spans="1:9" ht="15.75" x14ac:dyDescent="0.25">
      <c r="A27" s="306" t="s">
        <v>392</v>
      </c>
      <c r="B27" s="307">
        <v>31777</v>
      </c>
      <c r="C27" s="310">
        <v>899921</v>
      </c>
      <c r="D27" s="312">
        <v>1966521.98</v>
      </c>
      <c r="E27" s="388">
        <v>110</v>
      </c>
      <c r="F27" s="388">
        <v>135600</v>
      </c>
      <c r="G27" s="388">
        <v>15995294</v>
      </c>
      <c r="H27" s="306" t="s">
        <v>393</v>
      </c>
      <c r="I27" s="306" t="s">
        <v>366</v>
      </c>
    </row>
    <row r="28" spans="1:9" ht="15.75" x14ac:dyDescent="0.25">
      <c r="A28" s="306" t="s">
        <v>394</v>
      </c>
      <c r="B28" s="307">
        <v>31777</v>
      </c>
      <c r="C28" s="310">
        <v>236660</v>
      </c>
      <c r="D28" s="308">
        <v>154044.06</v>
      </c>
      <c r="E28" s="388">
        <v>110</v>
      </c>
      <c r="F28" s="388">
        <v>135600</v>
      </c>
      <c r="G28" s="388">
        <v>15995679</v>
      </c>
      <c r="H28" s="306" t="s">
        <v>395</v>
      </c>
      <c r="I28" s="306" t="s">
        <v>366</v>
      </c>
    </row>
    <row r="29" spans="1:9" ht="15.75" x14ac:dyDescent="0.25">
      <c r="A29" s="306" t="s">
        <v>396</v>
      </c>
      <c r="B29" s="307">
        <v>31777</v>
      </c>
      <c r="C29" s="310">
        <v>22659</v>
      </c>
      <c r="D29" s="311">
        <v>479937.75</v>
      </c>
      <c r="E29" s="388">
        <v>110</v>
      </c>
      <c r="F29" s="388">
        <v>135600</v>
      </c>
      <c r="G29" s="388">
        <v>15995056</v>
      </c>
      <c r="H29" s="306" t="s">
        <v>397</v>
      </c>
      <c r="I29" s="306" t="s">
        <v>366</v>
      </c>
    </row>
    <row r="30" spans="1:9" ht="15.75" x14ac:dyDescent="0.25">
      <c r="A30" s="306" t="s">
        <v>589</v>
      </c>
      <c r="B30" s="305"/>
      <c r="C30" s="305"/>
      <c r="D30" s="309">
        <v>8230429.4099999992</v>
      </c>
      <c r="E30" s="305"/>
      <c r="F30" s="305"/>
      <c r="G30" s="305"/>
      <c r="H30" s="305"/>
      <c r="I30" s="305"/>
    </row>
  </sheetData>
  <mergeCells count="3">
    <mergeCell ref="A1:I1"/>
    <mergeCell ref="A2:I2"/>
    <mergeCell ref="A3:I3"/>
  </mergeCells>
  <phoneticPr fontId="10" type="noConversion"/>
  <printOptions horizontalCentered="1"/>
  <pageMargins left="0.5" right="0.5" top="1" bottom="1" header="0.5" footer="0.5"/>
  <pageSetup scale="84" orientation="landscape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57"/>
  <sheetViews>
    <sheetView topLeftCell="A28" zoomScaleNormal="100" workbookViewId="0">
      <selection activeCell="E53" sqref="E53"/>
    </sheetView>
  </sheetViews>
  <sheetFormatPr defaultColWidth="7.125" defaultRowHeight="12.75" x14ac:dyDescent="0.2"/>
  <cols>
    <col min="1" max="1" width="6.125" style="258" customWidth="1"/>
    <col min="2" max="2" width="8.375" style="378" bestFit="1" customWidth="1"/>
    <col min="3" max="3" width="27.75" style="259" customWidth="1"/>
    <col min="4" max="6" width="14.375" style="260" customWidth="1"/>
    <col min="7" max="7" width="17" style="260" bestFit="1" customWidth="1"/>
    <col min="8" max="8" width="15.125" style="252" customWidth="1"/>
    <col min="9" max="16384" width="7.125" style="252"/>
  </cols>
  <sheetData>
    <row r="1" spans="1:8" ht="18" x14ac:dyDescent="0.25">
      <c r="A1" s="500" t="s">
        <v>1282</v>
      </c>
      <c r="B1" s="500"/>
      <c r="C1" s="500"/>
      <c r="D1" s="500"/>
      <c r="E1" s="500"/>
      <c r="F1" s="500"/>
      <c r="G1" s="500"/>
    </row>
    <row r="2" spans="1:8" ht="15.75" x14ac:dyDescent="0.25">
      <c r="A2" s="501" t="s">
        <v>1512</v>
      </c>
      <c r="B2" s="501"/>
      <c r="C2" s="501"/>
      <c r="D2" s="501"/>
      <c r="E2" s="501"/>
      <c r="F2" s="501"/>
      <c r="G2" s="501"/>
    </row>
    <row r="3" spans="1:8" x14ac:dyDescent="0.2">
      <c r="A3" s="253"/>
      <c r="B3" s="374"/>
      <c r="C3" s="254"/>
      <c r="D3" s="255"/>
      <c r="E3" s="255"/>
      <c r="F3" s="255"/>
      <c r="G3" s="255"/>
    </row>
    <row r="4" spans="1:8" x14ac:dyDescent="0.2">
      <c r="A4" s="223" t="s">
        <v>848</v>
      </c>
      <c r="B4" s="374"/>
      <c r="C4" s="254"/>
      <c r="D4" s="255"/>
      <c r="E4" s="255"/>
      <c r="F4" s="255"/>
      <c r="G4" s="255"/>
    </row>
    <row r="5" spans="1:8" x14ac:dyDescent="0.2">
      <c r="A5" s="243" t="s">
        <v>1016</v>
      </c>
      <c r="B5" s="375" t="s">
        <v>648</v>
      </c>
      <c r="C5" s="243" t="s">
        <v>649</v>
      </c>
      <c r="D5" s="244" t="s">
        <v>650</v>
      </c>
      <c r="E5" s="244" t="s">
        <v>651</v>
      </c>
      <c r="F5" s="244" t="s">
        <v>652</v>
      </c>
      <c r="G5" s="245" t="s">
        <v>653</v>
      </c>
      <c r="H5" s="158" t="s">
        <v>739</v>
      </c>
    </row>
    <row r="6" spans="1:8" x14ac:dyDescent="0.2">
      <c r="A6" s="253" t="s">
        <v>1018</v>
      </c>
      <c r="B6" s="376">
        <v>1311</v>
      </c>
      <c r="C6" s="254" t="s">
        <v>654</v>
      </c>
      <c r="D6" s="255">
        <v>993310.56</v>
      </c>
      <c r="E6" s="255">
        <v>903224.24</v>
      </c>
      <c r="F6" s="255">
        <v>503635.13</v>
      </c>
      <c r="G6" s="255">
        <v>1155514.49</v>
      </c>
      <c r="H6" s="256">
        <f>SUM(D6:G6)</f>
        <v>3555684.42</v>
      </c>
    </row>
    <row r="7" spans="1:8" x14ac:dyDescent="0.2">
      <c r="A7" s="253"/>
      <c r="B7" s="376">
        <v>1312</v>
      </c>
      <c r="C7" s="254" t="s">
        <v>655</v>
      </c>
      <c r="D7" s="255">
        <v>5198104.3100000005</v>
      </c>
      <c r="E7" s="255">
        <v>5098326.9700000007</v>
      </c>
      <c r="F7" s="255">
        <v>5025223.12</v>
      </c>
      <c r="G7" s="255">
        <v>13072690.969999999</v>
      </c>
      <c r="H7" s="256">
        <f>SUM(D7:G7)</f>
        <v>28394345.370000001</v>
      </c>
    </row>
    <row r="8" spans="1:8" x14ac:dyDescent="0.2">
      <c r="A8" s="253"/>
      <c r="B8" s="376">
        <v>1314</v>
      </c>
      <c r="C8" s="254" t="s">
        <v>656</v>
      </c>
      <c r="D8" s="255">
        <v>1442565.52</v>
      </c>
      <c r="E8" s="255">
        <v>1435841.88</v>
      </c>
      <c r="F8" s="255">
        <v>408331.44999999995</v>
      </c>
      <c r="G8" s="255">
        <v>889566.00000000012</v>
      </c>
      <c r="H8" s="256">
        <f>SUM(D8:G8)</f>
        <v>4176304.8499999996</v>
      </c>
    </row>
    <row r="9" spans="1:8" x14ac:dyDescent="0.2">
      <c r="A9" s="253"/>
      <c r="B9" s="376">
        <v>1315</v>
      </c>
      <c r="C9" s="254" t="s">
        <v>657</v>
      </c>
      <c r="D9" s="255">
        <v>945939.24</v>
      </c>
      <c r="E9" s="255">
        <v>915430.21</v>
      </c>
      <c r="F9" s="255">
        <v>296124.48999999993</v>
      </c>
      <c r="G9" s="255">
        <v>730168.94000000018</v>
      </c>
      <c r="H9" s="256">
        <f>SUM(D9:G9)</f>
        <v>2887662.88</v>
      </c>
    </row>
    <row r="10" spans="1:8" x14ac:dyDescent="0.2">
      <c r="A10" s="253"/>
      <c r="B10" s="376">
        <v>1316</v>
      </c>
      <c r="C10" s="254" t="s">
        <v>658</v>
      </c>
      <c r="D10" s="255">
        <v>91346</v>
      </c>
      <c r="E10" s="255">
        <v>85127</v>
      </c>
      <c r="F10" s="255">
        <v>27184.719999999998</v>
      </c>
      <c r="G10" s="255">
        <v>58225.81</v>
      </c>
      <c r="H10" s="256">
        <f>SUM(D10:G10)</f>
        <v>261883.53</v>
      </c>
    </row>
    <row r="11" spans="1:8" ht="13.5" thickBot="1" x14ac:dyDescent="0.25">
      <c r="A11" s="253"/>
      <c r="B11" s="376"/>
      <c r="C11" s="254"/>
      <c r="D11" s="246">
        <f>SUM(D6:D10)</f>
        <v>8671265.6300000008</v>
      </c>
      <c r="E11" s="246">
        <f>SUM(E6:E10)</f>
        <v>8437950.3000000007</v>
      </c>
      <c r="F11" s="246">
        <f>SUM(F6:F10)</f>
        <v>6260498.9100000001</v>
      </c>
      <c r="G11" s="246">
        <f>SUM(G6:G10)</f>
        <v>15906166.209999999</v>
      </c>
      <c r="H11" s="159">
        <f>SUM(H6:H10)</f>
        <v>39275881.050000004</v>
      </c>
    </row>
    <row r="12" spans="1:8" ht="13.5" thickTop="1" x14ac:dyDescent="0.2">
      <c r="A12" s="253"/>
      <c r="B12" s="376"/>
      <c r="C12" s="254"/>
      <c r="D12" s="255"/>
      <c r="E12" s="255"/>
      <c r="F12" s="255"/>
      <c r="G12" s="255"/>
    </row>
    <row r="13" spans="1:8" x14ac:dyDescent="0.2">
      <c r="A13" s="253"/>
      <c r="B13" s="376"/>
      <c r="C13" s="254"/>
      <c r="D13" s="255"/>
      <c r="E13" s="255"/>
      <c r="F13" s="255"/>
      <c r="G13" s="255"/>
    </row>
    <row r="14" spans="1:8" x14ac:dyDescent="0.2">
      <c r="A14" s="247" t="s">
        <v>824</v>
      </c>
      <c r="B14" s="374"/>
      <c r="C14" s="254"/>
      <c r="D14" s="255"/>
      <c r="E14" s="255"/>
      <c r="F14" s="255"/>
      <c r="G14" s="255"/>
    </row>
    <row r="15" spans="1:8" x14ac:dyDescent="0.2">
      <c r="A15" s="243" t="s">
        <v>1016</v>
      </c>
      <c r="B15" s="375" t="s">
        <v>648</v>
      </c>
      <c r="C15" s="243" t="s">
        <v>649</v>
      </c>
      <c r="D15" s="244" t="s">
        <v>650</v>
      </c>
      <c r="E15" s="244" t="s">
        <v>651</v>
      </c>
      <c r="F15" s="244" t="s">
        <v>652</v>
      </c>
      <c r="G15" s="245" t="s">
        <v>653</v>
      </c>
      <c r="H15" s="158" t="s">
        <v>739</v>
      </c>
    </row>
    <row r="16" spans="1:8" x14ac:dyDescent="0.2">
      <c r="A16" s="253" t="s">
        <v>1018</v>
      </c>
      <c r="B16" s="376">
        <v>1332</v>
      </c>
      <c r="C16" s="257" t="s">
        <v>659</v>
      </c>
      <c r="D16" s="255">
        <v>0</v>
      </c>
      <c r="E16" s="255">
        <v>0</v>
      </c>
      <c r="F16" s="255">
        <v>10594.5</v>
      </c>
      <c r="G16" s="255">
        <v>32357.82</v>
      </c>
      <c r="H16" s="256">
        <f>SUM(D16:G16)</f>
        <v>42952.32</v>
      </c>
    </row>
    <row r="17" spans="1:8" x14ac:dyDescent="0.2">
      <c r="A17" s="253" t="s">
        <v>1018</v>
      </c>
      <c r="B17" s="376">
        <v>1333</v>
      </c>
      <c r="C17" s="380" t="s">
        <v>1357</v>
      </c>
      <c r="D17" s="255">
        <v>0</v>
      </c>
      <c r="E17" s="255">
        <v>0</v>
      </c>
      <c r="F17" s="255">
        <v>4659.8900000000003</v>
      </c>
      <c r="G17" s="255">
        <v>11554.330000000002</v>
      </c>
      <c r="H17" s="256">
        <f>SUM(D17:G17)</f>
        <v>16214.220000000001</v>
      </c>
    </row>
    <row r="18" spans="1:8" s="353" customFormat="1" x14ac:dyDescent="0.2">
      <c r="A18" s="253" t="s">
        <v>1018</v>
      </c>
      <c r="B18" s="376">
        <v>1335</v>
      </c>
      <c r="C18" s="254" t="s">
        <v>658</v>
      </c>
      <c r="D18" s="255">
        <v>262</v>
      </c>
      <c r="E18" s="255">
        <v>558</v>
      </c>
      <c r="F18" s="255">
        <v>0</v>
      </c>
      <c r="G18" s="255">
        <v>0</v>
      </c>
      <c r="H18" s="352">
        <f>SUM(D18:G18)</f>
        <v>820</v>
      </c>
    </row>
    <row r="19" spans="1:8" ht="13.5" thickBot="1" x14ac:dyDescent="0.25">
      <c r="A19" s="253"/>
      <c r="B19" s="376"/>
      <c r="C19" s="257"/>
      <c r="D19" s="246">
        <f>SUM(D16:D18)</f>
        <v>262</v>
      </c>
      <c r="E19" s="246">
        <f>SUM(E16:E18)</f>
        <v>558</v>
      </c>
      <c r="F19" s="246">
        <f>SUM(F16:F18)</f>
        <v>15254.39</v>
      </c>
      <c r="G19" s="246">
        <f>SUM(G16:G18)</f>
        <v>43912.15</v>
      </c>
      <c r="H19" s="159">
        <f>SUM(H16:H18)</f>
        <v>59986.54</v>
      </c>
    </row>
    <row r="20" spans="1:8" ht="13.5" thickTop="1" x14ac:dyDescent="0.2">
      <c r="A20" s="253"/>
      <c r="B20" s="376"/>
      <c r="C20" s="257"/>
      <c r="D20" s="255"/>
      <c r="E20" s="255"/>
      <c r="F20" s="255"/>
      <c r="G20" s="255"/>
    </row>
    <row r="21" spans="1:8" x14ac:dyDescent="0.2">
      <c r="A21" s="253"/>
      <c r="B21" s="376"/>
      <c r="C21" s="257"/>
      <c r="D21" s="255"/>
      <c r="E21" s="255"/>
      <c r="F21" s="255"/>
      <c r="G21" s="255"/>
    </row>
    <row r="22" spans="1:8" x14ac:dyDescent="0.2">
      <c r="A22" s="247" t="s">
        <v>837</v>
      </c>
      <c r="B22" s="374"/>
      <c r="C22" s="254"/>
      <c r="D22" s="255"/>
      <c r="E22" s="255"/>
      <c r="F22" s="255"/>
      <c r="G22" s="255"/>
    </row>
    <row r="23" spans="1:8" x14ac:dyDescent="0.2">
      <c r="A23" s="243" t="s">
        <v>1016</v>
      </c>
      <c r="B23" s="375" t="s">
        <v>648</v>
      </c>
      <c r="C23" s="243" t="s">
        <v>649</v>
      </c>
      <c r="D23" s="244" t="s">
        <v>650</v>
      </c>
      <c r="E23" s="244" t="s">
        <v>651</v>
      </c>
      <c r="F23" s="244" t="s">
        <v>652</v>
      </c>
      <c r="G23" s="245" t="s">
        <v>653</v>
      </c>
      <c r="H23" s="158" t="s">
        <v>739</v>
      </c>
    </row>
    <row r="24" spans="1:8" x14ac:dyDescent="0.2">
      <c r="A24" s="253" t="s">
        <v>1018</v>
      </c>
      <c r="B24" s="376">
        <v>1341</v>
      </c>
      <c r="C24" s="254" t="s">
        <v>654</v>
      </c>
      <c r="D24" s="255">
        <v>53</v>
      </c>
      <c r="E24" s="255">
        <v>135</v>
      </c>
      <c r="F24" s="255">
        <v>58016.58</v>
      </c>
      <c r="G24" s="255">
        <v>140326.16</v>
      </c>
      <c r="H24" s="256">
        <f t="shared" ref="H24:H29" si="0">SUM(D24:G24)</f>
        <v>198530.74</v>
      </c>
    </row>
    <row r="25" spans="1:8" x14ac:dyDescent="0.2">
      <c r="A25" s="253"/>
      <c r="B25" s="376">
        <v>1342</v>
      </c>
      <c r="C25" s="257" t="s">
        <v>660</v>
      </c>
      <c r="D25" s="255">
        <v>11</v>
      </c>
      <c r="E25" s="255">
        <v>22</v>
      </c>
      <c r="F25" s="255">
        <v>18032.96</v>
      </c>
      <c r="G25" s="255">
        <v>43823.31</v>
      </c>
      <c r="H25" s="256">
        <f t="shared" si="0"/>
        <v>61889.27</v>
      </c>
    </row>
    <row r="26" spans="1:8" x14ac:dyDescent="0.2">
      <c r="A26" s="253"/>
      <c r="B26" s="376">
        <v>1343</v>
      </c>
      <c r="C26" s="254" t="s">
        <v>661</v>
      </c>
      <c r="D26" s="255">
        <v>391.81</v>
      </c>
      <c r="E26" s="255">
        <v>834.38</v>
      </c>
      <c r="F26" s="255">
        <v>414526.69</v>
      </c>
      <c r="G26" s="255">
        <v>950249.83</v>
      </c>
      <c r="H26" s="256">
        <f t="shared" si="0"/>
        <v>1366002.71</v>
      </c>
    </row>
    <row r="27" spans="1:8" x14ac:dyDescent="0.2">
      <c r="A27" s="253"/>
      <c r="B27" s="376">
        <v>1344</v>
      </c>
      <c r="C27" s="254" t="s">
        <v>662</v>
      </c>
      <c r="D27" s="255">
        <v>86</v>
      </c>
      <c r="E27" s="255">
        <v>208</v>
      </c>
      <c r="F27" s="255">
        <v>87674.92</v>
      </c>
      <c r="G27" s="255">
        <v>181223.64</v>
      </c>
      <c r="H27" s="256">
        <f t="shared" si="0"/>
        <v>269192.56</v>
      </c>
    </row>
    <row r="28" spans="1:8" x14ac:dyDescent="0.2">
      <c r="A28" s="253"/>
      <c r="B28" s="376">
        <v>1345</v>
      </c>
      <c r="C28" s="254" t="s">
        <v>657</v>
      </c>
      <c r="D28" s="255">
        <v>71.010000000000005</v>
      </c>
      <c r="E28" s="255">
        <v>166.65</v>
      </c>
      <c r="F28" s="255">
        <v>53223.969999999994</v>
      </c>
      <c r="G28" s="255">
        <v>131329.13</v>
      </c>
      <c r="H28" s="256">
        <f t="shared" si="0"/>
        <v>184790.76</v>
      </c>
    </row>
    <row r="29" spans="1:8" x14ac:dyDescent="0.2">
      <c r="A29" s="253"/>
      <c r="B29" s="376">
        <v>1346</v>
      </c>
      <c r="C29" s="254" t="s">
        <v>658</v>
      </c>
      <c r="D29" s="255">
        <v>7</v>
      </c>
      <c r="E29" s="255">
        <v>19</v>
      </c>
      <c r="F29" s="255">
        <v>3833.21</v>
      </c>
      <c r="G29" s="255">
        <v>7450.07</v>
      </c>
      <c r="H29" s="256">
        <f t="shared" si="0"/>
        <v>11309.279999999999</v>
      </c>
    </row>
    <row r="30" spans="1:8" ht="13.5" thickBot="1" x14ac:dyDescent="0.25">
      <c r="A30" s="253"/>
      <c r="B30" s="376"/>
      <c r="C30" s="254"/>
      <c r="D30" s="246">
        <f>SUM(D24:D29)</f>
        <v>619.81999999999994</v>
      </c>
      <c r="E30" s="246">
        <f>SUM(E24:E29)</f>
        <v>1385.0300000000002</v>
      </c>
      <c r="F30" s="246">
        <f>SUM(F24:F29)</f>
        <v>635308.32999999996</v>
      </c>
      <c r="G30" s="246">
        <f>SUM(G24:G29)</f>
        <v>1454402.14</v>
      </c>
      <c r="H30" s="159">
        <f>SUM(H24:H29)</f>
        <v>2091715.32</v>
      </c>
    </row>
    <row r="31" spans="1:8" ht="13.5" thickTop="1" x14ac:dyDescent="0.2">
      <c r="A31" s="253"/>
      <c r="B31" s="376"/>
      <c r="C31" s="254"/>
      <c r="D31" s="255"/>
      <c r="E31" s="255"/>
      <c r="F31" s="255"/>
      <c r="G31" s="255"/>
    </row>
    <row r="32" spans="1:8" x14ac:dyDescent="0.2">
      <c r="A32" s="253"/>
      <c r="B32" s="376"/>
      <c r="C32" s="254"/>
      <c r="D32" s="255"/>
      <c r="E32" s="255"/>
      <c r="F32" s="255"/>
      <c r="G32" s="255"/>
    </row>
    <row r="33" spans="1:8" x14ac:dyDescent="0.2">
      <c r="A33" s="247" t="s">
        <v>859</v>
      </c>
      <c r="B33" s="374"/>
      <c r="C33" s="254"/>
      <c r="D33" s="255"/>
      <c r="E33" s="255"/>
      <c r="F33" s="255"/>
      <c r="G33" s="255"/>
    </row>
    <row r="34" spans="1:8" x14ac:dyDescent="0.2">
      <c r="A34" s="243" t="s">
        <v>1016</v>
      </c>
      <c r="B34" s="375" t="s">
        <v>648</v>
      </c>
      <c r="C34" s="243" t="s">
        <v>649</v>
      </c>
      <c r="D34" s="244" t="s">
        <v>650</v>
      </c>
      <c r="E34" s="244" t="s">
        <v>651</v>
      </c>
      <c r="F34" s="244" t="s">
        <v>652</v>
      </c>
      <c r="G34" s="245" t="s">
        <v>653</v>
      </c>
      <c r="H34" s="158" t="s">
        <v>739</v>
      </c>
    </row>
    <row r="35" spans="1:8" x14ac:dyDescent="0.2">
      <c r="A35" s="253" t="s">
        <v>1018</v>
      </c>
      <c r="B35" s="376">
        <v>1350</v>
      </c>
      <c r="C35" s="254" t="s">
        <v>663</v>
      </c>
      <c r="D35" s="255">
        <v>40954</v>
      </c>
      <c r="E35" s="255">
        <v>35795</v>
      </c>
      <c r="F35" s="255">
        <v>2025.44</v>
      </c>
      <c r="G35" s="255">
        <v>3822.42</v>
      </c>
      <c r="H35" s="256">
        <f>SUM(D35:G35)</f>
        <v>82596.86</v>
      </c>
    </row>
    <row r="36" spans="1:8" x14ac:dyDescent="0.2">
      <c r="A36" s="253"/>
      <c r="B36" s="376">
        <v>1352</v>
      </c>
      <c r="C36" s="254" t="s">
        <v>654</v>
      </c>
      <c r="D36" s="255">
        <v>36433</v>
      </c>
      <c r="E36" s="255">
        <v>39113</v>
      </c>
      <c r="F36" s="255">
        <v>10486.22</v>
      </c>
      <c r="G36" s="255">
        <v>27964.559999999994</v>
      </c>
      <c r="H36" s="256">
        <f t="shared" ref="H36:H42" si="1">SUM(D36:G36)</f>
        <v>113996.78</v>
      </c>
    </row>
    <row r="37" spans="1:8" x14ac:dyDescent="0.2">
      <c r="A37" s="253"/>
      <c r="B37" s="376">
        <v>1353</v>
      </c>
      <c r="C37" s="254" t="s">
        <v>664</v>
      </c>
      <c r="D37" s="255">
        <v>420804.55</v>
      </c>
      <c r="E37" s="255">
        <v>435836.49</v>
      </c>
      <c r="F37" s="255">
        <v>91104.359999999986</v>
      </c>
      <c r="G37" s="255">
        <v>213180.38999999996</v>
      </c>
      <c r="H37" s="256">
        <f t="shared" si="1"/>
        <v>1160925.79</v>
      </c>
    </row>
    <row r="38" spans="1:8" x14ac:dyDescent="0.2">
      <c r="A38" s="253"/>
      <c r="B38" s="376">
        <v>1354</v>
      </c>
      <c r="C38" s="254" t="s">
        <v>665</v>
      </c>
      <c r="D38" s="255">
        <v>400884</v>
      </c>
      <c r="E38" s="255">
        <v>442422</v>
      </c>
      <c r="F38" s="255">
        <v>113640.48</v>
      </c>
      <c r="G38" s="255">
        <v>304146.59000000003</v>
      </c>
      <c r="H38" s="256">
        <f t="shared" si="1"/>
        <v>1261093.07</v>
      </c>
    </row>
    <row r="39" spans="1:8" x14ac:dyDescent="0.2">
      <c r="A39" s="253"/>
      <c r="B39" s="376">
        <v>1355</v>
      </c>
      <c r="C39" s="254" t="s">
        <v>666</v>
      </c>
      <c r="D39" s="255">
        <v>101291.59</v>
      </c>
      <c r="E39" s="255">
        <v>151007.57</v>
      </c>
      <c r="F39" s="255">
        <v>107455.61</v>
      </c>
      <c r="G39" s="255">
        <v>275360.45</v>
      </c>
      <c r="H39" s="256">
        <f t="shared" si="1"/>
        <v>635115.22</v>
      </c>
    </row>
    <row r="40" spans="1:8" x14ac:dyDescent="0.2">
      <c r="A40" s="253"/>
      <c r="B40" s="376">
        <v>1356</v>
      </c>
      <c r="C40" s="254" t="s">
        <v>667</v>
      </c>
      <c r="D40" s="255">
        <v>488867.5</v>
      </c>
      <c r="E40" s="255">
        <v>564784.93000000005</v>
      </c>
      <c r="F40" s="255">
        <v>78425.739999999976</v>
      </c>
      <c r="G40" s="255">
        <v>192494.03</v>
      </c>
      <c r="H40" s="256">
        <f t="shared" si="1"/>
        <v>1324572.2000000002</v>
      </c>
    </row>
    <row r="41" spans="1:8" x14ac:dyDescent="0.2">
      <c r="A41" s="253"/>
      <c r="B41" s="376">
        <v>1357</v>
      </c>
      <c r="C41" s="254" t="s">
        <v>668</v>
      </c>
      <c r="D41" s="255">
        <v>157</v>
      </c>
      <c r="E41" s="255">
        <v>118</v>
      </c>
      <c r="F41" s="255">
        <v>493</v>
      </c>
      <c r="G41" s="255">
        <v>629</v>
      </c>
      <c r="H41" s="256">
        <f t="shared" si="1"/>
        <v>1397</v>
      </c>
    </row>
    <row r="42" spans="1:8" x14ac:dyDescent="0.2">
      <c r="A42" s="253"/>
      <c r="B42" s="376">
        <v>1358</v>
      </c>
      <c r="C42" s="257" t="s">
        <v>669</v>
      </c>
      <c r="D42" s="255">
        <v>1259</v>
      </c>
      <c r="E42" s="255">
        <v>952</v>
      </c>
      <c r="F42" s="255">
        <v>495</v>
      </c>
      <c r="G42" s="255">
        <v>633</v>
      </c>
      <c r="H42" s="256">
        <f t="shared" si="1"/>
        <v>3339</v>
      </c>
    </row>
    <row r="43" spans="1:8" ht="13.5" thickBot="1" x14ac:dyDescent="0.25">
      <c r="A43" s="253"/>
      <c r="B43" s="376"/>
      <c r="C43" s="257"/>
      <c r="D43" s="246">
        <f>SUM(D35:D42)</f>
        <v>1490650.6400000001</v>
      </c>
      <c r="E43" s="246">
        <f>SUM(E35:E42)</f>
        <v>1670028.9900000002</v>
      </c>
      <c r="F43" s="246">
        <f>SUM(F35:F42)</f>
        <v>404125.85</v>
      </c>
      <c r="G43" s="246">
        <f>SUM(G35:G42)</f>
        <v>1018230.44</v>
      </c>
      <c r="H43" s="159">
        <f>SUM(H35:H42)</f>
        <v>4583035.92</v>
      </c>
    </row>
    <row r="44" spans="1:8" ht="13.5" thickTop="1" x14ac:dyDescent="0.2">
      <c r="A44" s="253"/>
      <c r="B44" s="376"/>
      <c r="C44" s="254"/>
      <c r="D44" s="255"/>
      <c r="E44" s="521">
        <f>SUM(D43:E43)</f>
        <v>3160679.6300000004</v>
      </c>
      <c r="F44" s="301"/>
      <c r="G44" s="301">
        <f>SUM(F43:G43)</f>
        <v>1422356.29</v>
      </c>
      <c r="H44" s="353"/>
    </row>
    <row r="45" spans="1:8" x14ac:dyDescent="0.2">
      <c r="A45" s="253"/>
      <c r="B45" s="376"/>
      <c r="C45" s="254"/>
      <c r="D45" s="255"/>
      <c r="E45" s="255"/>
      <c r="F45" s="255"/>
      <c r="G45" s="255"/>
      <c r="H45" s="353"/>
    </row>
    <row r="46" spans="1:8" x14ac:dyDescent="0.2">
      <c r="A46" s="247" t="s">
        <v>859</v>
      </c>
      <c r="B46" s="374"/>
      <c r="C46" s="254"/>
      <c r="D46" s="255"/>
      <c r="E46" s="255"/>
      <c r="F46" s="255"/>
      <c r="G46" s="255"/>
      <c r="H46" s="353"/>
    </row>
    <row r="47" spans="1:8" x14ac:dyDescent="0.2">
      <c r="A47" s="248" t="s">
        <v>1016</v>
      </c>
      <c r="B47" s="377" t="s">
        <v>648</v>
      </c>
      <c r="C47" s="248" t="s">
        <v>649</v>
      </c>
      <c r="D47" s="249" t="s">
        <v>650</v>
      </c>
      <c r="E47" s="249" t="s">
        <v>651</v>
      </c>
      <c r="F47" s="249" t="s">
        <v>652</v>
      </c>
      <c r="G47" s="250" t="s">
        <v>653</v>
      </c>
      <c r="H47" s="245" t="s">
        <v>739</v>
      </c>
    </row>
    <row r="48" spans="1:8" x14ac:dyDescent="0.2">
      <c r="A48" s="253" t="s">
        <v>1020</v>
      </c>
      <c r="B48" s="376">
        <v>1352</v>
      </c>
      <c r="C48" s="254" t="s">
        <v>654</v>
      </c>
      <c r="D48" s="255">
        <v>0</v>
      </c>
      <c r="E48" s="255">
        <v>0</v>
      </c>
      <c r="F48" s="255">
        <v>1</v>
      </c>
      <c r="G48" s="255">
        <v>2</v>
      </c>
      <c r="H48" s="352">
        <f>SUM(D48:G48)</f>
        <v>3</v>
      </c>
    </row>
    <row r="49" spans="1:8" x14ac:dyDescent="0.2">
      <c r="A49" s="253"/>
      <c r="B49" s="376">
        <v>1353</v>
      </c>
      <c r="C49" s="254" t="s">
        <v>664</v>
      </c>
      <c r="D49" s="255">
        <v>139.26</v>
      </c>
      <c r="E49" s="255">
        <v>184.68</v>
      </c>
      <c r="F49" s="255">
        <v>470</v>
      </c>
      <c r="G49" s="255">
        <v>1101</v>
      </c>
      <c r="H49" s="352">
        <f>SUM(D49:G49)</f>
        <v>1894.94</v>
      </c>
    </row>
    <row r="50" spans="1:8" x14ac:dyDescent="0.2">
      <c r="A50" s="253"/>
      <c r="B50" s="376">
        <v>1355</v>
      </c>
      <c r="C50" s="254" t="s">
        <v>666</v>
      </c>
      <c r="D50" s="255">
        <v>0</v>
      </c>
      <c r="E50" s="255">
        <v>0</v>
      </c>
      <c r="F50" s="255">
        <v>158.4</v>
      </c>
      <c r="G50" s="255">
        <v>534.9</v>
      </c>
      <c r="H50" s="352">
        <f>SUM(D50:G50)</f>
        <v>693.3</v>
      </c>
    </row>
    <row r="51" spans="1:8" x14ac:dyDescent="0.2">
      <c r="A51" s="253"/>
      <c r="B51" s="376">
        <v>1356</v>
      </c>
      <c r="C51" s="254" t="s">
        <v>667</v>
      </c>
      <c r="D51" s="255">
        <v>0</v>
      </c>
      <c r="E51" s="255">
        <v>0</v>
      </c>
      <c r="F51" s="255">
        <v>440.19</v>
      </c>
      <c r="G51" s="255">
        <v>1624.42</v>
      </c>
      <c r="H51" s="352">
        <f>SUM(D51:G51)</f>
        <v>2064.61</v>
      </c>
    </row>
    <row r="52" spans="1:8" ht="13.5" thickBot="1" x14ac:dyDescent="0.25">
      <c r="A52" s="253"/>
      <c r="B52" s="374"/>
      <c r="C52" s="254"/>
      <c r="D52" s="246">
        <f>SUM(D48:D51)</f>
        <v>139.26</v>
      </c>
      <c r="E52" s="246">
        <f>SUM(E48:E51)</f>
        <v>184.68</v>
      </c>
      <c r="F52" s="246">
        <f>SUM(F48:F51)</f>
        <v>1069.5899999999999</v>
      </c>
      <c r="G52" s="246">
        <f>SUM(G48:G51)</f>
        <v>3262.32</v>
      </c>
      <c r="H52" s="246">
        <f>SUM(H48:H51)</f>
        <v>4655.8500000000004</v>
      </c>
    </row>
    <row r="53" spans="1:8" ht="13.5" thickTop="1" x14ac:dyDescent="0.2">
      <c r="A53" s="253"/>
      <c r="B53" s="374"/>
      <c r="C53" s="254"/>
      <c r="D53" s="255"/>
      <c r="E53" s="301">
        <f>SUM(D52:E52)</f>
        <v>323.94</v>
      </c>
      <c r="F53" s="301"/>
      <c r="G53" s="301">
        <f>SUM(F52:G52)</f>
        <v>4331.91</v>
      </c>
      <c r="H53" s="353"/>
    </row>
    <row r="54" spans="1:8" x14ac:dyDescent="0.2">
      <c r="A54" s="253"/>
      <c r="B54" s="374"/>
      <c r="C54" s="254"/>
      <c r="D54" s="255"/>
      <c r="E54" s="522">
        <f>(E53/(E44+E53))</f>
        <v>1.0248011203606453E-4</v>
      </c>
      <c r="F54" s="301"/>
      <c r="G54" s="522">
        <f>(G53/(G44+G53))</f>
        <v>3.0363396851533502E-3</v>
      </c>
      <c r="H54" s="353"/>
    </row>
    <row r="55" spans="1:8" ht="13.5" thickBot="1" x14ac:dyDescent="0.25">
      <c r="A55" s="253"/>
      <c r="B55" s="374"/>
      <c r="C55" s="251" t="s">
        <v>589</v>
      </c>
      <c r="D55" s="246">
        <f>SUM(D52,D43,D30,D19,D11)</f>
        <v>10162937.350000001</v>
      </c>
      <c r="E55" s="246">
        <f>SUM(E52,E43,E30,E19,E11)</f>
        <v>10110107</v>
      </c>
      <c r="F55" s="246">
        <f>SUM(F52,F43,F30,F19,F11)</f>
        <v>7316257.0700000003</v>
      </c>
      <c r="G55" s="246">
        <f>SUM(G52,G43,G30,G19,G11)</f>
        <v>18425973.259999998</v>
      </c>
      <c r="H55" s="246">
        <f>SUM(H52,H43,H30,H19,H11)</f>
        <v>46015274.680000007</v>
      </c>
    </row>
    <row r="56" spans="1:8" ht="13.5" thickTop="1" x14ac:dyDescent="0.2">
      <c r="E56" s="255"/>
      <c r="F56" s="255"/>
      <c r="G56" s="255"/>
      <c r="H56" s="353"/>
    </row>
    <row r="57" spans="1:8" x14ac:dyDescent="0.2">
      <c r="E57" s="255"/>
      <c r="F57" s="255"/>
      <c r="G57" s="255"/>
      <c r="H57" s="353"/>
    </row>
  </sheetData>
  <mergeCells count="2">
    <mergeCell ref="A1:G1"/>
    <mergeCell ref="A2:G2"/>
  </mergeCells>
  <phoneticPr fontId="10" type="noConversion"/>
  <printOptions horizontalCentered="1"/>
  <pageMargins left="0.75" right="0.25" top="0.75" bottom="0.75" header="0.5" footer="0.5"/>
  <pageSetup scale="76" orientation="portrait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102"/>
  <sheetViews>
    <sheetView workbookViewId="0">
      <selection activeCell="F98" sqref="F98"/>
    </sheetView>
  </sheetViews>
  <sheetFormatPr defaultColWidth="7" defaultRowHeight="11.25" x14ac:dyDescent="0.2"/>
  <cols>
    <col min="1" max="1" width="36.625" style="23" customWidth="1"/>
    <col min="2" max="2" width="12.875" style="24" customWidth="1"/>
    <col min="3" max="3" width="13.375" style="23" customWidth="1"/>
    <col min="4" max="5" width="11.25" style="23" bestFit="1" customWidth="1"/>
    <col min="6" max="6" width="9.125" style="23" bestFit="1" customWidth="1"/>
    <col min="7" max="16384" width="7" style="23"/>
  </cols>
  <sheetData>
    <row r="1" spans="1:4" ht="14.1" customHeight="1" x14ac:dyDescent="0.2">
      <c r="A1" s="118" t="s">
        <v>766</v>
      </c>
    </row>
    <row r="2" spans="1:4" ht="14.1" customHeight="1" x14ac:dyDescent="0.2">
      <c r="A2" s="32"/>
    </row>
    <row r="3" spans="1:4" ht="14.1" customHeight="1" x14ac:dyDescent="0.2">
      <c r="A3" s="153" t="s">
        <v>1369</v>
      </c>
      <c r="B3" s="30"/>
      <c r="C3" s="118"/>
      <c r="D3" s="118"/>
    </row>
    <row r="4" spans="1:4" ht="14.1" customHeight="1" x14ac:dyDescent="0.2">
      <c r="B4" s="215">
        <v>40999</v>
      </c>
      <c r="C4" s="215">
        <f>B4</f>
        <v>40999</v>
      </c>
    </row>
    <row r="5" spans="1:4" ht="14.1" customHeight="1" x14ac:dyDescent="0.2">
      <c r="A5" s="23" t="s">
        <v>767</v>
      </c>
      <c r="B5" s="386" t="s">
        <v>1368</v>
      </c>
      <c r="C5" s="23" t="s">
        <v>768</v>
      </c>
    </row>
    <row r="6" spans="1:4" ht="14.1" customHeight="1" x14ac:dyDescent="0.2">
      <c r="A6" s="23" t="s">
        <v>769</v>
      </c>
      <c r="B6" s="117">
        <f>-4262309.6-410549.8</f>
        <v>-4672859.3999999994</v>
      </c>
      <c r="C6" s="41">
        <f t="shared" ref="C6:C18" si="0">B6/$B$23*$C$23</f>
        <v>-4672859.3999999994</v>
      </c>
      <c r="D6" s="26">
        <f t="shared" ref="D6:D22" si="1">+C6/$C$23</f>
        <v>0.3564506417186793</v>
      </c>
    </row>
    <row r="7" spans="1:4" ht="14.1" customHeight="1" x14ac:dyDescent="0.2">
      <c r="A7" s="23" t="s">
        <v>770</v>
      </c>
      <c r="B7" s="117"/>
      <c r="C7" s="41">
        <f t="shared" si="0"/>
        <v>0</v>
      </c>
      <c r="D7" s="26">
        <f t="shared" si="1"/>
        <v>0</v>
      </c>
    </row>
    <row r="8" spans="1:4" ht="14.1" customHeight="1" x14ac:dyDescent="0.2">
      <c r="A8" s="23" t="s">
        <v>771</v>
      </c>
      <c r="B8" s="117">
        <v>-415783.12</v>
      </c>
      <c r="C8" s="41">
        <f t="shared" si="0"/>
        <v>-415783.11999999994</v>
      </c>
      <c r="D8" s="26">
        <f t="shared" si="1"/>
        <v>3.1716374761841679E-2</v>
      </c>
    </row>
    <row r="9" spans="1:4" ht="14.1" customHeight="1" x14ac:dyDescent="0.2">
      <c r="A9" s="23" t="s">
        <v>772</v>
      </c>
      <c r="B9" s="117">
        <v>-518721.92</v>
      </c>
      <c r="C9" s="41">
        <f t="shared" si="0"/>
        <v>-518721.92000000004</v>
      </c>
      <c r="D9" s="26">
        <f t="shared" si="1"/>
        <v>3.9568654956223477E-2</v>
      </c>
    </row>
    <row r="10" spans="1:4" ht="14.1" customHeight="1" x14ac:dyDescent="0.2">
      <c r="A10" s="23" t="s">
        <v>773</v>
      </c>
      <c r="B10" s="117"/>
      <c r="C10" s="41">
        <f t="shared" si="0"/>
        <v>0</v>
      </c>
      <c r="D10" s="26">
        <f t="shared" si="1"/>
        <v>0</v>
      </c>
    </row>
    <row r="11" spans="1:4" ht="14.1" customHeight="1" x14ac:dyDescent="0.2">
      <c r="A11" s="23" t="s">
        <v>774</v>
      </c>
      <c r="B11" s="117">
        <v>-5140139.7300000004</v>
      </c>
      <c r="C11" s="41">
        <f t="shared" si="0"/>
        <v>-5140139.7300000004</v>
      </c>
      <c r="D11" s="26">
        <f t="shared" si="1"/>
        <v>0.39209527795383259</v>
      </c>
    </row>
    <row r="12" spans="1:4" ht="14.1" customHeight="1" x14ac:dyDescent="0.2">
      <c r="A12" s="23" t="s">
        <v>775</v>
      </c>
      <c r="B12" s="117"/>
      <c r="C12" s="41">
        <f t="shared" si="0"/>
        <v>0</v>
      </c>
      <c r="D12" s="26">
        <f t="shared" si="1"/>
        <v>0</v>
      </c>
    </row>
    <row r="13" spans="1:4" ht="14.1" customHeight="1" x14ac:dyDescent="0.2">
      <c r="A13" s="23" t="s">
        <v>776</v>
      </c>
      <c r="B13" s="117">
        <v>-245981.95</v>
      </c>
      <c r="C13" s="41">
        <f t="shared" si="0"/>
        <v>-245981.95000000004</v>
      </c>
      <c r="D13" s="26">
        <f t="shared" si="1"/>
        <v>1.8763762489560912E-2</v>
      </c>
    </row>
    <row r="14" spans="1:4" ht="14.1" customHeight="1" x14ac:dyDescent="0.2">
      <c r="A14" s="23" t="s">
        <v>777</v>
      </c>
      <c r="B14" s="117"/>
      <c r="C14" s="41">
        <f t="shared" si="0"/>
        <v>0</v>
      </c>
      <c r="D14" s="26">
        <f t="shared" si="1"/>
        <v>0</v>
      </c>
    </row>
    <row r="15" spans="1:4" ht="14.1" customHeight="1" x14ac:dyDescent="0.2">
      <c r="A15" s="23" t="s">
        <v>778</v>
      </c>
      <c r="B15" s="117">
        <v>-1800249.33</v>
      </c>
      <c r="C15" s="41">
        <f t="shared" si="0"/>
        <v>-1800249.33</v>
      </c>
      <c r="D15" s="26">
        <f t="shared" si="1"/>
        <v>0.13732491693033233</v>
      </c>
    </row>
    <row r="16" spans="1:4" ht="14.1" customHeight="1" x14ac:dyDescent="0.2">
      <c r="A16" s="23" t="s">
        <v>779</v>
      </c>
      <c r="B16" s="117"/>
      <c r="C16" s="41">
        <f t="shared" si="0"/>
        <v>0</v>
      </c>
      <c r="D16" s="26">
        <f t="shared" si="1"/>
        <v>0</v>
      </c>
    </row>
    <row r="17" spans="1:4" ht="14.1" customHeight="1" x14ac:dyDescent="0.2">
      <c r="A17" s="23" t="s">
        <v>780</v>
      </c>
      <c r="B17" s="117">
        <v>-145871.45000000001</v>
      </c>
      <c r="C17" s="25">
        <f t="shared" si="0"/>
        <v>-145871.45000000001</v>
      </c>
      <c r="D17" s="26">
        <f t="shared" si="1"/>
        <v>1.1127228001110896E-2</v>
      </c>
    </row>
    <row r="18" spans="1:4" ht="14.1" customHeight="1" x14ac:dyDescent="0.2">
      <c r="A18" s="23" t="s">
        <v>781</v>
      </c>
      <c r="B18" s="117">
        <v>-169808.13</v>
      </c>
      <c r="C18" s="25">
        <f t="shared" si="0"/>
        <v>-169808.13</v>
      </c>
      <c r="D18" s="26">
        <f t="shared" si="1"/>
        <v>1.2953143188418836E-2</v>
      </c>
    </row>
    <row r="19" spans="1:4" ht="14.1" customHeight="1" x14ac:dyDescent="0.2">
      <c r="A19" s="23" t="s">
        <v>782</v>
      </c>
      <c r="B19" s="117"/>
      <c r="C19" s="25">
        <v>0</v>
      </c>
      <c r="D19" s="26">
        <f t="shared" si="1"/>
        <v>0</v>
      </c>
    </row>
    <row r="20" spans="1:4" ht="14.1" customHeight="1" x14ac:dyDescent="0.2">
      <c r="A20" s="23" t="s">
        <v>894</v>
      </c>
      <c r="B20" s="117"/>
      <c r="C20" s="25">
        <f>B20/$B$23*$C$23</f>
        <v>0</v>
      </c>
      <c r="D20" s="26">
        <f t="shared" si="1"/>
        <v>0</v>
      </c>
    </row>
    <row r="21" spans="1:4" ht="14.1" customHeight="1" x14ac:dyDescent="0.2">
      <c r="A21" s="153" t="s">
        <v>639</v>
      </c>
      <c r="B21" s="117"/>
      <c r="C21" s="25">
        <f>B21/$B$23*$C$23</f>
        <v>0</v>
      </c>
      <c r="D21" s="26">
        <f t="shared" si="1"/>
        <v>0</v>
      </c>
    </row>
    <row r="22" spans="1:4" ht="14.1" customHeight="1" x14ac:dyDescent="0.2">
      <c r="A22" s="23" t="s">
        <v>895</v>
      </c>
      <c r="B22" s="117"/>
      <c r="C22" s="25">
        <f>B22/$B$23*$C$23</f>
        <v>0</v>
      </c>
      <c r="D22" s="26">
        <f t="shared" si="1"/>
        <v>0</v>
      </c>
    </row>
    <row r="23" spans="1:4" ht="14.1" customHeight="1" x14ac:dyDescent="0.2">
      <c r="A23" s="23" t="s">
        <v>739</v>
      </c>
      <c r="B23" s="24">
        <f>SUM(B6:B22)</f>
        <v>-13109415.029999999</v>
      </c>
      <c r="C23" s="117">
        <v>-13109415.029999999</v>
      </c>
      <c r="D23" s="26"/>
    </row>
    <row r="24" spans="1:4" ht="14.1" customHeight="1" x14ac:dyDescent="0.2"/>
    <row r="25" spans="1:4" ht="14.1" customHeight="1" x14ac:dyDescent="0.2">
      <c r="A25" s="23" t="s">
        <v>896</v>
      </c>
      <c r="C25" s="25">
        <f>SUM(C6:C22)</f>
        <v>-13109415.029999999</v>
      </c>
    </row>
    <row r="26" spans="1:4" ht="14.1" customHeight="1" x14ac:dyDescent="0.2"/>
    <row r="27" spans="1:4" ht="14.1" customHeight="1" x14ac:dyDescent="0.2"/>
    <row r="28" spans="1:4" ht="14.1" customHeight="1" x14ac:dyDescent="0.2">
      <c r="A28" s="23" t="s">
        <v>897</v>
      </c>
      <c r="B28" s="117">
        <v>1270325908.1600001</v>
      </c>
    </row>
    <row r="29" spans="1:4" ht="14.1" customHeight="1" x14ac:dyDescent="0.2">
      <c r="A29" s="23" t="s">
        <v>898</v>
      </c>
      <c r="B29" s="24">
        <f>C6</f>
        <v>-4672859.3999999994</v>
      </c>
    </row>
    <row r="30" spans="1:4" ht="14.1" customHeight="1" x14ac:dyDescent="0.2">
      <c r="A30" s="23" t="s">
        <v>899</v>
      </c>
      <c r="B30" s="24">
        <f>-'AFUDC Depr AccDepr'!L30</f>
        <v>-15482538.333333334</v>
      </c>
    </row>
    <row r="31" spans="1:4" ht="14.1" customHeight="1" x14ac:dyDescent="0.2">
      <c r="A31" s="23" t="s">
        <v>900</v>
      </c>
      <c r="B31" s="24">
        <f>-'AFUDC Depr AccDepr'!M30</f>
        <v>-2872593</v>
      </c>
    </row>
    <row r="32" spans="1:4" ht="14.1" customHeight="1" x14ac:dyDescent="0.2">
      <c r="A32" s="27" t="s">
        <v>901</v>
      </c>
      <c r="C32" s="25">
        <f>SUM(B28:B31)</f>
        <v>1247297917.4266667</v>
      </c>
    </row>
    <row r="33" spans="1:3" ht="14.1" customHeight="1" x14ac:dyDescent="0.2"/>
    <row r="34" spans="1:3" ht="14.1" customHeight="1" x14ac:dyDescent="0.2"/>
    <row r="35" spans="1:3" ht="14.1" customHeight="1" x14ac:dyDescent="0.2">
      <c r="A35" s="23" t="s">
        <v>902</v>
      </c>
      <c r="B35" s="117">
        <v>8227847.2999999998</v>
      </c>
    </row>
    <row r="36" spans="1:3" ht="14.1" customHeight="1" x14ac:dyDescent="0.2">
      <c r="A36" s="23" t="s">
        <v>903</v>
      </c>
      <c r="B36" s="24">
        <f>C8</f>
        <v>-415783.11999999994</v>
      </c>
    </row>
    <row r="37" spans="1:3" ht="14.1" customHeight="1" x14ac:dyDescent="0.2">
      <c r="A37" s="23" t="s">
        <v>899</v>
      </c>
      <c r="B37" s="24">
        <f>-'AFUDC Depr AccDepr'!L34</f>
        <v>-3252.5</v>
      </c>
    </row>
    <row r="38" spans="1:3" ht="14.1" customHeight="1" x14ac:dyDescent="0.2">
      <c r="A38" s="23" t="s">
        <v>900</v>
      </c>
      <c r="B38" s="24">
        <f>-'AFUDC Depr AccDepr'!M34</f>
        <v>-947.5</v>
      </c>
    </row>
    <row r="39" spans="1:3" ht="14.1" customHeight="1" x14ac:dyDescent="0.2">
      <c r="A39" s="27" t="s">
        <v>904</v>
      </c>
      <c r="C39" s="25">
        <f>SUM(B35:B38)</f>
        <v>7807864.1799999997</v>
      </c>
    </row>
    <row r="40" spans="1:3" ht="14.1" customHeight="1" x14ac:dyDescent="0.2"/>
    <row r="41" spans="1:3" ht="14.1" customHeight="1" x14ac:dyDescent="0.2"/>
    <row r="42" spans="1:3" ht="14.1" customHeight="1" x14ac:dyDescent="0.2">
      <c r="A42" s="23" t="s">
        <v>905</v>
      </c>
      <c r="B42" s="117">
        <v>180254186.61000001</v>
      </c>
    </row>
    <row r="43" spans="1:3" ht="14.1" customHeight="1" x14ac:dyDescent="0.2">
      <c r="A43" s="23" t="s">
        <v>906</v>
      </c>
      <c r="B43" s="24">
        <f>C9</f>
        <v>-518721.92000000004</v>
      </c>
    </row>
    <row r="44" spans="1:3" ht="14.1" customHeight="1" x14ac:dyDescent="0.2">
      <c r="A44" s="23" t="s">
        <v>899</v>
      </c>
      <c r="B44" s="24">
        <f>-'AFUDC Depr AccDepr'!L49</f>
        <v>-1236.75</v>
      </c>
    </row>
    <row r="45" spans="1:3" ht="14.1" customHeight="1" x14ac:dyDescent="0.2">
      <c r="A45" s="23" t="s">
        <v>900</v>
      </c>
      <c r="B45" s="24">
        <f>-'AFUDC Depr AccDepr'!M49</f>
        <v>-889035.5</v>
      </c>
    </row>
    <row r="46" spans="1:3" ht="14.1" customHeight="1" x14ac:dyDescent="0.2">
      <c r="A46" s="27" t="s">
        <v>907</v>
      </c>
      <c r="C46" s="25">
        <f>SUM(B42:B45)</f>
        <v>178845192.44000003</v>
      </c>
    </row>
    <row r="47" spans="1:3" ht="14.1" customHeight="1" x14ac:dyDescent="0.2"/>
    <row r="48" spans="1:3" ht="14.1" customHeight="1" x14ac:dyDescent="0.2">
      <c r="B48" s="30"/>
    </row>
    <row r="49" spans="1:5" ht="14.1" customHeight="1" x14ac:dyDescent="0.2">
      <c r="A49" s="28" t="s">
        <v>908</v>
      </c>
      <c r="B49" s="117">
        <v>304594162.5</v>
      </c>
      <c r="C49" s="42"/>
    </row>
    <row r="50" spans="1:5" ht="14.1" customHeight="1" x14ac:dyDescent="0.2">
      <c r="A50" s="29" t="s">
        <v>909</v>
      </c>
      <c r="B50" s="117">
        <v>0</v>
      </c>
      <c r="C50" s="42"/>
    </row>
    <row r="51" spans="1:5" ht="14.1" customHeight="1" x14ac:dyDescent="0.2">
      <c r="A51" s="28" t="s">
        <v>910</v>
      </c>
      <c r="B51" s="117">
        <v>117559</v>
      </c>
      <c r="C51" s="42"/>
    </row>
    <row r="52" spans="1:5" ht="14.1" customHeight="1" x14ac:dyDescent="0.2">
      <c r="A52" s="23" t="s">
        <v>911</v>
      </c>
      <c r="B52" s="30">
        <f>C11+C12</f>
        <v>-5140139.7300000004</v>
      </c>
    </row>
    <row r="53" spans="1:5" ht="14.1" customHeight="1" x14ac:dyDescent="0.2">
      <c r="A53" s="23" t="s">
        <v>899</v>
      </c>
      <c r="B53" s="165">
        <f>-'AFUDC Depr AccDepr'!L60</f>
        <v>-2585219.7806830001</v>
      </c>
    </row>
    <row r="54" spans="1:5" ht="14.1" customHeight="1" x14ac:dyDescent="0.2">
      <c r="A54" s="23" t="s">
        <v>900</v>
      </c>
      <c r="B54" s="165">
        <f>-'AFUDC Depr AccDepr'!M60</f>
        <v>-165721.836346</v>
      </c>
    </row>
    <row r="55" spans="1:5" ht="14.1" customHeight="1" x14ac:dyDescent="0.2">
      <c r="A55" s="31" t="s">
        <v>912</v>
      </c>
      <c r="B55" s="30"/>
      <c r="C55" s="25">
        <f>SUM(B49:B54)</f>
        <v>296820640.15297103</v>
      </c>
    </row>
    <row r="56" spans="1:5" ht="14.1" customHeight="1" x14ac:dyDescent="0.2">
      <c r="B56" s="30"/>
    </row>
    <row r="57" spans="1:5" ht="14.1" customHeight="1" x14ac:dyDescent="0.2">
      <c r="B57" s="30"/>
      <c r="E57" s="42"/>
    </row>
    <row r="58" spans="1:5" ht="14.1" customHeight="1" x14ac:dyDescent="0.2">
      <c r="A58" s="28" t="s">
        <v>913</v>
      </c>
      <c r="B58" s="117">
        <v>27458875.43</v>
      </c>
      <c r="D58" s="25"/>
      <c r="E58" s="24"/>
    </row>
    <row r="59" spans="1:5" ht="14.1" customHeight="1" x14ac:dyDescent="0.2">
      <c r="A59" s="23" t="s">
        <v>911</v>
      </c>
      <c r="B59" s="30">
        <f>C13</f>
        <v>-245981.95000000004</v>
      </c>
    </row>
    <row r="60" spans="1:5" ht="14.1" customHeight="1" x14ac:dyDescent="0.2">
      <c r="A60" s="23" t="s">
        <v>899</v>
      </c>
      <c r="B60" s="166">
        <f>-'AFUDC Depr AccDepr'!L57</f>
        <v>-263.71931699999999</v>
      </c>
    </row>
    <row r="61" spans="1:5" ht="14.1" customHeight="1" x14ac:dyDescent="0.2">
      <c r="A61" s="23" t="s">
        <v>900</v>
      </c>
      <c r="B61" s="166">
        <f>-'AFUDC Depr AccDepr'!M57</f>
        <v>-504.66365400000001</v>
      </c>
    </row>
    <row r="62" spans="1:5" ht="14.1" customHeight="1" x14ac:dyDescent="0.2">
      <c r="A62" s="27" t="s">
        <v>914</v>
      </c>
      <c r="B62" s="30"/>
      <c r="C62" s="25">
        <f>SUM(B58:B61)</f>
        <v>27212125.097029001</v>
      </c>
    </row>
    <row r="63" spans="1:5" ht="14.1" customHeight="1" x14ac:dyDescent="0.2">
      <c r="B63" s="30"/>
    </row>
    <row r="64" spans="1:5" ht="14.1" customHeight="1" x14ac:dyDescent="0.2">
      <c r="B64" s="30"/>
    </row>
    <row r="65" spans="1:6" ht="14.1" customHeight="1" x14ac:dyDescent="0.2">
      <c r="A65" s="28" t="s">
        <v>915</v>
      </c>
      <c r="B65" s="117">
        <v>529027836.13</v>
      </c>
    </row>
    <row r="66" spans="1:6" ht="14.1" customHeight="1" x14ac:dyDescent="0.2">
      <c r="A66" s="23" t="s">
        <v>916</v>
      </c>
      <c r="B66" s="117">
        <v>0</v>
      </c>
    </row>
    <row r="67" spans="1:6" ht="14.1" customHeight="1" x14ac:dyDescent="0.2">
      <c r="A67" s="23" t="s">
        <v>917</v>
      </c>
      <c r="B67" s="30">
        <f>C15</f>
        <v>-1800249.33</v>
      </c>
    </row>
    <row r="68" spans="1:6" ht="14.1" customHeight="1" x14ac:dyDescent="0.2">
      <c r="A68" s="23" t="s">
        <v>918</v>
      </c>
      <c r="B68" s="30">
        <f>C14</f>
        <v>0</v>
      </c>
    </row>
    <row r="69" spans="1:6" ht="14.1" customHeight="1" x14ac:dyDescent="0.2">
      <c r="A69" s="23" t="s">
        <v>899</v>
      </c>
      <c r="B69" s="30"/>
      <c r="E69" s="42"/>
      <c r="F69" s="25"/>
    </row>
    <row r="70" spans="1:6" ht="14.1" customHeight="1" x14ac:dyDescent="0.2">
      <c r="A70" s="23" t="s">
        <v>900</v>
      </c>
      <c r="B70" s="30"/>
      <c r="E70" s="42"/>
      <c r="F70" s="25"/>
    </row>
    <row r="71" spans="1:6" ht="14.1" customHeight="1" x14ac:dyDescent="0.2">
      <c r="A71" s="28" t="s">
        <v>919</v>
      </c>
      <c r="B71" s="30"/>
      <c r="C71" s="25">
        <f>SUM(B65:B70)</f>
        <v>527227586.80000001</v>
      </c>
    </row>
    <row r="72" spans="1:6" ht="14.1" customHeight="1" x14ac:dyDescent="0.2">
      <c r="B72" s="30"/>
    </row>
    <row r="73" spans="1:6" ht="14.1" customHeight="1" x14ac:dyDescent="0.2">
      <c r="B73" s="30"/>
      <c r="E73" s="42"/>
    </row>
    <row r="74" spans="1:6" ht="14.1" customHeight="1" x14ac:dyDescent="0.2">
      <c r="A74" s="28" t="s">
        <v>920</v>
      </c>
      <c r="B74" s="117">
        <v>37406488.530000001</v>
      </c>
      <c r="D74" s="25"/>
      <c r="E74" s="24"/>
    </row>
    <row r="75" spans="1:6" ht="14.1" customHeight="1" x14ac:dyDescent="0.2">
      <c r="A75" s="23" t="s">
        <v>917</v>
      </c>
      <c r="B75" s="30">
        <f>C17</f>
        <v>-145871.45000000001</v>
      </c>
    </row>
    <row r="76" spans="1:6" ht="14.1" customHeight="1" x14ac:dyDescent="0.2">
      <c r="A76" s="28" t="s">
        <v>921</v>
      </c>
      <c r="B76" s="117">
        <v>141268.96</v>
      </c>
    </row>
    <row r="77" spans="1:6" ht="14.1" customHeight="1" x14ac:dyDescent="0.2">
      <c r="A77" s="23" t="s">
        <v>899</v>
      </c>
      <c r="B77" s="24">
        <v>0</v>
      </c>
    </row>
    <row r="78" spans="1:6" ht="14.1" customHeight="1" x14ac:dyDescent="0.2">
      <c r="A78" s="23" t="s">
        <v>900</v>
      </c>
      <c r="B78" s="24">
        <v>0</v>
      </c>
    </row>
    <row r="79" spans="1:6" ht="14.1" customHeight="1" x14ac:dyDescent="0.2">
      <c r="A79" s="27" t="s">
        <v>922</v>
      </c>
      <c r="C79" s="25">
        <f>SUM(B74:B78)</f>
        <v>37401886.039999999</v>
      </c>
    </row>
    <row r="80" spans="1:6" ht="14.1" customHeight="1" x14ac:dyDescent="0.2"/>
    <row r="81" spans="1:4" ht="14.1" customHeight="1" x14ac:dyDescent="0.2"/>
    <row r="82" spans="1:4" ht="14.1" customHeight="1" x14ac:dyDescent="0.2">
      <c r="A82" s="23" t="s">
        <v>923</v>
      </c>
      <c r="B82" s="117">
        <f>55775231.26-B83</f>
        <v>40961854.909999996</v>
      </c>
    </row>
    <row r="83" spans="1:4" ht="14.1" customHeight="1" x14ac:dyDescent="0.2">
      <c r="A83" s="23" t="s">
        <v>924</v>
      </c>
      <c r="B83" s="117">
        <v>14813376.35</v>
      </c>
    </row>
    <row r="84" spans="1:4" ht="14.1" customHeight="1" x14ac:dyDescent="0.2">
      <c r="A84" s="153" t="s">
        <v>768</v>
      </c>
      <c r="B84" s="24">
        <f>C18</f>
        <v>-169808.13</v>
      </c>
    </row>
    <row r="85" spans="1:4" ht="14.1" customHeight="1" x14ac:dyDescent="0.2">
      <c r="A85" s="31" t="s">
        <v>925</v>
      </c>
      <c r="C85" s="25">
        <f>SUM(B82:B84)</f>
        <v>55605423.129999995</v>
      </c>
    </row>
    <row r="86" spans="1:4" ht="14.1" customHeight="1" x14ac:dyDescent="0.2"/>
    <row r="87" spans="1:4" ht="14.1" customHeight="1" x14ac:dyDescent="0.2"/>
    <row r="88" spans="1:4" ht="14.1" customHeight="1" x14ac:dyDescent="0.2">
      <c r="A88" s="157" t="s">
        <v>102</v>
      </c>
      <c r="B88" s="117">
        <f>19066254.42-B91</f>
        <v>19031719.870000001</v>
      </c>
    </row>
    <row r="89" spans="1:4" ht="14.1" customHeight="1" x14ac:dyDescent="0.2">
      <c r="A89" s="153" t="s">
        <v>768</v>
      </c>
      <c r="B89" s="24">
        <f>C22</f>
        <v>0</v>
      </c>
    </row>
    <row r="90" spans="1:4" ht="14.1" customHeight="1" x14ac:dyDescent="0.2">
      <c r="A90" s="153" t="s">
        <v>103</v>
      </c>
      <c r="B90" s="25">
        <f>SUM(B88:B89)</f>
        <v>19031719.870000001</v>
      </c>
    </row>
    <row r="91" spans="1:4" ht="14.1" customHeight="1" x14ac:dyDescent="0.2">
      <c r="A91" s="157" t="s">
        <v>101</v>
      </c>
      <c r="B91" s="117">
        <v>34534.550000000003</v>
      </c>
    </row>
    <row r="92" spans="1:4" ht="14.1" customHeight="1" x14ac:dyDescent="0.2">
      <c r="A92" s="177" t="s">
        <v>100</v>
      </c>
      <c r="C92" s="25">
        <f>SUM(B90:B91)</f>
        <v>19066254.420000002</v>
      </c>
    </row>
    <row r="93" spans="1:4" ht="14.1" customHeight="1" x14ac:dyDescent="0.2"/>
    <row r="94" spans="1:4" ht="14.1" customHeight="1" x14ac:dyDescent="0.2">
      <c r="A94" s="23" t="s">
        <v>926</v>
      </c>
      <c r="C94" s="25">
        <f>SUM(C32:C92)</f>
        <v>2397284889.686667</v>
      </c>
    </row>
    <row r="95" spans="1:4" ht="14.1" customHeight="1" x14ac:dyDescent="0.2">
      <c r="A95" s="23" t="s">
        <v>1119</v>
      </c>
      <c r="B95" s="24">
        <f>(B30+B31+B37+B38+B44+B45+B53+B54+B60+B61)*-1</f>
        <v>22001313.583333336</v>
      </c>
      <c r="D95" s="23" t="str">
        <f>IF(B95=SUM('AFUDC Depr AccDepr'!L51:M51,'AFUDC Depr AccDepr'!L54:M54),"ok","err")</f>
        <v>ok</v>
      </c>
    </row>
    <row r="96" spans="1:4" ht="14.1" customHeight="1" x14ac:dyDescent="0.2"/>
    <row r="97" spans="1:3" ht="14.1" customHeight="1" thickBot="1" x14ac:dyDescent="0.25">
      <c r="A97" s="23" t="s">
        <v>927</v>
      </c>
      <c r="C97" s="145">
        <f>SUM(B94:C96)</f>
        <v>2419286203.2700005</v>
      </c>
    </row>
    <row r="98" spans="1:3" ht="14.1" customHeight="1" thickTop="1" x14ac:dyDescent="0.2">
      <c r="C98" s="24"/>
    </row>
    <row r="99" spans="1:3" ht="14.1" customHeight="1" x14ac:dyDescent="0.2"/>
    <row r="100" spans="1:3" ht="14.1" customHeight="1" x14ac:dyDescent="0.2">
      <c r="A100" s="157"/>
      <c r="C100" s="489"/>
    </row>
    <row r="101" spans="1:3" ht="14.1" customHeight="1" x14ac:dyDescent="0.2"/>
    <row r="102" spans="1:3" ht="14.1" customHeight="1" x14ac:dyDescent="0.2">
      <c r="C102" s="25"/>
    </row>
  </sheetData>
  <phoneticPr fontId="10" type="noConversion"/>
  <printOptions horizontalCentered="1"/>
  <pageMargins left="0.75" right="0.75" top="0.5" bottom="0.25" header="0.5" footer="0.5"/>
  <pageSetup scale="98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48"/>
  <sheetViews>
    <sheetView zoomScaleNormal="100" workbookViewId="0">
      <selection activeCell="N7" sqref="N7"/>
    </sheetView>
  </sheetViews>
  <sheetFormatPr defaultColWidth="7" defaultRowHeight="11.25" x14ac:dyDescent="0.2"/>
  <cols>
    <col min="1" max="1" width="16.375" style="35" customWidth="1"/>
    <col min="2" max="2" width="14" style="36" customWidth="1"/>
    <col min="3" max="3" width="2.5" style="36" customWidth="1"/>
    <col min="4" max="4" width="17.375" style="36" customWidth="1"/>
    <col min="5" max="5" width="2.5" style="36" customWidth="1"/>
    <col min="6" max="6" width="17" style="36" customWidth="1"/>
    <col min="7" max="7" width="3.375" style="36" customWidth="1"/>
    <col min="8" max="8" width="17" style="36" customWidth="1"/>
    <col min="9" max="9" width="10.375" style="37" bestFit="1" customWidth="1"/>
    <col min="10" max="10" width="9" style="37" bestFit="1" customWidth="1"/>
    <col min="11" max="11" width="21.375" style="36" customWidth="1"/>
    <col min="12" max="13" width="7" style="36"/>
    <col min="14" max="14" width="9.625" style="36" customWidth="1"/>
    <col min="15" max="15" width="43.875" style="36" bestFit="1" customWidth="1"/>
    <col min="16" max="16" width="7" style="36" customWidth="1"/>
    <col min="17" max="17" width="20.125" style="36" bestFit="1" customWidth="1"/>
    <col min="18" max="16384" width="7" style="36"/>
  </cols>
  <sheetData>
    <row r="1" spans="1:17" ht="12.75" x14ac:dyDescent="0.2">
      <c r="A1" s="178"/>
      <c r="B1" s="179"/>
      <c r="C1" s="179"/>
      <c r="D1" s="179"/>
      <c r="E1" s="179"/>
      <c r="F1" s="179"/>
      <c r="G1" s="179"/>
      <c r="H1" s="181"/>
      <c r="I1" s="38"/>
      <c r="J1" s="38"/>
      <c r="K1" s="39"/>
    </row>
    <row r="2" spans="1:17" ht="18" x14ac:dyDescent="0.25">
      <c r="A2" s="502" t="s">
        <v>1515</v>
      </c>
      <c r="B2" s="503"/>
      <c r="C2" s="503"/>
      <c r="D2" s="503"/>
      <c r="E2" s="503"/>
      <c r="F2" s="503"/>
      <c r="G2" s="503"/>
      <c r="H2" s="504"/>
      <c r="I2" s="505" t="s">
        <v>1514</v>
      </c>
      <c r="J2" s="506"/>
      <c r="K2" s="506"/>
    </row>
    <row r="3" spans="1:17" ht="18" x14ac:dyDescent="0.25">
      <c r="A3" s="502" t="s">
        <v>999</v>
      </c>
      <c r="B3" s="503"/>
      <c r="C3" s="503"/>
      <c r="D3" s="503"/>
      <c r="E3" s="503"/>
      <c r="F3" s="503"/>
      <c r="G3" s="503"/>
      <c r="H3" s="504"/>
      <c r="I3" s="261"/>
      <c r="J3" s="261"/>
      <c r="K3" s="152"/>
      <c r="N3" s="372"/>
      <c r="O3" s="372"/>
      <c r="P3" s="372"/>
      <c r="Q3" s="373"/>
    </row>
    <row r="4" spans="1:17" ht="12.75" x14ac:dyDescent="0.2">
      <c r="A4" s="182"/>
      <c r="B4" s="180"/>
      <c r="C4" s="180"/>
      <c r="D4" s="180"/>
      <c r="E4" s="180"/>
      <c r="F4" s="180"/>
      <c r="G4" s="180"/>
      <c r="H4" s="183"/>
      <c r="I4" s="262" t="s">
        <v>1016</v>
      </c>
      <c r="J4" s="262" t="s">
        <v>767</v>
      </c>
      <c r="K4" s="263" t="s">
        <v>1017</v>
      </c>
      <c r="N4" s="372"/>
      <c r="O4" s="372"/>
      <c r="P4" s="372"/>
      <c r="Q4" s="373"/>
    </row>
    <row r="5" spans="1:17" ht="12.75" x14ac:dyDescent="0.2">
      <c r="A5" s="184"/>
      <c r="B5" s="185" t="s">
        <v>1000</v>
      </c>
      <c r="C5" s="186"/>
      <c r="D5" s="185" t="s">
        <v>1001</v>
      </c>
      <c r="E5" s="186"/>
      <c r="F5" s="185" t="s">
        <v>1002</v>
      </c>
      <c r="G5" s="186"/>
      <c r="H5" s="187" t="s">
        <v>107</v>
      </c>
      <c r="I5" s="264" t="s">
        <v>1018</v>
      </c>
      <c r="J5" s="362">
        <v>105</v>
      </c>
      <c r="K5" s="265">
        <v>13913845.399999999</v>
      </c>
      <c r="L5" s="36" t="s">
        <v>106</v>
      </c>
      <c r="N5" s="372"/>
      <c r="O5" s="390"/>
      <c r="P5" s="372"/>
      <c r="Q5" s="373"/>
    </row>
    <row r="6" spans="1:17" ht="12.75" x14ac:dyDescent="0.2">
      <c r="A6" s="188"/>
      <c r="B6" s="189"/>
      <c r="C6" s="190"/>
      <c r="D6" s="189"/>
      <c r="E6" s="190"/>
      <c r="F6" s="189"/>
      <c r="G6" s="190"/>
      <c r="H6" s="191"/>
      <c r="I6" s="264"/>
      <c r="J6" s="362"/>
      <c r="K6" s="266"/>
      <c r="N6" s="372"/>
      <c r="O6" s="391"/>
      <c r="P6" s="372"/>
      <c r="Q6" s="373"/>
    </row>
    <row r="7" spans="1:17" ht="12.75" x14ac:dyDescent="0.2">
      <c r="A7" s="366" t="s">
        <v>1516</v>
      </c>
      <c r="B7" s="210"/>
      <c r="C7" s="211"/>
      <c r="D7" s="210"/>
      <c r="E7" s="211"/>
      <c r="F7" s="368"/>
      <c r="G7" s="211"/>
      <c r="H7" s="212">
        <v>333665.72000000137</v>
      </c>
      <c r="I7" s="264" t="s">
        <v>1018</v>
      </c>
      <c r="J7" s="362">
        <v>111</v>
      </c>
      <c r="K7" s="391">
        <v>265852213.66000032</v>
      </c>
      <c r="L7" s="36" t="s">
        <v>105</v>
      </c>
      <c r="N7" s="372"/>
      <c r="O7" s="391"/>
      <c r="P7" s="372"/>
      <c r="Q7" s="373"/>
    </row>
    <row r="8" spans="1:17" ht="12.75" x14ac:dyDescent="0.2">
      <c r="A8" s="209" t="s">
        <v>1006</v>
      </c>
      <c r="B8" s="426">
        <f>2356.83+714.19</f>
        <v>3071.02</v>
      </c>
      <c r="C8" s="367"/>
      <c r="D8" s="428">
        <v>0</v>
      </c>
      <c r="E8" s="211"/>
      <c r="F8" s="210">
        <f t="shared" ref="F8:F16" si="0">B8-D8</f>
        <v>3071.02</v>
      </c>
      <c r="G8" s="211"/>
      <c r="H8" s="212">
        <f>+H7+F8</f>
        <v>336736.74000000139</v>
      </c>
      <c r="I8" s="264"/>
      <c r="J8" s="362"/>
      <c r="K8" s="266"/>
      <c r="N8" s="372"/>
      <c r="O8" s="391"/>
      <c r="P8" s="372"/>
      <c r="Q8" s="373"/>
    </row>
    <row r="9" spans="1:17" ht="12.75" x14ac:dyDescent="0.2">
      <c r="A9" s="209" t="s">
        <v>1007</v>
      </c>
      <c r="B9" s="426">
        <f>2497.26+756.74</f>
        <v>3254</v>
      </c>
      <c r="C9" s="367"/>
      <c r="D9" s="428">
        <v>-0.01</v>
      </c>
      <c r="E9" s="211"/>
      <c r="F9" s="210">
        <f t="shared" si="0"/>
        <v>3254.01</v>
      </c>
      <c r="G9" s="211"/>
      <c r="H9" s="212">
        <f t="shared" ref="H9:H19" si="1">+H8+F9</f>
        <v>339990.7500000014</v>
      </c>
      <c r="I9" s="264" t="s">
        <v>1018</v>
      </c>
      <c r="J9" s="362">
        <v>121</v>
      </c>
      <c r="K9" s="266">
        <v>42132952.050000042</v>
      </c>
      <c r="L9" s="36" t="s">
        <v>998</v>
      </c>
      <c r="N9" s="372"/>
      <c r="O9" s="391"/>
      <c r="P9" s="372"/>
      <c r="Q9" s="373"/>
    </row>
    <row r="10" spans="1:17" ht="12.75" x14ac:dyDescent="0.2">
      <c r="A10" s="209" t="s">
        <v>1008</v>
      </c>
      <c r="B10" s="426">
        <f>2927.53+887.12</f>
        <v>3814.65</v>
      </c>
      <c r="C10" s="367"/>
      <c r="D10" s="428">
        <f>-0.07+0.01</f>
        <v>-6.0000000000000005E-2</v>
      </c>
      <c r="E10" s="211"/>
      <c r="F10" s="210">
        <f t="shared" si="0"/>
        <v>3814.71</v>
      </c>
      <c r="G10" s="211"/>
      <c r="H10" s="212">
        <f t="shared" si="1"/>
        <v>343805.46000000142</v>
      </c>
      <c r="I10" s="264"/>
      <c r="J10" s="362"/>
      <c r="K10" s="266"/>
      <c r="N10" s="372"/>
      <c r="O10" s="391"/>
      <c r="P10" s="372"/>
      <c r="Q10" s="373"/>
    </row>
    <row r="11" spans="1:17" ht="12.75" x14ac:dyDescent="0.2">
      <c r="A11" s="209" t="s">
        <v>1009</v>
      </c>
      <c r="B11" s="426">
        <f>3620.68+1097.17</f>
        <v>4717.8500000000004</v>
      </c>
      <c r="C11" s="367"/>
      <c r="D11" s="428">
        <v>0</v>
      </c>
      <c r="E11" s="211"/>
      <c r="F11" s="210">
        <f t="shared" si="0"/>
        <v>4717.8500000000004</v>
      </c>
      <c r="G11" s="211"/>
      <c r="H11" s="212">
        <f t="shared" si="1"/>
        <v>348523.31000000139</v>
      </c>
      <c r="I11" s="264" t="s">
        <v>1018</v>
      </c>
      <c r="J11" s="362">
        <v>122</v>
      </c>
      <c r="K11" s="265">
        <v>21264678.32</v>
      </c>
      <c r="L11" s="36" t="s">
        <v>492</v>
      </c>
      <c r="N11" s="372"/>
      <c r="O11" s="265"/>
      <c r="P11" s="372"/>
      <c r="Q11" s="373"/>
    </row>
    <row r="12" spans="1:17" ht="12.75" x14ac:dyDescent="0.2">
      <c r="A12" s="209" t="s">
        <v>1010</v>
      </c>
      <c r="B12" s="426">
        <v>5704.14</v>
      </c>
      <c r="C12" s="367"/>
      <c r="D12" s="428">
        <v>0</v>
      </c>
      <c r="E12" s="211"/>
      <c r="F12" s="210">
        <f t="shared" si="0"/>
        <v>5704.14</v>
      </c>
      <c r="G12" s="211"/>
      <c r="H12" s="212">
        <f t="shared" si="1"/>
        <v>354227.45000000141</v>
      </c>
      <c r="I12" s="264"/>
      <c r="J12" s="362"/>
      <c r="K12" s="266"/>
      <c r="N12" s="372"/>
      <c r="O12" s="391"/>
      <c r="P12" s="372"/>
      <c r="Q12" s="373"/>
    </row>
    <row r="13" spans="1:17" ht="13.5" thickBot="1" x14ac:dyDescent="0.25">
      <c r="A13" s="209" t="s">
        <v>1011</v>
      </c>
      <c r="B13" s="426">
        <f>5125.08+1553.04</f>
        <v>6678.12</v>
      </c>
      <c r="C13" s="367"/>
      <c r="D13" s="428">
        <v>0</v>
      </c>
      <c r="E13" s="211"/>
      <c r="F13" s="210">
        <f t="shared" si="0"/>
        <v>6678.12</v>
      </c>
      <c r="G13" s="211"/>
      <c r="H13" s="212">
        <f t="shared" si="1"/>
        <v>360905.5700000014</v>
      </c>
      <c r="I13" s="264"/>
      <c r="J13" s="363" t="s">
        <v>1019</v>
      </c>
      <c r="K13" s="159">
        <f>SUM(K5:K11)</f>
        <v>343163689.43000036</v>
      </c>
      <c r="N13" s="372"/>
      <c r="O13" s="392"/>
      <c r="P13" s="372"/>
      <c r="Q13" s="373"/>
    </row>
    <row r="14" spans="1:17" ht="13.5" thickTop="1" x14ac:dyDescent="0.2">
      <c r="A14" s="209" t="s">
        <v>1012</v>
      </c>
      <c r="B14" s="426">
        <f>5788.53+1754.08</f>
        <v>7542.61</v>
      </c>
      <c r="C14" s="367"/>
      <c r="D14" s="428">
        <v>0</v>
      </c>
      <c r="E14" s="211"/>
      <c r="F14" s="210">
        <f t="shared" si="0"/>
        <v>7542.61</v>
      </c>
      <c r="G14" s="211"/>
      <c r="H14" s="212">
        <f t="shared" si="1"/>
        <v>368448.18000000139</v>
      </c>
      <c r="I14" s="264"/>
      <c r="J14" s="362"/>
      <c r="K14" s="266"/>
      <c r="N14" s="372"/>
      <c r="O14" s="391"/>
      <c r="P14" s="372"/>
      <c r="Q14" s="373"/>
    </row>
    <row r="15" spans="1:17" ht="12.75" x14ac:dyDescent="0.2">
      <c r="A15" s="209" t="s">
        <v>1013</v>
      </c>
      <c r="B15" s="426">
        <f>6341.9+1921.77</f>
        <v>8263.67</v>
      </c>
      <c r="C15" s="367"/>
      <c r="D15" s="428">
        <v>0</v>
      </c>
      <c r="E15" s="211"/>
      <c r="F15" s="210">
        <f t="shared" si="0"/>
        <v>8263.67</v>
      </c>
      <c r="G15" s="211"/>
      <c r="H15" s="212">
        <f t="shared" si="1"/>
        <v>376711.85000000137</v>
      </c>
      <c r="I15" s="262" t="s">
        <v>1016</v>
      </c>
      <c r="J15" s="364" t="s">
        <v>767</v>
      </c>
      <c r="K15" s="263" t="s">
        <v>1017</v>
      </c>
      <c r="N15" s="372"/>
      <c r="O15" s="393"/>
      <c r="P15" s="372"/>
      <c r="Q15" s="373"/>
    </row>
    <row r="16" spans="1:17" ht="12.75" x14ac:dyDescent="0.2">
      <c r="A16" s="209" t="s">
        <v>1014</v>
      </c>
      <c r="B16" s="426">
        <f>1745.88+529.05</f>
        <v>2274.9300000000003</v>
      </c>
      <c r="C16" s="367"/>
      <c r="D16" s="428">
        <f>9943.29+30685.04</f>
        <v>40628.33</v>
      </c>
      <c r="E16" s="211"/>
      <c r="F16" s="210">
        <f t="shared" si="0"/>
        <v>-38353.4</v>
      </c>
      <c r="G16" s="211"/>
      <c r="H16" s="212">
        <f t="shared" si="1"/>
        <v>338358.45000000135</v>
      </c>
      <c r="I16" s="264" t="s">
        <v>1020</v>
      </c>
      <c r="J16" s="362">
        <v>105</v>
      </c>
      <c r="K16" s="391">
        <v>0</v>
      </c>
      <c r="L16" s="36" t="s">
        <v>106</v>
      </c>
      <c r="N16" s="372"/>
      <c r="O16" s="391"/>
      <c r="P16" s="372"/>
      <c r="Q16" s="373"/>
    </row>
    <row r="17" spans="1:17" ht="12.75" x14ac:dyDescent="0.2">
      <c r="A17" s="366" t="s">
        <v>1517</v>
      </c>
      <c r="B17" s="426">
        <v>3548.12</v>
      </c>
      <c r="C17" s="367"/>
      <c r="D17" s="428">
        <v>0</v>
      </c>
      <c r="E17" s="211"/>
      <c r="F17" s="210">
        <f t="shared" ref="F17:F19" si="2">B17-D17</f>
        <v>3548.12</v>
      </c>
      <c r="G17" s="211"/>
      <c r="H17" s="212">
        <f t="shared" si="1"/>
        <v>341906.57000000135</v>
      </c>
      <c r="I17" s="261"/>
      <c r="J17" s="365"/>
      <c r="K17" s="391"/>
      <c r="N17" s="372"/>
      <c r="O17" s="373"/>
      <c r="P17" s="372"/>
      <c r="Q17" s="373"/>
    </row>
    <row r="18" spans="1:17" ht="12.75" x14ac:dyDescent="0.2">
      <c r="A18" s="209" t="s">
        <v>1004</v>
      </c>
      <c r="B18" s="426">
        <v>3802.15</v>
      </c>
      <c r="C18" s="367"/>
      <c r="D18" s="428">
        <v>0</v>
      </c>
      <c r="E18" s="211"/>
      <c r="F18" s="210">
        <f t="shared" si="2"/>
        <v>3802.15</v>
      </c>
      <c r="G18" s="211"/>
      <c r="H18" s="212">
        <f t="shared" si="1"/>
        <v>345708.72000000137</v>
      </c>
      <c r="I18" s="264" t="s">
        <v>1020</v>
      </c>
      <c r="J18" s="362">
        <v>121</v>
      </c>
      <c r="K18" s="391">
        <v>908362.50000000012</v>
      </c>
      <c r="L18" s="36" t="s">
        <v>998</v>
      </c>
      <c r="O18" s="268"/>
    </row>
    <row r="19" spans="1:17" ht="12.75" x14ac:dyDescent="0.2">
      <c r="A19" s="209" t="s">
        <v>1005</v>
      </c>
      <c r="B19" s="427">
        <v>4079.5899999999997</v>
      </c>
      <c r="C19" s="367"/>
      <c r="D19" s="429">
        <v>17674.93</v>
      </c>
      <c r="E19" s="211"/>
      <c r="F19" s="213">
        <f t="shared" si="2"/>
        <v>-13595.34</v>
      </c>
      <c r="G19" s="211"/>
      <c r="H19" s="214">
        <f t="shared" si="1"/>
        <v>332113.38000000134</v>
      </c>
      <c r="I19" s="261"/>
      <c r="J19" s="365"/>
      <c r="K19" s="391"/>
      <c r="O19" s="373"/>
    </row>
    <row r="20" spans="1:17" ht="12.75" x14ac:dyDescent="0.2">
      <c r="A20" s="192"/>
      <c r="B20" s="194"/>
      <c r="C20" s="193"/>
      <c r="D20" s="194"/>
      <c r="E20" s="193"/>
      <c r="F20" s="194"/>
      <c r="G20" s="193"/>
      <c r="H20" s="195"/>
      <c r="I20" s="264" t="s">
        <v>1020</v>
      </c>
      <c r="J20" s="362">
        <v>122</v>
      </c>
      <c r="K20" s="391">
        <v>1166386.3899999994</v>
      </c>
      <c r="L20" s="36" t="s">
        <v>492</v>
      </c>
      <c r="O20" s="265"/>
    </row>
    <row r="21" spans="1:17" ht="12.75" x14ac:dyDescent="0.2">
      <c r="A21" s="196" t="s">
        <v>108</v>
      </c>
      <c r="B21" s="197"/>
      <c r="C21" s="198"/>
      <c r="D21" s="197"/>
      <c r="E21" s="198"/>
      <c r="F21" s="197"/>
      <c r="G21" s="198"/>
      <c r="H21" s="199">
        <f>SUM(H7:H20)</f>
        <v>4521102.150000019</v>
      </c>
      <c r="I21" s="264"/>
      <c r="J21" s="362"/>
      <c r="K21" s="266"/>
      <c r="O21" s="391"/>
    </row>
    <row r="22" spans="1:17" ht="13.5" thickBot="1" x14ac:dyDescent="0.25">
      <c r="A22" s="200"/>
      <c r="B22" s="201"/>
      <c r="C22" s="202"/>
      <c r="D22" s="201"/>
      <c r="E22" s="202"/>
      <c r="F22" s="201"/>
      <c r="G22" s="202"/>
      <c r="H22" s="203"/>
      <c r="I22" s="264"/>
      <c r="J22" s="363" t="s">
        <v>1021</v>
      </c>
      <c r="K22" s="159">
        <f>SUM(K16:K20)</f>
        <v>2074748.8899999997</v>
      </c>
      <c r="O22" s="392"/>
    </row>
    <row r="23" spans="1:17" ht="13.5" thickTop="1" x14ac:dyDescent="0.2">
      <c r="A23" s="196" t="s">
        <v>109</v>
      </c>
      <c r="B23" s="197"/>
      <c r="C23" s="198"/>
      <c r="D23" s="197"/>
      <c r="E23" s="198"/>
      <c r="F23" s="197"/>
      <c r="G23" s="198"/>
      <c r="H23" s="199">
        <f>ROUND(H21/13,2)</f>
        <v>347777.09</v>
      </c>
      <c r="I23" s="261"/>
      <c r="J23" s="365"/>
      <c r="K23" s="152"/>
      <c r="O23" s="373"/>
    </row>
    <row r="24" spans="1:17" ht="13.5" thickBot="1" x14ac:dyDescent="0.25">
      <c r="A24" s="204"/>
      <c r="B24" s="205"/>
      <c r="C24" s="206"/>
      <c r="D24" s="205"/>
      <c r="E24" s="206"/>
      <c r="F24" s="205"/>
      <c r="G24" s="206"/>
      <c r="H24" s="207"/>
      <c r="I24" s="262" t="s">
        <v>1016</v>
      </c>
      <c r="J24" s="364" t="s">
        <v>767</v>
      </c>
      <c r="K24" s="263" t="s">
        <v>1017</v>
      </c>
      <c r="O24" s="393"/>
    </row>
    <row r="25" spans="1:17" ht="12.75" x14ac:dyDescent="0.2">
      <c r="A25" s="178"/>
      <c r="B25" s="179"/>
      <c r="C25" s="179"/>
      <c r="D25" s="179"/>
      <c r="E25" s="179"/>
      <c r="F25" s="180"/>
      <c r="G25" s="179"/>
      <c r="H25" s="181"/>
      <c r="I25" s="264" t="s">
        <v>1022</v>
      </c>
      <c r="J25" s="362">
        <v>121</v>
      </c>
      <c r="K25" s="391">
        <v>0</v>
      </c>
      <c r="L25" s="36" t="s">
        <v>998</v>
      </c>
      <c r="O25" s="391"/>
    </row>
    <row r="26" spans="1:17" ht="18" x14ac:dyDescent="0.25">
      <c r="A26" s="502" t="s">
        <v>1515</v>
      </c>
      <c r="B26" s="503"/>
      <c r="C26" s="503"/>
      <c r="D26" s="503"/>
      <c r="E26" s="503"/>
      <c r="F26" s="503"/>
      <c r="G26" s="503"/>
      <c r="H26" s="504"/>
      <c r="I26" s="264"/>
      <c r="J26" s="362"/>
      <c r="K26" s="391"/>
      <c r="O26" s="391"/>
    </row>
    <row r="27" spans="1:17" ht="18" x14ac:dyDescent="0.25">
      <c r="A27" s="502" t="s">
        <v>1015</v>
      </c>
      <c r="B27" s="503"/>
      <c r="C27" s="503"/>
      <c r="D27" s="503"/>
      <c r="E27" s="503"/>
      <c r="F27" s="503"/>
      <c r="G27" s="503"/>
      <c r="H27" s="504"/>
      <c r="I27" s="264" t="s">
        <v>1022</v>
      </c>
      <c r="J27" s="362">
        <v>122</v>
      </c>
      <c r="K27" s="391">
        <v>0</v>
      </c>
      <c r="L27" s="36" t="s">
        <v>492</v>
      </c>
      <c r="O27" s="391"/>
    </row>
    <row r="28" spans="1:17" ht="12.75" x14ac:dyDescent="0.2">
      <c r="A28" s="182"/>
      <c r="B28" s="180"/>
      <c r="C28" s="180"/>
      <c r="D28" s="180"/>
      <c r="E28" s="180"/>
      <c r="F28" s="180"/>
      <c r="G28" s="180"/>
      <c r="H28" s="183"/>
      <c r="I28" s="264"/>
      <c r="J28" s="362"/>
      <c r="K28" s="266"/>
      <c r="O28" s="391"/>
    </row>
    <row r="29" spans="1:17" ht="13.5" thickBot="1" x14ac:dyDescent="0.25">
      <c r="A29" s="184"/>
      <c r="B29" s="185" t="s">
        <v>1000</v>
      </c>
      <c r="C29" s="186"/>
      <c r="D29" s="185" t="s">
        <v>1001</v>
      </c>
      <c r="E29" s="186"/>
      <c r="F29" s="185" t="s">
        <v>1002</v>
      </c>
      <c r="G29" s="186"/>
      <c r="H29" s="187" t="s">
        <v>107</v>
      </c>
      <c r="I29" s="264"/>
      <c r="J29" s="269" t="s">
        <v>1023</v>
      </c>
      <c r="K29" s="159">
        <f>SUM(K25:K28)</f>
        <v>0</v>
      </c>
      <c r="O29" s="392"/>
    </row>
    <row r="30" spans="1:17" ht="13.5" thickTop="1" x14ac:dyDescent="0.2">
      <c r="A30" s="188"/>
      <c r="B30" s="189"/>
      <c r="C30" s="190"/>
      <c r="D30" s="189"/>
      <c r="E30" s="190"/>
      <c r="F30" s="189"/>
      <c r="G30" s="190"/>
      <c r="H30" s="191"/>
      <c r="I30" s="261"/>
      <c r="J30" s="261"/>
      <c r="K30" s="152"/>
      <c r="O30" s="373"/>
    </row>
    <row r="31" spans="1:17" ht="12.75" x14ac:dyDescent="0.2">
      <c r="A31" s="366" t="s">
        <v>1516</v>
      </c>
      <c r="B31" s="210"/>
      <c r="C31" s="211"/>
      <c r="D31" s="210"/>
      <c r="E31" s="211"/>
      <c r="F31" s="210"/>
      <c r="G31" s="211"/>
      <c r="H31" s="212">
        <v>6697.1500000000005</v>
      </c>
      <c r="I31" s="261"/>
      <c r="J31" s="261"/>
      <c r="K31" s="152"/>
      <c r="O31" s="373"/>
    </row>
    <row r="32" spans="1:17" ht="13.5" thickBot="1" x14ac:dyDescent="0.25">
      <c r="A32" s="209" t="s">
        <v>1006</v>
      </c>
      <c r="B32" s="426">
        <f>230.8+72.01</f>
        <v>302.81</v>
      </c>
      <c r="C32" s="430"/>
      <c r="D32" s="426">
        <v>0</v>
      </c>
      <c r="E32" s="211"/>
      <c r="F32" s="210">
        <f>B32-D32</f>
        <v>302.81</v>
      </c>
      <c r="G32" s="211"/>
      <c r="H32" s="212">
        <f>+H31+F32</f>
        <v>6999.9600000000009</v>
      </c>
      <c r="I32" s="264"/>
      <c r="J32" s="267" t="s">
        <v>1024</v>
      </c>
      <c r="K32" s="159">
        <f>SUM(K29,K22,K13)</f>
        <v>345238438.32000035</v>
      </c>
      <c r="O32" s="392"/>
    </row>
    <row r="33" spans="1:15" ht="13.5" thickTop="1" x14ac:dyDescent="0.2">
      <c r="A33" s="209" t="s">
        <v>1007</v>
      </c>
      <c r="B33" s="426">
        <f>340.76+106.31</f>
        <v>447.07</v>
      </c>
      <c r="C33" s="430"/>
      <c r="D33" s="426">
        <f>253.49+556.3</f>
        <v>809.79</v>
      </c>
      <c r="E33" s="211"/>
      <c r="F33" s="210">
        <f t="shared" ref="F33:F43" si="3">B33-D33</f>
        <v>-362.71999999999997</v>
      </c>
      <c r="G33" s="211"/>
      <c r="H33" s="212">
        <f t="shared" ref="H33:H43" si="4">+H32+F33</f>
        <v>6637.2400000000007</v>
      </c>
      <c r="O33" s="394"/>
    </row>
    <row r="34" spans="1:15" ht="12.75" x14ac:dyDescent="0.2">
      <c r="A34" s="209" t="s">
        <v>1008</v>
      </c>
      <c r="B34" s="426">
        <f>860.3+268.39</f>
        <v>1128.69</v>
      </c>
      <c r="C34" s="430"/>
      <c r="D34" s="426">
        <v>0</v>
      </c>
      <c r="E34" s="211"/>
      <c r="F34" s="210">
        <f t="shared" si="3"/>
        <v>1128.69</v>
      </c>
      <c r="G34" s="211"/>
      <c r="H34" s="212">
        <f t="shared" si="4"/>
        <v>7765.93</v>
      </c>
    </row>
    <row r="35" spans="1:15" ht="12.75" x14ac:dyDescent="0.2">
      <c r="A35" s="209" t="s">
        <v>1009</v>
      </c>
      <c r="B35" s="426">
        <f>411.08+128.25</f>
        <v>539.32999999999993</v>
      </c>
      <c r="C35" s="430"/>
      <c r="D35" s="426">
        <v>-0.01</v>
      </c>
      <c r="E35" s="211"/>
      <c r="F35" s="210">
        <f t="shared" si="3"/>
        <v>539.33999999999992</v>
      </c>
      <c r="G35" s="211"/>
      <c r="H35" s="212">
        <f t="shared" si="4"/>
        <v>8305.27</v>
      </c>
    </row>
    <row r="36" spans="1:15" ht="12.75" x14ac:dyDescent="0.2">
      <c r="A36" s="209" t="s">
        <v>1010</v>
      </c>
      <c r="B36" s="426">
        <v>287.14</v>
      </c>
      <c r="C36" s="430"/>
      <c r="D36" s="426">
        <v>0</v>
      </c>
      <c r="E36" s="211"/>
      <c r="F36" s="210">
        <f t="shared" si="3"/>
        <v>287.14</v>
      </c>
      <c r="G36" s="211"/>
      <c r="H36" s="212">
        <f t="shared" si="4"/>
        <v>8592.41</v>
      </c>
    </row>
    <row r="37" spans="1:15" ht="12.75" x14ac:dyDescent="0.2">
      <c r="A37" s="209" t="s">
        <v>1011</v>
      </c>
      <c r="B37" s="426">
        <f>233.17+72.75</f>
        <v>305.91999999999996</v>
      </c>
      <c r="C37" s="430"/>
      <c r="D37" s="426">
        <f>132.97+426.22</f>
        <v>559.19000000000005</v>
      </c>
      <c r="E37" s="211"/>
      <c r="F37" s="210">
        <f t="shared" si="3"/>
        <v>-253.2700000000001</v>
      </c>
      <c r="G37" s="211"/>
      <c r="H37" s="212">
        <f t="shared" si="4"/>
        <v>8339.14</v>
      </c>
    </row>
    <row r="38" spans="1:15" ht="12.75" x14ac:dyDescent="0.2">
      <c r="A38" s="209" t="s">
        <v>1012</v>
      </c>
      <c r="B38" s="426">
        <f>247.64+77.25</f>
        <v>324.89</v>
      </c>
      <c r="C38" s="430"/>
      <c r="D38" s="426">
        <v>0</v>
      </c>
      <c r="E38" s="211"/>
      <c r="F38" s="210">
        <f t="shared" si="3"/>
        <v>324.89</v>
      </c>
      <c r="G38" s="211"/>
      <c r="H38" s="212">
        <f t="shared" si="4"/>
        <v>8664.0299999999988</v>
      </c>
    </row>
    <row r="39" spans="1:15" ht="12.75" x14ac:dyDescent="0.2">
      <c r="A39" s="209" t="s">
        <v>1013</v>
      </c>
      <c r="B39" s="426">
        <f>256.55+80.03</f>
        <v>336.58000000000004</v>
      </c>
      <c r="C39" s="430"/>
      <c r="D39" s="426">
        <v>0</v>
      </c>
      <c r="E39" s="211"/>
      <c r="F39" s="210">
        <f t="shared" si="3"/>
        <v>336.58000000000004</v>
      </c>
      <c r="G39" s="211"/>
      <c r="H39" s="212">
        <f t="shared" si="4"/>
        <v>9000.6099999999988</v>
      </c>
    </row>
    <row r="40" spans="1:15" ht="12.75" x14ac:dyDescent="0.2">
      <c r="A40" s="209" t="s">
        <v>1014</v>
      </c>
      <c r="B40" s="426">
        <f>149.22+46.55</f>
        <v>195.76999999999998</v>
      </c>
      <c r="C40" s="430"/>
      <c r="D40" s="426">
        <v>0</v>
      </c>
      <c r="E40" s="211"/>
      <c r="F40" s="210">
        <f t="shared" si="3"/>
        <v>195.76999999999998</v>
      </c>
      <c r="G40" s="211"/>
      <c r="H40" s="212">
        <f t="shared" si="4"/>
        <v>9196.3799999999992</v>
      </c>
    </row>
    <row r="41" spans="1:15" ht="12.75" x14ac:dyDescent="0.2">
      <c r="A41" s="366" t="s">
        <v>1517</v>
      </c>
      <c r="B41" s="426">
        <v>130.07</v>
      </c>
      <c r="C41" s="430"/>
      <c r="D41" s="426">
        <v>0</v>
      </c>
      <c r="E41" s="211"/>
      <c r="F41" s="210">
        <f t="shared" si="3"/>
        <v>130.07</v>
      </c>
      <c r="G41" s="211"/>
      <c r="H41" s="212">
        <f t="shared" si="4"/>
        <v>9326.4499999999989</v>
      </c>
    </row>
    <row r="42" spans="1:15" ht="12.75" x14ac:dyDescent="0.2">
      <c r="A42" s="209" t="s">
        <v>1004</v>
      </c>
      <c r="B42" s="426">
        <v>133.31</v>
      </c>
      <c r="C42" s="430"/>
      <c r="D42" s="426">
        <v>0</v>
      </c>
      <c r="E42" s="211"/>
      <c r="F42" s="210">
        <f t="shared" si="3"/>
        <v>133.31</v>
      </c>
      <c r="G42" s="211"/>
      <c r="H42" s="212">
        <f t="shared" si="4"/>
        <v>9459.7599999999984</v>
      </c>
    </row>
    <row r="43" spans="1:15" ht="12.75" x14ac:dyDescent="0.2">
      <c r="A43" s="209" t="s">
        <v>1005</v>
      </c>
      <c r="B43" s="427">
        <v>134.72</v>
      </c>
      <c r="C43" s="430"/>
      <c r="D43" s="427">
        <v>878.17000000000007</v>
      </c>
      <c r="E43" s="211"/>
      <c r="F43" s="213">
        <f t="shared" si="3"/>
        <v>-743.45</v>
      </c>
      <c r="G43" s="211"/>
      <c r="H43" s="214">
        <f t="shared" si="4"/>
        <v>8716.3099999999977</v>
      </c>
    </row>
    <row r="44" spans="1:15" ht="12.75" x14ac:dyDescent="0.2">
      <c r="A44" s="192"/>
      <c r="B44" s="194"/>
      <c r="C44" s="193"/>
      <c r="D44" s="194"/>
      <c r="E44" s="193"/>
      <c r="F44" s="194"/>
      <c r="G44" s="193"/>
      <c r="H44" s="195"/>
    </row>
    <row r="45" spans="1:15" ht="12.75" x14ac:dyDescent="0.2">
      <c r="A45" s="196" t="s">
        <v>108</v>
      </c>
      <c r="B45" s="197"/>
      <c r="C45" s="198"/>
      <c r="D45" s="197"/>
      <c r="E45" s="198"/>
      <c r="F45" s="197"/>
      <c r="G45" s="198"/>
      <c r="H45" s="208">
        <f>SUM(H31:H44)</f>
        <v>107700.64</v>
      </c>
    </row>
    <row r="46" spans="1:15" ht="12.75" x14ac:dyDescent="0.2">
      <c r="A46" s="196"/>
      <c r="B46" s="197"/>
      <c r="C46" s="198"/>
      <c r="D46" s="197"/>
      <c r="E46" s="198"/>
      <c r="F46" s="197"/>
      <c r="G46" s="198"/>
      <c r="H46" s="208"/>
    </row>
    <row r="47" spans="1:15" ht="12.75" x14ac:dyDescent="0.2">
      <c r="A47" s="196" t="s">
        <v>109</v>
      </c>
      <c r="B47" s="197"/>
      <c r="C47" s="198"/>
      <c r="D47" s="197"/>
      <c r="E47" s="198"/>
      <c r="F47" s="197"/>
      <c r="G47" s="198"/>
      <c r="H47" s="208">
        <f>ROUND(H45/13,2)</f>
        <v>8284.66</v>
      </c>
    </row>
    <row r="48" spans="1:15" ht="13.5" thickBot="1" x14ac:dyDescent="0.25">
      <c r="A48" s="204"/>
      <c r="B48" s="205"/>
      <c r="C48" s="206"/>
      <c r="D48" s="205"/>
      <c r="E48" s="206"/>
      <c r="F48" s="205"/>
      <c r="G48" s="206"/>
      <c r="H48" s="207"/>
    </row>
  </sheetData>
  <mergeCells count="5">
    <mergeCell ref="A26:H26"/>
    <mergeCell ref="A27:H27"/>
    <mergeCell ref="I2:K2"/>
    <mergeCell ref="A2:H2"/>
    <mergeCell ref="A3:H3"/>
  </mergeCells>
  <phoneticPr fontId="10" type="noConversion"/>
  <pageMargins left="1.25" right="0.75" top="1" bottom="1" header="0.5" footer="0.5"/>
  <pageSetup scale="86" orientation="portrait" cellComments="asDisplaye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M92"/>
  <sheetViews>
    <sheetView zoomScale="85" zoomScaleNormal="85" workbookViewId="0">
      <selection activeCell="F65" sqref="F65"/>
    </sheetView>
  </sheetViews>
  <sheetFormatPr defaultColWidth="7.125" defaultRowHeight="12.75" x14ac:dyDescent="0.2"/>
  <cols>
    <col min="1" max="1" width="12.875" style="277" customWidth="1"/>
    <col min="2" max="2" width="7.125" style="277" customWidth="1"/>
    <col min="3" max="3" width="9.625" style="277" customWidth="1"/>
    <col min="4" max="5" width="9.375" style="277" customWidth="1"/>
    <col min="6" max="6" width="10" style="277" customWidth="1"/>
    <col min="7" max="7" width="14.125" style="277" bestFit="1" customWidth="1"/>
    <col min="8" max="8" width="7.125" style="277" customWidth="1"/>
    <col min="9" max="9" width="8.75" style="277" customWidth="1"/>
    <col min="10" max="10" width="12.875" style="277" bestFit="1" customWidth="1"/>
    <col min="11" max="11" width="7.125" style="277" customWidth="1"/>
    <col min="12" max="12" width="11.375" style="277" customWidth="1"/>
    <col min="13" max="13" width="11.25" style="277" customWidth="1"/>
    <col min="14" max="16384" width="7.125" style="277"/>
  </cols>
  <sheetData>
    <row r="2" spans="1:13" ht="15.75" x14ac:dyDescent="0.25">
      <c r="A2" s="509" t="s">
        <v>928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</row>
    <row r="3" spans="1:13" ht="15.75" x14ac:dyDescent="0.25">
      <c r="A3" s="510" t="s">
        <v>929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</row>
    <row r="4" spans="1:13" x14ac:dyDescent="0.2">
      <c r="A4" s="511" t="s">
        <v>1512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</row>
    <row r="5" spans="1:13" x14ac:dyDescent="0.2">
      <c r="A5" s="274"/>
      <c r="B5" s="274"/>
      <c r="C5" s="274"/>
      <c r="D5" s="274"/>
      <c r="E5" s="274"/>
      <c r="F5" s="274"/>
      <c r="G5" s="274"/>
      <c r="H5" s="270"/>
      <c r="I5" s="274"/>
      <c r="J5" s="274"/>
      <c r="K5" s="222"/>
      <c r="L5" s="222"/>
      <c r="M5" s="222"/>
    </row>
    <row r="6" spans="1:13" s="150" customFormat="1" x14ac:dyDescent="0.2">
      <c r="A6" s="271"/>
      <c r="B6" s="272"/>
      <c r="C6" s="272"/>
      <c r="D6" s="272"/>
      <c r="E6" s="272"/>
      <c r="F6" s="478" t="s">
        <v>930</v>
      </c>
      <c r="G6" s="478"/>
      <c r="H6" s="271"/>
      <c r="I6" s="271"/>
      <c r="J6" s="271"/>
      <c r="K6" s="271"/>
      <c r="L6" s="512" t="s">
        <v>931</v>
      </c>
      <c r="M6" s="512"/>
    </row>
    <row r="7" spans="1:13" s="150" customFormat="1" x14ac:dyDescent="0.2">
      <c r="A7" s="271"/>
      <c r="B7" s="272"/>
      <c r="C7" s="507" t="s">
        <v>932</v>
      </c>
      <c r="D7" s="507"/>
      <c r="E7" s="272"/>
      <c r="F7" s="478" t="s">
        <v>1519</v>
      </c>
      <c r="G7" s="478"/>
      <c r="H7" s="271"/>
      <c r="I7" s="508" t="s">
        <v>1520</v>
      </c>
      <c r="J7" s="508"/>
      <c r="K7" s="271"/>
      <c r="L7" s="513" t="s">
        <v>1518</v>
      </c>
      <c r="M7" s="513"/>
    </row>
    <row r="8" spans="1:13" s="150" customFormat="1" ht="13.5" thickBot="1" x14ac:dyDescent="0.25">
      <c r="A8" s="271"/>
      <c r="B8" s="272"/>
      <c r="C8" s="273" t="s">
        <v>934</v>
      </c>
      <c r="D8" s="273" t="s">
        <v>935</v>
      </c>
      <c r="E8" s="272"/>
      <c r="F8" s="273" t="s">
        <v>934</v>
      </c>
      <c r="G8" s="273" t="s">
        <v>935</v>
      </c>
      <c r="H8" s="271"/>
      <c r="I8" s="273" t="s">
        <v>934</v>
      </c>
      <c r="J8" s="273" t="s">
        <v>935</v>
      </c>
      <c r="K8" s="271"/>
      <c r="L8" s="273" t="s">
        <v>934</v>
      </c>
      <c r="M8" s="273" t="s">
        <v>935</v>
      </c>
    </row>
    <row r="9" spans="1:13" x14ac:dyDescent="0.2">
      <c r="A9" s="274"/>
      <c r="B9" s="274"/>
      <c r="C9" s="274"/>
      <c r="D9" s="274"/>
      <c r="E9" s="274"/>
      <c r="F9" s="479"/>
      <c r="G9" s="479"/>
      <c r="H9" s="274"/>
      <c r="I9" s="278"/>
      <c r="J9" s="278"/>
      <c r="K9" s="274"/>
      <c r="L9" s="479"/>
      <c r="M9" s="479"/>
    </row>
    <row r="10" spans="1:13" x14ac:dyDescent="0.2">
      <c r="A10" s="274" t="s">
        <v>936</v>
      </c>
      <c r="B10" s="274"/>
      <c r="C10" s="274">
        <v>896</v>
      </c>
      <c r="D10" s="274">
        <v>23741</v>
      </c>
      <c r="E10" s="274"/>
      <c r="F10" s="480">
        <v>896</v>
      </c>
      <c r="G10" s="480">
        <v>23546.75</v>
      </c>
      <c r="H10" s="274"/>
      <c r="I10" s="369">
        <f>C10/12</f>
        <v>74.666666666666671</v>
      </c>
      <c r="J10" s="369">
        <f>D10/12</f>
        <v>1978.4166666666667</v>
      </c>
      <c r="K10" s="274"/>
      <c r="L10" s="369">
        <v>24260</v>
      </c>
      <c r="M10" s="369">
        <v>179014.25</v>
      </c>
    </row>
    <row r="11" spans="1:13" x14ac:dyDescent="0.2">
      <c r="A11" s="274" t="s">
        <v>937</v>
      </c>
      <c r="B11" s="274"/>
      <c r="C11" s="274">
        <v>2272</v>
      </c>
      <c r="D11" s="274">
        <v>8008</v>
      </c>
      <c r="E11" s="274"/>
      <c r="F11" s="480">
        <v>2272</v>
      </c>
      <c r="G11" s="480">
        <v>3514</v>
      </c>
      <c r="H11" s="274"/>
      <c r="I11" s="369">
        <f t="shared" ref="I11:J28" si="0">C11/12</f>
        <v>189.33333333333334</v>
      </c>
      <c r="J11" s="369">
        <f t="shared" si="0"/>
        <v>667.33333333333337</v>
      </c>
      <c r="K11" s="274"/>
      <c r="L11" s="369">
        <v>18657</v>
      </c>
      <c r="M11" s="369">
        <v>12880</v>
      </c>
    </row>
    <row r="12" spans="1:13" x14ac:dyDescent="0.2">
      <c r="A12" s="274" t="s">
        <v>938</v>
      </c>
      <c r="B12" s="274"/>
      <c r="C12" s="274">
        <v>160706</v>
      </c>
      <c r="D12" s="274">
        <v>18427</v>
      </c>
      <c r="E12" s="274"/>
      <c r="F12" s="480">
        <v>163607.75</v>
      </c>
      <c r="G12" s="480">
        <v>18427</v>
      </c>
      <c r="H12" s="274"/>
      <c r="I12" s="369">
        <f t="shared" si="0"/>
        <v>13392.166666666666</v>
      </c>
      <c r="J12" s="369">
        <f t="shared" si="0"/>
        <v>1535.5833333333333</v>
      </c>
      <c r="K12" s="274"/>
      <c r="L12" s="369">
        <v>7042257.5</v>
      </c>
      <c r="M12" s="369">
        <v>151161.75</v>
      </c>
    </row>
    <row r="13" spans="1:13" x14ac:dyDescent="0.2">
      <c r="A13" s="274" t="s">
        <v>939</v>
      </c>
      <c r="B13" s="274"/>
      <c r="C13" s="274">
        <v>236088</v>
      </c>
      <c r="D13" s="274">
        <v>29890</v>
      </c>
      <c r="E13" s="274"/>
      <c r="F13" s="480">
        <v>244275</v>
      </c>
      <c r="G13" s="480">
        <v>24130</v>
      </c>
      <c r="H13" s="274"/>
      <c r="I13" s="369">
        <f t="shared" si="0"/>
        <v>19674</v>
      </c>
      <c r="J13" s="369">
        <f t="shared" si="0"/>
        <v>2490.8333333333335</v>
      </c>
      <c r="K13" s="274"/>
      <c r="L13" s="369">
        <v>8107255</v>
      </c>
      <c r="M13" s="369">
        <v>182845.5</v>
      </c>
    </row>
    <row r="14" spans="1:13" x14ac:dyDescent="0.2">
      <c r="A14" s="274" t="s">
        <v>972</v>
      </c>
      <c r="B14" s="274"/>
      <c r="C14" s="274">
        <v>106</v>
      </c>
      <c r="D14" s="274">
        <v>38</v>
      </c>
      <c r="E14" s="274"/>
      <c r="F14" s="480">
        <v>106</v>
      </c>
      <c r="G14" s="480">
        <v>38</v>
      </c>
      <c r="H14" s="274"/>
      <c r="I14" s="369">
        <f t="shared" si="0"/>
        <v>8.8333333333333339</v>
      </c>
      <c r="J14" s="369">
        <f t="shared" si="0"/>
        <v>3.1666666666666665</v>
      </c>
      <c r="K14" s="274"/>
      <c r="L14" s="369">
        <v>3903.5</v>
      </c>
      <c r="M14" s="369">
        <v>565.5</v>
      </c>
    </row>
    <row r="15" spans="1:13" x14ac:dyDescent="0.2">
      <c r="A15" s="274" t="s">
        <v>973</v>
      </c>
      <c r="B15" s="274"/>
      <c r="C15" s="274">
        <v>8291</v>
      </c>
      <c r="D15" s="274">
        <v>2380</v>
      </c>
      <c r="E15" s="275"/>
      <c r="F15" s="480">
        <v>8291</v>
      </c>
      <c r="G15" s="480">
        <v>2334.25</v>
      </c>
      <c r="H15" s="274"/>
      <c r="I15" s="369">
        <f t="shared" si="0"/>
        <v>690.91666666666663</v>
      </c>
      <c r="J15" s="369">
        <f t="shared" si="0"/>
        <v>198.33333333333334</v>
      </c>
      <c r="K15" s="274"/>
      <c r="L15" s="369">
        <v>224150.75</v>
      </c>
      <c r="M15" s="369">
        <v>16763</v>
      </c>
    </row>
    <row r="16" spans="1:13" x14ac:dyDescent="0.2">
      <c r="A16" s="274" t="s">
        <v>974</v>
      </c>
      <c r="B16" s="274"/>
      <c r="C16" s="274">
        <v>143</v>
      </c>
      <c r="D16" s="274">
        <v>5326</v>
      </c>
      <c r="E16" s="274"/>
      <c r="F16" s="480">
        <v>143</v>
      </c>
      <c r="G16" s="480">
        <v>5277.25</v>
      </c>
      <c r="H16" s="274"/>
      <c r="I16" s="369">
        <f t="shared" si="0"/>
        <v>11.916666666666666</v>
      </c>
      <c r="J16" s="369">
        <f t="shared" si="0"/>
        <v>443.83333333333331</v>
      </c>
      <c r="K16" s="274"/>
      <c r="L16" s="369">
        <v>3355.75</v>
      </c>
      <c r="M16" s="369">
        <v>72944.5</v>
      </c>
    </row>
    <row r="17" spans="1:13" x14ac:dyDescent="0.2">
      <c r="A17" s="274" t="s">
        <v>975</v>
      </c>
      <c r="B17" s="274"/>
      <c r="C17" s="274">
        <v>696</v>
      </c>
      <c r="D17" s="274">
        <v>15580</v>
      </c>
      <c r="E17" s="274"/>
      <c r="F17" s="480">
        <v>696</v>
      </c>
      <c r="G17" s="480">
        <v>15331.75</v>
      </c>
      <c r="H17" s="274"/>
      <c r="I17" s="369">
        <f t="shared" si="0"/>
        <v>58</v>
      </c>
      <c r="J17" s="369">
        <f t="shared" si="0"/>
        <v>1298.3333333333333</v>
      </c>
      <c r="K17" s="274"/>
      <c r="L17" s="369">
        <v>25204</v>
      </c>
      <c r="M17" s="369">
        <v>86881</v>
      </c>
    </row>
    <row r="18" spans="1:13" x14ac:dyDescent="0.2">
      <c r="A18" s="274" t="s">
        <v>976</v>
      </c>
      <c r="B18" s="274"/>
      <c r="C18" s="274">
        <v>0</v>
      </c>
      <c r="D18" s="274">
        <v>0</v>
      </c>
      <c r="E18" s="274"/>
      <c r="F18" s="480">
        <v>0</v>
      </c>
      <c r="G18" s="480">
        <v>0</v>
      </c>
      <c r="H18" s="274"/>
      <c r="I18" s="369">
        <f t="shared" si="0"/>
        <v>0</v>
      </c>
      <c r="J18" s="369">
        <f t="shared" si="0"/>
        <v>0</v>
      </c>
      <c r="K18" s="274"/>
      <c r="L18" s="369">
        <v>0</v>
      </c>
      <c r="M18" s="369">
        <v>700</v>
      </c>
    </row>
    <row r="19" spans="1:13" x14ac:dyDescent="0.2">
      <c r="A19" s="274" t="s">
        <v>977</v>
      </c>
      <c r="B19" s="274"/>
      <c r="C19" s="274">
        <v>86</v>
      </c>
      <c r="D19" s="274">
        <v>633</v>
      </c>
      <c r="E19" s="274"/>
      <c r="F19" s="480">
        <v>86</v>
      </c>
      <c r="G19" s="480">
        <v>633</v>
      </c>
      <c r="H19" s="274"/>
      <c r="I19" s="369">
        <f t="shared" si="0"/>
        <v>7.166666666666667</v>
      </c>
      <c r="J19" s="369">
        <f t="shared" si="0"/>
        <v>52.75</v>
      </c>
      <c r="K19" s="274"/>
      <c r="L19" s="369">
        <v>2439.5</v>
      </c>
      <c r="M19" s="369">
        <v>5014.25</v>
      </c>
    </row>
    <row r="20" spans="1:13" x14ac:dyDescent="0.2">
      <c r="A20" s="274" t="s">
        <v>978</v>
      </c>
      <c r="B20" s="274"/>
      <c r="C20" s="274">
        <v>1215</v>
      </c>
      <c r="D20" s="274">
        <v>711</v>
      </c>
      <c r="E20" s="274"/>
      <c r="F20" s="480">
        <v>1215.75</v>
      </c>
      <c r="G20" s="480">
        <v>711</v>
      </c>
      <c r="H20" s="274"/>
      <c r="I20" s="369">
        <f t="shared" si="0"/>
        <v>101.25</v>
      </c>
      <c r="J20" s="369">
        <f t="shared" si="0"/>
        <v>59.25</v>
      </c>
      <c r="K20" s="274"/>
      <c r="L20" s="369">
        <v>20142.75</v>
      </c>
      <c r="M20" s="369">
        <v>8331.75</v>
      </c>
    </row>
    <row r="21" spans="1:13" x14ac:dyDescent="0.2">
      <c r="A21" s="274" t="s">
        <v>979</v>
      </c>
      <c r="B21" s="274"/>
      <c r="C21" s="274">
        <v>0</v>
      </c>
      <c r="D21" s="274">
        <v>0</v>
      </c>
      <c r="E21" s="274"/>
      <c r="F21" s="480">
        <v>0</v>
      </c>
      <c r="G21" s="480">
        <v>0</v>
      </c>
      <c r="H21" s="274"/>
      <c r="I21" s="369">
        <f t="shared" si="0"/>
        <v>0</v>
      </c>
      <c r="J21" s="369">
        <f t="shared" si="0"/>
        <v>0</v>
      </c>
      <c r="K21" s="274"/>
      <c r="L21" s="369">
        <v>584</v>
      </c>
      <c r="M21" s="369">
        <v>604</v>
      </c>
    </row>
    <row r="22" spans="1:13" x14ac:dyDescent="0.2">
      <c r="A22" s="274" t="s">
        <v>980</v>
      </c>
      <c r="B22" s="274"/>
      <c r="C22" s="274">
        <v>0</v>
      </c>
      <c r="D22" s="274">
        <v>1171</v>
      </c>
      <c r="E22" s="274"/>
      <c r="F22" s="480">
        <v>0</v>
      </c>
      <c r="G22" s="480">
        <v>1171</v>
      </c>
      <c r="H22" s="274"/>
      <c r="I22" s="369">
        <f t="shared" si="0"/>
        <v>0</v>
      </c>
      <c r="J22" s="369">
        <f t="shared" si="0"/>
        <v>97.583333333333329</v>
      </c>
      <c r="K22" s="274"/>
      <c r="L22" s="369">
        <v>0</v>
      </c>
      <c r="M22" s="369">
        <v>9291.75</v>
      </c>
    </row>
    <row r="23" spans="1:13" s="431" customFormat="1" x14ac:dyDescent="0.2">
      <c r="A23" s="275" t="s">
        <v>1505</v>
      </c>
      <c r="B23" s="275"/>
      <c r="C23" s="275">
        <v>0</v>
      </c>
      <c r="D23" s="275">
        <v>364370</v>
      </c>
      <c r="E23" s="275"/>
      <c r="F23" s="480">
        <v>0</v>
      </c>
      <c r="G23" s="480">
        <v>364370</v>
      </c>
      <c r="H23" s="275"/>
      <c r="I23" s="370">
        <f t="shared" ref="I23" si="1">C23/12</f>
        <v>0</v>
      </c>
      <c r="J23" s="370">
        <f t="shared" ref="J23" si="2">D23/12</f>
        <v>30364.166666666668</v>
      </c>
      <c r="K23" s="275"/>
      <c r="L23" s="370">
        <v>0</v>
      </c>
      <c r="M23" s="370">
        <v>455462.5</v>
      </c>
    </row>
    <row r="24" spans="1:13" x14ac:dyDescent="0.2">
      <c r="A24" s="274" t="s">
        <v>1356</v>
      </c>
      <c r="B24" s="274"/>
      <c r="C24" s="274">
        <v>24</v>
      </c>
      <c r="D24" s="274">
        <v>91805</v>
      </c>
      <c r="E24" s="274"/>
      <c r="F24" s="480">
        <v>6</v>
      </c>
      <c r="G24" s="480">
        <v>90401.75</v>
      </c>
      <c r="H24" s="274"/>
      <c r="I24" s="369">
        <f>C24/12</f>
        <v>2</v>
      </c>
      <c r="J24" s="369">
        <f>D24/12</f>
        <v>7650.416666666667</v>
      </c>
      <c r="K24" s="274"/>
      <c r="L24" s="369">
        <v>6</v>
      </c>
      <c r="M24" s="369">
        <v>157852.25</v>
      </c>
    </row>
    <row r="25" spans="1:13" x14ac:dyDescent="0.2">
      <c r="A25" s="274" t="s">
        <v>597</v>
      </c>
      <c r="B25" s="274"/>
      <c r="C25" s="274">
        <v>105</v>
      </c>
      <c r="D25" s="274">
        <v>35327</v>
      </c>
      <c r="E25" s="274"/>
      <c r="F25" s="480">
        <v>123</v>
      </c>
      <c r="G25" s="480">
        <v>37008.5</v>
      </c>
      <c r="H25" s="274"/>
      <c r="I25" s="369">
        <f t="shared" si="0"/>
        <v>8.75</v>
      </c>
      <c r="J25" s="369">
        <f t="shared" si="0"/>
        <v>2943.9166666666665</v>
      </c>
      <c r="K25" s="274"/>
      <c r="L25" s="369">
        <v>9389.25</v>
      </c>
      <c r="M25" s="369">
        <v>886539.75</v>
      </c>
    </row>
    <row r="26" spans="1:13" s="431" customFormat="1" x14ac:dyDescent="0.2">
      <c r="A26" s="279" t="s">
        <v>1283</v>
      </c>
      <c r="B26" s="275"/>
      <c r="C26" s="275">
        <v>320</v>
      </c>
      <c r="D26" s="275">
        <v>30208</v>
      </c>
      <c r="E26" s="275"/>
      <c r="F26" s="480">
        <v>320</v>
      </c>
      <c r="G26" s="480">
        <v>38478.25</v>
      </c>
      <c r="H26" s="275"/>
      <c r="I26" s="370">
        <f t="shared" si="0"/>
        <v>26.666666666666668</v>
      </c>
      <c r="J26" s="370">
        <f t="shared" si="0"/>
        <v>2517.3333333333335</v>
      </c>
      <c r="K26" s="275"/>
      <c r="L26" s="370">
        <v>933.33333333333337</v>
      </c>
      <c r="M26" s="370">
        <v>119900.66666666667</v>
      </c>
    </row>
    <row r="27" spans="1:13" x14ac:dyDescent="0.2">
      <c r="A27" s="275" t="s">
        <v>598</v>
      </c>
      <c r="B27" s="274"/>
      <c r="C27" s="274">
        <v>0</v>
      </c>
      <c r="D27" s="274">
        <v>24580</v>
      </c>
      <c r="E27" s="274"/>
      <c r="F27" s="480">
        <v>0</v>
      </c>
      <c r="G27" s="480">
        <v>24580</v>
      </c>
      <c r="H27" s="274"/>
      <c r="I27" s="369">
        <f t="shared" si="0"/>
        <v>0</v>
      </c>
      <c r="J27" s="369">
        <f t="shared" si="0"/>
        <v>2048.3333333333335</v>
      </c>
      <c r="K27" s="274"/>
      <c r="L27" s="369">
        <v>0</v>
      </c>
      <c r="M27" s="369">
        <v>143816.75</v>
      </c>
    </row>
    <row r="28" spans="1:13" x14ac:dyDescent="0.2">
      <c r="A28" s="279" t="s">
        <v>1053</v>
      </c>
      <c r="B28" s="275"/>
      <c r="C28" s="274">
        <v>0</v>
      </c>
      <c r="D28" s="274">
        <v>74414</v>
      </c>
      <c r="E28" s="275"/>
      <c r="F28" s="480">
        <v>0</v>
      </c>
      <c r="G28" s="480">
        <v>82641.5</v>
      </c>
      <c r="H28" s="275"/>
      <c r="I28" s="369">
        <f t="shared" si="0"/>
        <v>0</v>
      </c>
      <c r="J28" s="369">
        <f t="shared" si="0"/>
        <v>6201.166666666667</v>
      </c>
      <c r="K28" s="275"/>
      <c r="L28" s="369">
        <v>0</v>
      </c>
      <c r="M28" s="369">
        <v>353861.33333333337</v>
      </c>
    </row>
    <row r="29" spans="1:13" s="431" customFormat="1" x14ac:dyDescent="0.2">
      <c r="A29" s="279" t="s">
        <v>1506</v>
      </c>
      <c r="B29" s="275"/>
      <c r="C29" s="275">
        <v>0</v>
      </c>
      <c r="D29" s="275">
        <v>22530</v>
      </c>
      <c r="E29" s="275"/>
      <c r="F29" s="480">
        <v>0</v>
      </c>
      <c r="G29" s="480">
        <v>22530</v>
      </c>
      <c r="H29" s="275"/>
      <c r="I29" s="370">
        <f t="shared" ref="I29" si="3">C29/12</f>
        <v>0</v>
      </c>
      <c r="J29" s="370">
        <f t="shared" ref="J29" si="4">D29/12</f>
        <v>1877.5</v>
      </c>
      <c r="K29" s="275"/>
      <c r="L29" s="370">
        <v>0</v>
      </c>
      <c r="M29" s="370">
        <v>28162.5</v>
      </c>
    </row>
    <row r="30" spans="1:13" ht="13.5" thickBot="1" x14ac:dyDescent="0.25">
      <c r="A30" s="280" t="s">
        <v>981</v>
      </c>
      <c r="B30" s="274"/>
      <c r="C30" s="276">
        <f>SUM(C10:C29)</f>
        <v>410948</v>
      </c>
      <c r="D30" s="276">
        <f>SUM(D10:D29)</f>
        <v>749139</v>
      </c>
      <c r="E30" s="278"/>
      <c r="F30" s="477">
        <f>SUM(F10:F29)</f>
        <v>422037.5</v>
      </c>
      <c r="G30" s="477">
        <f>SUM(G10:G29)</f>
        <v>755124</v>
      </c>
      <c r="H30" s="278"/>
      <c r="I30" s="371">
        <f t="shared" ref="I30:J30" si="5">SUM(I10:I29)</f>
        <v>34245.666666666657</v>
      </c>
      <c r="J30" s="371">
        <f t="shared" si="5"/>
        <v>62428.25</v>
      </c>
      <c r="K30" s="278"/>
      <c r="L30" s="371">
        <f>SUM(L10:L29)</f>
        <v>15482538.333333334</v>
      </c>
      <c r="M30" s="371">
        <f>SUM(M10:M29)</f>
        <v>2872593</v>
      </c>
    </row>
    <row r="31" spans="1:13" ht="13.5" thickTop="1" x14ac:dyDescent="0.2">
      <c r="A31" s="274"/>
      <c r="B31" s="274"/>
      <c r="C31" s="274"/>
      <c r="D31" s="274"/>
      <c r="E31" s="274"/>
      <c r="F31" s="476"/>
      <c r="G31" s="476"/>
      <c r="H31" s="274"/>
      <c r="I31" s="274"/>
      <c r="J31" s="274"/>
      <c r="K31" s="274"/>
      <c r="L31" s="274"/>
      <c r="M31" s="274"/>
    </row>
    <row r="32" spans="1:13" x14ac:dyDescent="0.2">
      <c r="A32" s="274" t="s">
        <v>982</v>
      </c>
      <c r="B32" s="274"/>
      <c r="C32" s="274">
        <v>0</v>
      </c>
      <c r="D32" s="274">
        <v>0</v>
      </c>
      <c r="E32" s="274"/>
      <c r="F32" s="480">
        <v>0</v>
      </c>
      <c r="G32" s="480">
        <v>0</v>
      </c>
      <c r="H32" s="274"/>
      <c r="I32" s="369">
        <f>C32/12</f>
        <v>0</v>
      </c>
      <c r="J32" s="369">
        <f>D32/12</f>
        <v>0</v>
      </c>
      <c r="K32" s="274"/>
      <c r="L32" s="369">
        <v>0</v>
      </c>
      <c r="M32" s="369">
        <v>0</v>
      </c>
    </row>
    <row r="33" spans="1:13" x14ac:dyDescent="0.2">
      <c r="A33" s="274" t="s">
        <v>983</v>
      </c>
      <c r="B33" s="274"/>
      <c r="C33" s="274">
        <v>6</v>
      </c>
      <c r="D33" s="274">
        <v>414</v>
      </c>
      <c r="E33" s="274"/>
      <c r="F33" s="480">
        <v>6</v>
      </c>
      <c r="G33" s="480">
        <v>414</v>
      </c>
      <c r="H33" s="274"/>
      <c r="I33" s="369">
        <f>C33/12</f>
        <v>0.5</v>
      </c>
      <c r="J33" s="369">
        <f>D33/12</f>
        <v>34.5</v>
      </c>
      <c r="K33" s="274"/>
      <c r="L33" s="369">
        <v>3252.5</v>
      </c>
      <c r="M33" s="369">
        <v>947.5</v>
      </c>
    </row>
    <row r="34" spans="1:13" ht="13.5" thickBot="1" x14ac:dyDescent="0.25">
      <c r="A34" s="280" t="s">
        <v>984</v>
      </c>
      <c r="B34" s="274"/>
      <c r="C34" s="276">
        <f>SUM(C32:C33)</f>
        <v>6</v>
      </c>
      <c r="D34" s="276">
        <f>SUM(D32:D33)</f>
        <v>414</v>
      </c>
      <c r="E34" s="278"/>
      <c r="F34" s="477">
        <f>SUM(F32:F33)</f>
        <v>6</v>
      </c>
      <c r="G34" s="477">
        <f>SUM(G32:G33)</f>
        <v>414</v>
      </c>
      <c r="H34" s="278"/>
      <c r="I34" s="371">
        <f>I32+I33</f>
        <v>0.5</v>
      </c>
      <c r="J34" s="371">
        <f>J32+J33</f>
        <v>34.5</v>
      </c>
      <c r="K34" s="278"/>
      <c r="L34" s="371">
        <f>L32+L33</f>
        <v>3252.5</v>
      </c>
      <c r="M34" s="371">
        <f>M32+M33</f>
        <v>947.5</v>
      </c>
    </row>
    <row r="35" spans="1:13" ht="13.5" thickTop="1" x14ac:dyDescent="0.2">
      <c r="A35" s="274"/>
      <c r="B35" s="274"/>
      <c r="C35" s="274"/>
      <c r="D35" s="274"/>
      <c r="E35" s="274"/>
      <c r="F35" s="476"/>
      <c r="G35" s="476"/>
      <c r="H35" s="274"/>
      <c r="I35" s="369"/>
      <c r="J35" s="369"/>
      <c r="K35" s="274"/>
      <c r="L35" s="369"/>
      <c r="M35" s="369"/>
    </row>
    <row r="36" spans="1:13" x14ac:dyDescent="0.2">
      <c r="A36" s="279" t="s">
        <v>1054</v>
      </c>
      <c r="B36" s="275"/>
      <c r="C36" s="275">
        <v>0</v>
      </c>
      <c r="D36" s="275">
        <v>5</v>
      </c>
      <c r="E36" s="275"/>
      <c r="F36" s="480">
        <v>0</v>
      </c>
      <c r="G36" s="480">
        <v>5</v>
      </c>
      <c r="H36" s="275"/>
      <c r="I36" s="370">
        <f t="shared" ref="I36:J48" si="6">C36/12</f>
        <v>0</v>
      </c>
      <c r="J36" s="370">
        <f t="shared" si="6"/>
        <v>0.41666666666666669</v>
      </c>
      <c r="K36" s="275"/>
      <c r="L36" s="370">
        <v>0</v>
      </c>
      <c r="M36" s="370">
        <v>21.25</v>
      </c>
    </row>
    <row r="37" spans="1:13" x14ac:dyDescent="0.2">
      <c r="A37" s="274" t="s">
        <v>985</v>
      </c>
      <c r="B37" s="274"/>
      <c r="C37" s="275">
        <v>0</v>
      </c>
      <c r="D37" s="275">
        <v>8893</v>
      </c>
      <c r="E37" s="274"/>
      <c r="F37" s="480">
        <v>0</v>
      </c>
      <c r="G37" s="480">
        <v>8893</v>
      </c>
      <c r="H37" s="274"/>
      <c r="I37" s="370">
        <f>C37/12</f>
        <v>0</v>
      </c>
      <c r="J37" s="370">
        <f>D37/12</f>
        <v>741.08333333333337</v>
      </c>
      <c r="K37" s="274"/>
      <c r="L37" s="370">
        <v>0</v>
      </c>
      <c r="M37" s="370">
        <v>66244.25</v>
      </c>
    </row>
    <row r="38" spans="1:13" x14ac:dyDescent="0.2">
      <c r="A38" s="274" t="s">
        <v>986</v>
      </c>
      <c r="B38" s="274"/>
      <c r="C38" s="275">
        <v>0</v>
      </c>
      <c r="D38" s="275">
        <v>8866</v>
      </c>
      <c r="E38" s="274"/>
      <c r="F38" s="480">
        <v>0</v>
      </c>
      <c r="G38" s="480">
        <v>8866</v>
      </c>
      <c r="H38" s="274"/>
      <c r="I38" s="370">
        <f t="shared" si="6"/>
        <v>0</v>
      </c>
      <c r="J38" s="370">
        <f t="shared" si="6"/>
        <v>738.83333333333337</v>
      </c>
      <c r="K38" s="274"/>
      <c r="L38" s="370">
        <v>0</v>
      </c>
      <c r="M38" s="370">
        <v>66043.5</v>
      </c>
    </row>
    <row r="39" spans="1:13" x14ac:dyDescent="0.2">
      <c r="A39" s="274" t="s">
        <v>987</v>
      </c>
      <c r="B39" s="274"/>
      <c r="C39" s="275">
        <v>0</v>
      </c>
      <c r="D39" s="275">
        <v>9606</v>
      </c>
      <c r="E39" s="274"/>
      <c r="F39" s="480">
        <v>0</v>
      </c>
      <c r="G39" s="480">
        <v>9606</v>
      </c>
      <c r="H39" s="274"/>
      <c r="I39" s="370">
        <f t="shared" si="6"/>
        <v>0</v>
      </c>
      <c r="J39" s="370">
        <f t="shared" si="6"/>
        <v>800.5</v>
      </c>
      <c r="K39" s="274"/>
      <c r="L39" s="370">
        <v>0</v>
      </c>
      <c r="M39" s="370">
        <v>70968.5</v>
      </c>
    </row>
    <row r="40" spans="1:13" x14ac:dyDescent="0.2">
      <c r="A40" s="274" t="s">
        <v>988</v>
      </c>
      <c r="B40" s="274"/>
      <c r="C40" s="275">
        <v>0</v>
      </c>
      <c r="D40" s="275">
        <v>9878</v>
      </c>
      <c r="E40" s="274"/>
      <c r="F40" s="480">
        <v>0</v>
      </c>
      <c r="G40" s="480">
        <v>9878</v>
      </c>
      <c r="H40" s="274"/>
      <c r="I40" s="370">
        <f t="shared" si="6"/>
        <v>0</v>
      </c>
      <c r="J40" s="370">
        <f t="shared" si="6"/>
        <v>823.16666666666663</v>
      </c>
      <c r="K40" s="274"/>
      <c r="L40" s="370">
        <v>0</v>
      </c>
      <c r="M40" s="370">
        <v>71739.5</v>
      </c>
    </row>
    <row r="41" spans="1:13" x14ac:dyDescent="0.2">
      <c r="A41" s="281" t="s">
        <v>989</v>
      </c>
      <c r="B41" s="274"/>
      <c r="C41" s="275">
        <v>0</v>
      </c>
      <c r="D41" s="275">
        <v>19</v>
      </c>
      <c r="E41" s="274"/>
      <c r="F41" s="480">
        <v>0</v>
      </c>
      <c r="G41" s="480">
        <v>19</v>
      </c>
      <c r="H41" s="274"/>
      <c r="I41" s="370">
        <f t="shared" si="6"/>
        <v>0</v>
      </c>
      <c r="J41" s="370">
        <f t="shared" si="6"/>
        <v>1.5833333333333333</v>
      </c>
      <c r="K41" s="274"/>
      <c r="L41" s="370">
        <v>0</v>
      </c>
      <c r="M41" s="370">
        <v>171.75</v>
      </c>
    </row>
    <row r="42" spans="1:13" x14ac:dyDescent="0.2">
      <c r="A42" s="281" t="s">
        <v>990</v>
      </c>
      <c r="B42" s="274"/>
      <c r="C42" s="275">
        <v>0</v>
      </c>
      <c r="D42" s="275">
        <v>19</v>
      </c>
      <c r="E42" s="274"/>
      <c r="F42" s="480">
        <v>0</v>
      </c>
      <c r="G42" s="480">
        <v>19</v>
      </c>
      <c r="H42" s="274"/>
      <c r="I42" s="370">
        <f t="shared" si="6"/>
        <v>0</v>
      </c>
      <c r="J42" s="370">
        <f t="shared" si="6"/>
        <v>1.5833333333333333</v>
      </c>
      <c r="K42" s="274"/>
      <c r="L42" s="370">
        <v>0</v>
      </c>
      <c r="M42" s="370">
        <v>42.75</v>
      </c>
    </row>
    <row r="43" spans="1:13" x14ac:dyDescent="0.2">
      <c r="A43" s="281" t="s">
        <v>991</v>
      </c>
      <c r="B43" s="274"/>
      <c r="C43" s="275">
        <v>0</v>
      </c>
      <c r="D43" s="275">
        <v>62</v>
      </c>
      <c r="E43" s="274"/>
      <c r="F43" s="480">
        <v>0</v>
      </c>
      <c r="G43" s="480">
        <v>62</v>
      </c>
      <c r="H43" s="274"/>
      <c r="I43" s="370">
        <f t="shared" si="6"/>
        <v>0</v>
      </c>
      <c r="J43" s="370">
        <f t="shared" si="6"/>
        <v>5.166666666666667</v>
      </c>
      <c r="K43" s="274"/>
      <c r="L43" s="370">
        <v>0</v>
      </c>
      <c r="M43" s="370">
        <v>1293.5</v>
      </c>
    </row>
    <row r="44" spans="1:13" x14ac:dyDescent="0.2">
      <c r="A44" s="274" t="s">
        <v>992</v>
      </c>
      <c r="B44" s="274"/>
      <c r="C44" s="275">
        <v>32</v>
      </c>
      <c r="D44" s="275">
        <v>8938</v>
      </c>
      <c r="E44" s="274"/>
      <c r="F44" s="480">
        <v>32</v>
      </c>
      <c r="G44" s="480">
        <v>8938</v>
      </c>
      <c r="H44" s="274"/>
      <c r="I44" s="370">
        <f t="shared" si="6"/>
        <v>2.6666666666666665</v>
      </c>
      <c r="J44" s="370">
        <f t="shared" si="6"/>
        <v>744.83333333333337</v>
      </c>
      <c r="K44" s="274"/>
      <c r="L44" s="370">
        <v>642</v>
      </c>
      <c r="M44" s="370">
        <v>181223.5</v>
      </c>
    </row>
    <row r="45" spans="1:13" x14ac:dyDescent="0.2">
      <c r="A45" s="274" t="s">
        <v>993</v>
      </c>
      <c r="B45" s="274"/>
      <c r="C45" s="275">
        <v>27</v>
      </c>
      <c r="D45" s="275">
        <v>9626</v>
      </c>
      <c r="E45" s="274"/>
      <c r="F45" s="480">
        <v>27</v>
      </c>
      <c r="G45" s="480">
        <v>9626</v>
      </c>
      <c r="H45" s="274"/>
      <c r="I45" s="370">
        <f t="shared" si="6"/>
        <v>2.25</v>
      </c>
      <c r="J45" s="370">
        <f t="shared" si="6"/>
        <v>802.16666666666663</v>
      </c>
      <c r="K45" s="274"/>
      <c r="L45" s="370">
        <v>594.75</v>
      </c>
      <c r="M45" s="370">
        <v>197118.5</v>
      </c>
    </row>
    <row r="46" spans="1:13" x14ac:dyDescent="0.2">
      <c r="A46" s="274" t="s">
        <v>994</v>
      </c>
      <c r="B46" s="274"/>
      <c r="C46" s="275">
        <v>0</v>
      </c>
      <c r="D46" s="275">
        <v>7297</v>
      </c>
      <c r="E46" s="274"/>
      <c r="F46" s="480">
        <v>0</v>
      </c>
      <c r="G46" s="480">
        <v>7297</v>
      </c>
      <c r="H46" s="274"/>
      <c r="I46" s="370">
        <f t="shared" si="6"/>
        <v>0</v>
      </c>
      <c r="J46" s="370">
        <f t="shared" si="6"/>
        <v>608.08333333333337</v>
      </c>
      <c r="K46" s="274"/>
      <c r="L46" s="370">
        <v>0</v>
      </c>
      <c r="M46" s="370">
        <v>131897.25</v>
      </c>
    </row>
    <row r="47" spans="1:13" x14ac:dyDescent="0.2">
      <c r="A47" s="274" t="s">
        <v>995</v>
      </c>
      <c r="B47" s="274"/>
      <c r="C47" s="275">
        <v>0</v>
      </c>
      <c r="D47" s="275">
        <v>6765</v>
      </c>
      <c r="E47" s="274"/>
      <c r="F47" s="480">
        <v>0</v>
      </c>
      <c r="G47" s="480">
        <v>6765</v>
      </c>
      <c r="H47" s="274"/>
      <c r="I47" s="370">
        <f t="shared" si="6"/>
        <v>0</v>
      </c>
      <c r="J47" s="370">
        <f t="shared" si="6"/>
        <v>563.75</v>
      </c>
      <c r="K47" s="274"/>
      <c r="L47" s="370">
        <v>0</v>
      </c>
      <c r="M47" s="370">
        <v>102256.25</v>
      </c>
    </row>
    <row r="48" spans="1:13" s="431" customFormat="1" x14ac:dyDescent="0.2">
      <c r="A48" s="275" t="s">
        <v>1284</v>
      </c>
      <c r="B48" s="275"/>
      <c r="C48" s="275">
        <v>0</v>
      </c>
      <c r="D48" s="275">
        <v>5</v>
      </c>
      <c r="E48" s="275"/>
      <c r="F48" s="480">
        <v>0</v>
      </c>
      <c r="G48" s="480">
        <v>5</v>
      </c>
      <c r="H48" s="275"/>
      <c r="I48" s="370">
        <f t="shared" si="6"/>
        <v>0</v>
      </c>
      <c r="J48" s="370">
        <f t="shared" si="6"/>
        <v>0.41666666666666669</v>
      </c>
      <c r="K48" s="275"/>
      <c r="L48" s="370">
        <v>0</v>
      </c>
      <c r="M48" s="370">
        <v>15</v>
      </c>
    </row>
    <row r="49" spans="1:13" ht="13.5" thickBot="1" x14ac:dyDescent="0.25">
      <c r="A49" s="280" t="s">
        <v>996</v>
      </c>
      <c r="B49" s="274"/>
      <c r="C49" s="276">
        <f>SUM(C36:C48)</f>
        <v>59</v>
      </c>
      <c r="D49" s="276">
        <f>SUM(D36:D48)</f>
        <v>69979</v>
      </c>
      <c r="E49" s="278"/>
      <c r="F49" s="477">
        <f>SUM(F36:F48)</f>
        <v>59</v>
      </c>
      <c r="G49" s="477">
        <f>SUM(G36:G48)</f>
        <v>69979</v>
      </c>
      <c r="H49" s="278"/>
      <c r="I49" s="371">
        <f>SUM(I36:I48)</f>
        <v>4.9166666666666661</v>
      </c>
      <c r="J49" s="371">
        <f>SUM(J36:J48)</f>
        <v>5831.5833333333339</v>
      </c>
      <c r="K49" s="278"/>
      <c r="L49" s="371">
        <f>SUM(L36:L48)</f>
        <v>1236.75</v>
      </c>
      <c r="M49" s="371">
        <f>SUM(M36:M48)</f>
        <v>889035.5</v>
      </c>
    </row>
    <row r="50" spans="1:13" ht="13.5" thickTop="1" x14ac:dyDescent="0.2">
      <c r="A50" s="282"/>
      <c r="B50" s="274"/>
      <c r="C50" s="274"/>
      <c r="D50" s="274"/>
      <c r="E50" s="274"/>
      <c r="F50" s="476"/>
      <c r="G50" s="476"/>
      <c r="H50" s="274"/>
      <c r="I50" s="369"/>
      <c r="J50" s="369"/>
      <c r="K50" s="274"/>
      <c r="L50" s="369"/>
      <c r="M50" s="369"/>
    </row>
    <row r="51" spans="1:13" ht="13.5" thickBot="1" x14ac:dyDescent="0.25">
      <c r="A51" s="280" t="s">
        <v>997</v>
      </c>
      <c r="B51" s="274"/>
      <c r="C51" s="276">
        <f>C49+C34+C30</f>
        <v>411013</v>
      </c>
      <c r="D51" s="276">
        <f>D49+D34+D30</f>
        <v>819532</v>
      </c>
      <c r="E51" s="278"/>
      <c r="F51" s="477">
        <f>F30+F34+F49</f>
        <v>422102.5</v>
      </c>
      <c r="G51" s="477">
        <f>G30+G34+G49</f>
        <v>825517</v>
      </c>
      <c r="H51" s="278"/>
      <c r="I51" s="371">
        <f>I30+I34+I49</f>
        <v>34251.083333333321</v>
      </c>
      <c r="J51" s="371">
        <f>J30+J34+J49</f>
        <v>68294.333333333328</v>
      </c>
      <c r="K51" s="278"/>
      <c r="L51" s="371">
        <f>L30+L34+L49</f>
        <v>15487027.583333334</v>
      </c>
      <c r="M51" s="371">
        <f>M30+M34+M49</f>
        <v>3762576</v>
      </c>
    </row>
    <row r="52" spans="1:13" ht="13.5" thickTop="1" x14ac:dyDescent="0.2">
      <c r="A52" s="282"/>
      <c r="B52" s="274"/>
      <c r="C52" s="274"/>
      <c r="D52" s="274"/>
      <c r="E52" s="274"/>
      <c r="F52" s="476"/>
      <c r="G52" s="476"/>
      <c r="H52" s="274"/>
      <c r="I52" s="369"/>
      <c r="J52" s="369"/>
      <c r="K52" s="274"/>
      <c r="L52" s="369"/>
      <c r="M52" s="369"/>
    </row>
    <row r="53" spans="1:13" x14ac:dyDescent="0.2">
      <c r="A53" s="282"/>
      <c r="B53" s="274"/>
      <c r="C53" s="274"/>
      <c r="D53" s="274"/>
      <c r="E53" s="274"/>
      <c r="F53" s="476"/>
      <c r="G53" s="476"/>
      <c r="H53" s="274"/>
      <c r="I53" s="369"/>
      <c r="J53" s="369"/>
      <c r="K53" s="274"/>
      <c r="L53" s="369"/>
      <c r="M53" s="369"/>
    </row>
    <row r="54" spans="1:13" ht="13.5" thickBot="1" x14ac:dyDescent="0.25">
      <c r="A54" s="280" t="s">
        <v>998</v>
      </c>
      <c r="B54" s="274"/>
      <c r="C54" s="276">
        <v>56582</v>
      </c>
      <c r="D54" s="276">
        <v>25538</v>
      </c>
      <c r="E54" s="278"/>
      <c r="F54" s="477">
        <v>56873</v>
      </c>
      <c r="G54" s="477">
        <v>25527.5</v>
      </c>
      <c r="H54" s="278"/>
      <c r="I54" s="371">
        <f>C54/12</f>
        <v>4715.166666666667</v>
      </c>
      <c r="J54" s="371">
        <f>D54/12</f>
        <v>2128.1666666666665</v>
      </c>
      <c r="K54" s="278"/>
      <c r="L54" s="371">
        <v>2585483.5</v>
      </c>
      <c r="M54" s="371">
        <v>166226.5</v>
      </c>
    </row>
    <row r="55" spans="1:13" ht="13.5" thickTop="1" x14ac:dyDescent="0.2"/>
    <row r="56" spans="1:13" s="431" customFormat="1" x14ac:dyDescent="0.2"/>
    <row r="57" spans="1:13" s="518" customFormat="1" ht="12" x14ac:dyDescent="0.2">
      <c r="B57" s="518" t="s">
        <v>1020</v>
      </c>
      <c r="C57" s="519">
        <f>C54*0.000102</f>
        <v>5.7713640000000002</v>
      </c>
      <c r="D57" s="519">
        <f>D54*0.003036</f>
        <v>77.533367999999996</v>
      </c>
      <c r="E57" s="519"/>
      <c r="F57" s="519">
        <f>F54*0.000102</f>
        <v>5.8010460000000004</v>
      </c>
      <c r="G57" s="519">
        <f>G54*0.003036</f>
        <v>77.501490000000004</v>
      </c>
      <c r="I57" s="519">
        <f>I54*0.000102</f>
        <v>0.48094700000000001</v>
      </c>
      <c r="J57" s="519">
        <f>J54*0.003036</f>
        <v>6.4611139999999994</v>
      </c>
      <c r="L57" s="519">
        <f>L54*0.000102</f>
        <v>263.71931699999999</v>
      </c>
      <c r="M57" s="519">
        <f>M54*0.003036</f>
        <v>504.66365400000001</v>
      </c>
    </row>
    <row r="58" spans="1:13" s="518" customFormat="1" ht="12" x14ac:dyDescent="0.2"/>
    <row r="59" spans="1:13" s="518" customFormat="1" ht="12" x14ac:dyDescent="0.2"/>
    <row r="60" spans="1:13" s="518" customFormat="1" ht="12" x14ac:dyDescent="0.2">
      <c r="B60" s="518" t="s">
        <v>1018</v>
      </c>
      <c r="C60" s="520">
        <f>C54-C57</f>
        <v>56576.228636</v>
      </c>
      <c r="D60" s="520">
        <f>D54-D57</f>
        <v>25460.466632</v>
      </c>
      <c r="E60" s="520"/>
      <c r="F60" s="520">
        <f>F54-F57</f>
        <v>56867.198954</v>
      </c>
      <c r="G60" s="520">
        <f>G54-G57</f>
        <v>25449.998510000001</v>
      </c>
      <c r="I60" s="520">
        <f>I54-I57</f>
        <v>4714.685719666667</v>
      </c>
      <c r="J60" s="520">
        <f>J54-J57</f>
        <v>2121.7055526666663</v>
      </c>
      <c r="L60" s="520">
        <f>L54-L57</f>
        <v>2585219.7806830001</v>
      </c>
      <c r="M60" s="520">
        <f>M54-M57</f>
        <v>165721.836346</v>
      </c>
    </row>
    <row r="61" spans="1:13" s="518" customFormat="1" ht="12" x14ac:dyDescent="0.2"/>
    <row r="62" spans="1:13" s="518" customFormat="1" ht="12" x14ac:dyDescent="0.2">
      <c r="L62" s="520">
        <f>SUM(L57:L60)</f>
        <v>2585483.5</v>
      </c>
      <c r="M62" s="520">
        <f>SUM(M57:M60)</f>
        <v>166226.5</v>
      </c>
    </row>
    <row r="63" spans="1:13" x14ac:dyDescent="0.2">
      <c r="C63" s="283"/>
      <c r="D63" s="283"/>
      <c r="E63" s="283"/>
    </row>
    <row r="64" spans="1:13" x14ac:dyDescent="0.2">
      <c r="C64" s="283"/>
      <c r="D64" s="283"/>
      <c r="E64" s="283"/>
    </row>
    <row r="65" spans="3:5" x14ac:dyDescent="0.2">
      <c r="C65" s="283"/>
      <c r="D65" s="283"/>
      <c r="E65" s="283"/>
    </row>
    <row r="66" spans="3:5" x14ac:dyDescent="0.2">
      <c r="C66" s="283"/>
      <c r="D66" s="283"/>
      <c r="E66" s="283"/>
    </row>
    <row r="67" spans="3:5" x14ac:dyDescent="0.2">
      <c r="C67" s="283"/>
      <c r="D67" s="283"/>
      <c r="E67" s="283"/>
    </row>
    <row r="68" spans="3:5" x14ac:dyDescent="0.2">
      <c r="C68" s="283"/>
      <c r="D68" s="283"/>
      <c r="E68" s="283"/>
    </row>
    <row r="69" spans="3:5" x14ac:dyDescent="0.2">
      <c r="C69" s="283"/>
      <c r="D69" s="283"/>
      <c r="E69" s="283"/>
    </row>
    <row r="70" spans="3:5" x14ac:dyDescent="0.2">
      <c r="C70" s="283"/>
      <c r="D70" s="283"/>
      <c r="E70" s="283"/>
    </row>
    <row r="71" spans="3:5" x14ac:dyDescent="0.2">
      <c r="C71" s="283"/>
      <c r="D71" s="283"/>
      <c r="E71" s="283"/>
    </row>
    <row r="72" spans="3:5" x14ac:dyDescent="0.2">
      <c r="C72" s="283"/>
      <c r="D72" s="283"/>
      <c r="E72" s="283"/>
    </row>
    <row r="73" spans="3:5" x14ac:dyDescent="0.2">
      <c r="C73" s="283"/>
      <c r="D73" s="283"/>
      <c r="E73" s="283"/>
    </row>
    <row r="74" spans="3:5" x14ac:dyDescent="0.2">
      <c r="C74" s="283"/>
      <c r="D74" s="283"/>
      <c r="E74" s="283"/>
    </row>
    <row r="75" spans="3:5" x14ac:dyDescent="0.2">
      <c r="C75" s="283"/>
      <c r="D75" s="283"/>
      <c r="E75" s="283"/>
    </row>
    <row r="76" spans="3:5" x14ac:dyDescent="0.2">
      <c r="C76" s="283"/>
      <c r="D76" s="283"/>
      <c r="E76" s="283"/>
    </row>
    <row r="77" spans="3:5" x14ac:dyDescent="0.2">
      <c r="C77" s="149"/>
      <c r="D77" s="149"/>
      <c r="E77" s="149"/>
    </row>
    <row r="78" spans="3:5" x14ac:dyDescent="0.2">
      <c r="C78" s="283"/>
      <c r="D78" s="283"/>
      <c r="E78" s="283"/>
    </row>
    <row r="79" spans="3:5" x14ac:dyDescent="0.2">
      <c r="C79" s="283"/>
      <c r="D79" s="283"/>
      <c r="E79" s="283"/>
    </row>
    <row r="80" spans="3:5" x14ac:dyDescent="0.2">
      <c r="C80" s="283"/>
      <c r="D80" s="283"/>
      <c r="E80" s="283"/>
    </row>
    <row r="81" spans="3:5" x14ac:dyDescent="0.2">
      <c r="C81" s="149"/>
      <c r="D81" s="149"/>
      <c r="E81" s="149"/>
    </row>
    <row r="82" spans="3:5" x14ac:dyDescent="0.2">
      <c r="C82" s="283"/>
      <c r="D82" s="283"/>
      <c r="E82" s="283"/>
    </row>
    <row r="83" spans="3:5" x14ac:dyDescent="0.2">
      <c r="C83" s="283"/>
      <c r="D83" s="283"/>
      <c r="E83" s="283"/>
    </row>
    <row r="84" spans="3:5" x14ac:dyDescent="0.2">
      <c r="C84" s="283"/>
      <c r="D84" s="283"/>
      <c r="E84" s="283"/>
    </row>
    <row r="85" spans="3:5" x14ac:dyDescent="0.2">
      <c r="C85" s="283"/>
      <c r="D85" s="283"/>
      <c r="E85" s="283"/>
    </row>
    <row r="86" spans="3:5" x14ac:dyDescent="0.2">
      <c r="C86" s="283"/>
      <c r="D86" s="283"/>
      <c r="E86" s="283"/>
    </row>
    <row r="87" spans="3:5" x14ac:dyDescent="0.2">
      <c r="C87" s="149"/>
      <c r="D87" s="149"/>
      <c r="E87" s="149"/>
    </row>
    <row r="88" spans="3:5" x14ac:dyDescent="0.2">
      <c r="C88" s="283"/>
      <c r="D88" s="283"/>
      <c r="E88" s="283"/>
    </row>
    <row r="89" spans="3:5" x14ac:dyDescent="0.2">
      <c r="C89" s="149"/>
      <c r="D89" s="149"/>
      <c r="E89" s="149"/>
    </row>
    <row r="90" spans="3:5" x14ac:dyDescent="0.2">
      <c r="C90" s="283"/>
      <c r="D90" s="283"/>
      <c r="E90" s="283"/>
    </row>
    <row r="91" spans="3:5" x14ac:dyDescent="0.2">
      <c r="C91" s="283"/>
      <c r="D91" s="283"/>
      <c r="E91" s="283"/>
    </row>
    <row r="92" spans="3:5" x14ac:dyDescent="0.2">
      <c r="C92" s="149"/>
      <c r="D92" s="149"/>
      <c r="E92" s="149"/>
    </row>
  </sheetData>
  <mergeCells count="7">
    <mergeCell ref="C7:D7"/>
    <mergeCell ref="I7:J7"/>
    <mergeCell ref="A2:M2"/>
    <mergeCell ref="A3:M3"/>
    <mergeCell ref="A4:M4"/>
    <mergeCell ref="L6:M6"/>
    <mergeCell ref="L7:M7"/>
  </mergeCells>
  <phoneticPr fontId="10" type="noConversion"/>
  <printOptions horizontalCentered="1"/>
  <pageMargins left="0.25" right="0.25" top="1" bottom="0.5" header="0.5" footer="0.5"/>
  <pageSetup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102"/>
  <sheetViews>
    <sheetView workbookViewId="0">
      <pane ySplit="1" topLeftCell="A2" activePane="bottomLeft" state="frozen"/>
      <selection pane="bottomLeft" activeCell="F18" sqref="F18"/>
    </sheetView>
  </sheetViews>
  <sheetFormatPr defaultRowHeight="12.75" x14ac:dyDescent="0.2"/>
  <cols>
    <col min="1" max="1" width="12.5" style="284" bestFit="1" customWidth="1"/>
    <col min="2" max="2" width="8.625" style="102" customWidth="1"/>
    <col min="3" max="6" width="13.375" style="45" customWidth="1"/>
    <col min="7" max="7" width="12.625" style="33" bestFit="1" customWidth="1"/>
    <col min="8" max="16384" width="9" style="33"/>
  </cols>
  <sheetData>
    <row r="1" spans="1:7" s="43" customFormat="1" x14ac:dyDescent="0.2">
      <c r="A1" s="303"/>
      <c r="B1" s="356" t="s">
        <v>595</v>
      </c>
      <c r="C1" s="299" t="s">
        <v>1213</v>
      </c>
      <c r="D1" s="299" t="s">
        <v>1214</v>
      </c>
      <c r="E1" s="299" t="s">
        <v>1215</v>
      </c>
      <c r="F1" s="299" t="s">
        <v>739</v>
      </c>
      <c r="G1" s="300" t="str">
        <f>C1&amp;"+"&amp;E1</f>
        <v>Labor+Burdens</v>
      </c>
    </row>
    <row r="2" spans="1:7" x14ac:dyDescent="0.2">
      <c r="A2" s="304"/>
    </row>
    <row r="3" spans="1:7" x14ac:dyDescent="0.2">
      <c r="A3" s="421"/>
      <c r="B3" s="387">
        <v>500</v>
      </c>
      <c r="C3" s="355">
        <v>3804808.52</v>
      </c>
      <c r="D3" s="355">
        <v>974931.21</v>
      </c>
      <c r="E3" s="355">
        <v>1083995.1200000001</v>
      </c>
      <c r="F3" s="354">
        <f>SUM(C3:E3)</f>
        <v>5863734.8500000006</v>
      </c>
      <c r="G3" s="46">
        <f>C3+E3</f>
        <v>4888803.6400000006</v>
      </c>
    </row>
    <row r="4" spans="1:7" x14ac:dyDescent="0.2">
      <c r="A4" s="421"/>
      <c r="B4" s="387">
        <v>501</v>
      </c>
      <c r="C4" s="355">
        <v>2784743.93</v>
      </c>
      <c r="D4" s="355">
        <v>481619069.76999998</v>
      </c>
      <c r="E4" s="355">
        <v>714343.15</v>
      </c>
      <c r="F4" s="354">
        <f t="shared" ref="F4:F69" si="0">SUM(C4:E4)</f>
        <v>485118156.84999996</v>
      </c>
      <c r="G4" s="46">
        <f t="shared" ref="G4:G70" si="1">C4+E4</f>
        <v>3499087.08</v>
      </c>
    </row>
    <row r="5" spans="1:7" x14ac:dyDescent="0.2">
      <c r="A5" s="421"/>
      <c r="B5" s="387">
        <v>502</v>
      </c>
      <c r="C5" s="355">
        <v>7416153.6600000001</v>
      </c>
      <c r="D5" s="355">
        <v>8422631.3699999992</v>
      </c>
      <c r="E5" s="355">
        <v>1799869.24</v>
      </c>
      <c r="F5" s="354">
        <f t="shared" si="0"/>
        <v>17638654.27</v>
      </c>
      <c r="G5" s="46">
        <f t="shared" si="1"/>
        <v>9216022.9000000004</v>
      </c>
    </row>
    <row r="6" spans="1:7" s="34" customFormat="1" x14ac:dyDescent="0.2">
      <c r="A6" s="421"/>
      <c r="B6" s="387">
        <v>504</v>
      </c>
      <c r="C6" s="355">
        <v>0</v>
      </c>
      <c r="D6" s="355">
        <v>3148.81</v>
      </c>
      <c r="E6" s="355">
        <v>0</v>
      </c>
      <c r="F6" s="354">
        <f t="shared" ref="F6" si="2">SUM(C6:E6)</f>
        <v>3148.81</v>
      </c>
      <c r="G6" s="324">
        <f t="shared" ref="G6" si="3">C6+E6</f>
        <v>0</v>
      </c>
    </row>
    <row r="7" spans="1:7" x14ac:dyDescent="0.2">
      <c r="A7" s="421"/>
      <c r="B7" s="387">
        <v>505</v>
      </c>
      <c r="C7" s="355">
        <v>5177609.33</v>
      </c>
      <c r="D7" s="355">
        <v>819830.67</v>
      </c>
      <c r="E7" s="355">
        <v>1244793.3500000001</v>
      </c>
      <c r="F7" s="354">
        <f t="shared" si="0"/>
        <v>7242233.3499999996</v>
      </c>
      <c r="G7" s="46">
        <f t="shared" si="1"/>
        <v>6422402.6799999997</v>
      </c>
    </row>
    <row r="8" spans="1:7" x14ac:dyDescent="0.2">
      <c r="A8" s="421"/>
      <c r="B8" s="387">
        <v>506</v>
      </c>
      <c r="C8" s="355">
        <v>1234508.1400000001</v>
      </c>
      <c r="D8" s="355">
        <v>23121031.219999999</v>
      </c>
      <c r="E8" s="355">
        <v>295386</v>
      </c>
      <c r="F8" s="354">
        <f t="shared" si="0"/>
        <v>24650925.359999999</v>
      </c>
      <c r="G8" s="46">
        <f t="shared" si="1"/>
        <v>1529894.1400000001</v>
      </c>
    </row>
    <row r="9" spans="1:7" x14ac:dyDescent="0.2">
      <c r="A9" s="421"/>
      <c r="B9" s="387">
        <v>507</v>
      </c>
      <c r="C9" s="355">
        <v>0</v>
      </c>
      <c r="D9" s="355">
        <v>15034.42</v>
      </c>
      <c r="E9" s="355">
        <v>0</v>
      </c>
      <c r="F9" s="354">
        <f t="shared" si="0"/>
        <v>15034.42</v>
      </c>
      <c r="G9" s="46">
        <f t="shared" si="1"/>
        <v>0</v>
      </c>
    </row>
    <row r="10" spans="1:7" x14ac:dyDescent="0.2">
      <c r="A10" s="421"/>
      <c r="B10" s="387">
        <v>509</v>
      </c>
      <c r="C10" s="355">
        <v>0</v>
      </c>
      <c r="D10" s="355">
        <v>123953.02</v>
      </c>
      <c r="E10" s="355">
        <v>0</v>
      </c>
      <c r="F10" s="354">
        <f t="shared" si="0"/>
        <v>123953.02</v>
      </c>
      <c r="G10" s="46">
        <f t="shared" si="1"/>
        <v>0</v>
      </c>
    </row>
    <row r="11" spans="1:7" x14ac:dyDescent="0.2">
      <c r="A11" s="421"/>
      <c r="B11" s="387">
        <v>510</v>
      </c>
      <c r="C11" s="355">
        <v>5154975.4800000004</v>
      </c>
      <c r="D11" s="355">
        <v>1141670.1299999999</v>
      </c>
      <c r="E11" s="355">
        <v>1401703.18</v>
      </c>
      <c r="F11" s="354">
        <f t="shared" si="0"/>
        <v>7698348.79</v>
      </c>
      <c r="G11" s="46">
        <f t="shared" si="1"/>
        <v>6556678.6600000001</v>
      </c>
    </row>
    <row r="12" spans="1:7" x14ac:dyDescent="0.2">
      <c r="A12" s="421"/>
      <c r="B12" s="387">
        <v>511</v>
      </c>
      <c r="C12" s="355">
        <v>864086.06</v>
      </c>
      <c r="D12" s="355">
        <v>4768038.7300000004</v>
      </c>
      <c r="E12" s="355">
        <v>290717.94</v>
      </c>
      <c r="F12" s="354">
        <f t="shared" si="0"/>
        <v>5922842.7300000014</v>
      </c>
      <c r="G12" s="46">
        <f t="shared" si="1"/>
        <v>1154804</v>
      </c>
    </row>
    <row r="13" spans="1:7" x14ac:dyDescent="0.2">
      <c r="A13" s="421"/>
      <c r="B13" s="387">
        <v>512</v>
      </c>
      <c r="C13" s="355">
        <v>6108600.0300000003</v>
      </c>
      <c r="D13" s="355">
        <v>31439950.010000002</v>
      </c>
      <c r="E13" s="355">
        <v>2925769.98</v>
      </c>
      <c r="F13" s="354">
        <f t="shared" si="0"/>
        <v>40474320.019999996</v>
      </c>
      <c r="G13" s="46">
        <f t="shared" si="1"/>
        <v>9034370.0099999998</v>
      </c>
    </row>
    <row r="14" spans="1:7" x14ac:dyDescent="0.2">
      <c r="A14" s="421"/>
      <c r="B14" s="387">
        <v>513</v>
      </c>
      <c r="C14" s="355">
        <v>1634168.25</v>
      </c>
      <c r="D14" s="355">
        <v>10563894.1</v>
      </c>
      <c r="E14" s="355">
        <v>623399.71</v>
      </c>
      <c r="F14" s="354">
        <f t="shared" si="0"/>
        <v>12821462.059999999</v>
      </c>
      <c r="G14" s="46">
        <f t="shared" si="1"/>
        <v>2257567.96</v>
      </c>
    </row>
    <row r="15" spans="1:7" x14ac:dyDescent="0.2">
      <c r="A15" s="421"/>
      <c r="B15" s="387">
        <v>514</v>
      </c>
      <c r="C15" s="355">
        <v>153137.35</v>
      </c>
      <c r="D15" s="355">
        <v>2028456.38</v>
      </c>
      <c r="E15" s="355">
        <v>71006.540000000008</v>
      </c>
      <c r="F15" s="354">
        <f t="shared" si="0"/>
        <v>2252600.27</v>
      </c>
      <c r="G15" s="46">
        <f t="shared" si="1"/>
        <v>224143.89</v>
      </c>
    </row>
    <row r="16" spans="1:7" x14ac:dyDescent="0.2">
      <c r="A16" s="421"/>
      <c r="B16" s="387">
        <v>535</v>
      </c>
      <c r="C16" s="355">
        <v>6178.6100000000006</v>
      </c>
      <c r="D16" s="355">
        <v>0</v>
      </c>
      <c r="E16" s="355">
        <v>1765.3600000000001</v>
      </c>
      <c r="F16" s="354">
        <f t="shared" si="0"/>
        <v>7943.9700000000012</v>
      </c>
      <c r="G16" s="46">
        <f t="shared" si="1"/>
        <v>7943.9700000000012</v>
      </c>
    </row>
    <row r="17" spans="1:7" x14ac:dyDescent="0.2">
      <c r="A17" s="421"/>
      <c r="B17" s="387">
        <v>539</v>
      </c>
      <c r="C17" s="355">
        <v>4120.71</v>
      </c>
      <c r="D17" s="355">
        <v>39275.58</v>
      </c>
      <c r="E17" s="355">
        <v>1241.0899999999999</v>
      </c>
      <c r="F17" s="354">
        <f t="shared" si="0"/>
        <v>44637.38</v>
      </c>
      <c r="G17" s="46">
        <f t="shared" si="1"/>
        <v>5361.8</v>
      </c>
    </row>
    <row r="18" spans="1:7" x14ac:dyDescent="0.2">
      <c r="A18" s="421"/>
      <c r="B18" s="387">
        <v>541</v>
      </c>
      <c r="C18" s="355">
        <v>86374.49</v>
      </c>
      <c r="D18" s="355">
        <v>10071.9</v>
      </c>
      <c r="E18" s="355">
        <v>22357.4</v>
      </c>
      <c r="F18" s="354">
        <f t="shared" si="0"/>
        <v>118803.79000000001</v>
      </c>
      <c r="G18" s="46">
        <f t="shared" si="1"/>
        <v>108731.89000000001</v>
      </c>
    </row>
    <row r="19" spans="1:7" s="34" customFormat="1" x14ac:dyDescent="0.2">
      <c r="A19" s="421"/>
      <c r="B19" s="387">
        <v>542</v>
      </c>
      <c r="C19" s="355">
        <v>17257.11</v>
      </c>
      <c r="D19" s="355">
        <v>146587.44</v>
      </c>
      <c r="E19" s="355">
        <v>5288.61</v>
      </c>
      <c r="F19" s="354">
        <f t="shared" si="0"/>
        <v>169133.15999999997</v>
      </c>
      <c r="G19" s="46">
        <f t="shared" si="1"/>
        <v>22545.72</v>
      </c>
    </row>
    <row r="20" spans="1:7" x14ac:dyDescent="0.2">
      <c r="A20" s="421"/>
      <c r="B20" s="387">
        <v>543</v>
      </c>
      <c r="C20" s="355">
        <v>0</v>
      </c>
      <c r="D20" s="355">
        <v>42400</v>
      </c>
      <c r="E20" s="355">
        <v>0</v>
      </c>
      <c r="F20" s="354">
        <f t="shared" si="0"/>
        <v>42400</v>
      </c>
      <c r="G20" s="324">
        <f>C20+E20</f>
        <v>0</v>
      </c>
    </row>
    <row r="21" spans="1:7" x14ac:dyDescent="0.2">
      <c r="A21" s="421"/>
      <c r="B21" s="387">
        <v>544</v>
      </c>
      <c r="C21" s="355">
        <v>43974.879999999997</v>
      </c>
      <c r="D21" s="355">
        <v>38633.57</v>
      </c>
      <c r="E21" s="355">
        <v>9574.68</v>
      </c>
      <c r="F21" s="354">
        <f t="shared" si="0"/>
        <v>92183.13</v>
      </c>
      <c r="G21" s="46">
        <f t="shared" si="1"/>
        <v>53549.56</v>
      </c>
    </row>
    <row r="22" spans="1:7" x14ac:dyDescent="0.2">
      <c r="A22" s="421"/>
      <c r="B22" s="387">
        <v>545</v>
      </c>
      <c r="C22" s="355">
        <v>2757.28</v>
      </c>
      <c r="D22" s="355">
        <v>4371.6000000000004</v>
      </c>
      <c r="E22" s="355">
        <v>787.16</v>
      </c>
      <c r="F22" s="354">
        <f t="shared" si="0"/>
        <v>7916.0400000000009</v>
      </c>
      <c r="G22" s="46">
        <f t="shared" si="1"/>
        <v>3544.44</v>
      </c>
    </row>
    <row r="23" spans="1:7" x14ac:dyDescent="0.2">
      <c r="A23" s="421"/>
      <c r="B23" s="387">
        <v>546</v>
      </c>
      <c r="C23" s="355">
        <v>157614.59</v>
      </c>
      <c r="D23" s="355">
        <v>9039.06</v>
      </c>
      <c r="E23" s="355">
        <v>44934.01</v>
      </c>
      <c r="F23" s="354">
        <f t="shared" si="0"/>
        <v>211587.66</v>
      </c>
      <c r="G23" s="46">
        <f t="shared" si="1"/>
        <v>202548.6</v>
      </c>
    </row>
    <row r="24" spans="1:7" x14ac:dyDescent="0.2">
      <c r="A24" s="421"/>
      <c r="B24" s="387">
        <v>547</v>
      </c>
      <c r="C24" s="355">
        <v>0</v>
      </c>
      <c r="D24" s="355">
        <v>31699199.32</v>
      </c>
      <c r="E24" s="355">
        <v>0</v>
      </c>
      <c r="F24" s="354">
        <f t="shared" si="0"/>
        <v>31699199.32</v>
      </c>
      <c r="G24" s="46">
        <f t="shared" si="1"/>
        <v>0</v>
      </c>
    </row>
    <row r="25" spans="1:7" x14ac:dyDescent="0.2">
      <c r="A25" s="421"/>
      <c r="B25" s="387">
        <v>548</v>
      </c>
      <c r="C25" s="355">
        <v>194620.48</v>
      </c>
      <c r="D25" s="355">
        <v>68496.31</v>
      </c>
      <c r="E25" s="355">
        <v>46672.98</v>
      </c>
      <c r="F25" s="354">
        <f t="shared" si="0"/>
        <v>309789.77</v>
      </c>
      <c r="G25" s="46">
        <f t="shared" si="1"/>
        <v>241293.46000000002</v>
      </c>
    </row>
    <row r="26" spans="1:7" x14ac:dyDescent="0.2">
      <c r="A26" s="421"/>
      <c r="B26" s="387">
        <v>549</v>
      </c>
      <c r="C26" s="355">
        <v>17146.63</v>
      </c>
      <c r="D26" s="355">
        <v>106668.03</v>
      </c>
      <c r="E26" s="355">
        <v>4299.07</v>
      </c>
      <c r="F26" s="354">
        <f t="shared" si="0"/>
        <v>128113.73000000001</v>
      </c>
      <c r="G26" s="46">
        <f t="shared" si="1"/>
        <v>21445.7</v>
      </c>
    </row>
    <row r="27" spans="1:7" x14ac:dyDescent="0.2">
      <c r="A27" s="421"/>
      <c r="B27" s="387">
        <v>550</v>
      </c>
      <c r="C27" s="355">
        <v>0</v>
      </c>
      <c r="D27" s="355">
        <v>34454.32</v>
      </c>
      <c r="E27" s="355">
        <v>0</v>
      </c>
      <c r="F27" s="354">
        <f t="shared" si="0"/>
        <v>34454.32</v>
      </c>
      <c r="G27" s="46">
        <f t="shared" si="1"/>
        <v>0</v>
      </c>
    </row>
    <row r="28" spans="1:7" x14ac:dyDescent="0.2">
      <c r="A28" s="421"/>
      <c r="B28" s="387">
        <v>551</v>
      </c>
      <c r="C28" s="355">
        <v>32884.57</v>
      </c>
      <c r="D28" s="355">
        <v>7855.7300000000005</v>
      </c>
      <c r="E28" s="355">
        <v>8888.15</v>
      </c>
      <c r="F28" s="354">
        <f t="shared" si="0"/>
        <v>49628.450000000004</v>
      </c>
      <c r="G28" s="46">
        <f t="shared" si="1"/>
        <v>41772.720000000001</v>
      </c>
    </row>
    <row r="29" spans="1:7" x14ac:dyDescent="0.2">
      <c r="A29" s="421"/>
      <c r="B29" s="387">
        <v>552</v>
      </c>
      <c r="C29" s="355">
        <v>102604.83</v>
      </c>
      <c r="D29" s="355">
        <v>134427.13</v>
      </c>
      <c r="E29" s="355">
        <v>28064.61</v>
      </c>
      <c r="F29" s="354">
        <f t="shared" si="0"/>
        <v>265096.57</v>
      </c>
      <c r="G29" s="46">
        <f t="shared" si="1"/>
        <v>130669.44</v>
      </c>
    </row>
    <row r="30" spans="1:7" x14ac:dyDescent="0.2">
      <c r="A30" s="421"/>
      <c r="B30" s="387">
        <v>553</v>
      </c>
      <c r="C30" s="355">
        <v>499059.27</v>
      </c>
      <c r="D30" s="355">
        <v>944564.04</v>
      </c>
      <c r="E30" s="355">
        <v>138221.35</v>
      </c>
      <c r="F30" s="354">
        <f t="shared" si="0"/>
        <v>1581844.6600000001</v>
      </c>
      <c r="G30" s="46">
        <f t="shared" si="1"/>
        <v>637280.62</v>
      </c>
    </row>
    <row r="31" spans="1:7" x14ac:dyDescent="0.2">
      <c r="A31" s="421"/>
      <c r="B31" s="387">
        <v>554</v>
      </c>
      <c r="C31" s="355">
        <v>64111.590000000004</v>
      </c>
      <c r="D31" s="355">
        <v>140770.78</v>
      </c>
      <c r="E31" s="355">
        <v>23364.78</v>
      </c>
      <c r="F31" s="354">
        <f t="shared" si="0"/>
        <v>228247.15</v>
      </c>
      <c r="G31" s="46">
        <f t="shared" si="1"/>
        <v>87476.37</v>
      </c>
    </row>
    <row r="32" spans="1:7" x14ac:dyDescent="0.2">
      <c r="A32" s="421"/>
      <c r="B32" s="387">
        <v>555</v>
      </c>
      <c r="C32" s="355">
        <v>0</v>
      </c>
      <c r="D32" s="355">
        <v>103829269.81</v>
      </c>
      <c r="E32" s="355">
        <v>0</v>
      </c>
      <c r="F32" s="354">
        <f t="shared" si="0"/>
        <v>103829269.81</v>
      </c>
      <c r="G32" s="46">
        <f t="shared" si="1"/>
        <v>0</v>
      </c>
    </row>
    <row r="33" spans="1:7" x14ac:dyDescent="0.2">
      <c r="A33" s="421"/>
      <c r="B33" s="387">
        <v>556</v>
      </c>
      <c r="C33" s="355">
        <v>1331868.07</v>
      </c>
      <c r="D33" s="355">
        <v>120584.51000000001</v>
      </c>
      <c r="E33" s="355">
        <v>389484.7</v>
      </c>
      <c r="F33" s="354">
        <f t="shared" si="0"/>
        <v>1841937.28</v>
      </c>
      <c r="G33" s="46">
        <f t="shared" si="1"/>
        <v>1721352.77</v>
      </c>
    </row>
    <row r="34" spans="1:7" x14ac:dyDescent="0.2">
      <c r="A34" s="421"/>
      <c r="B34" s="387">
        <v>557</v>
      </c>
      <c r="C34" s="355">
        <v>0.02</v>
      </c>
      <c r="D34" s="355">
        <v>403737.81</v>
      </c>
      <c r="E34" s="355">
        <v>0.03</v>
      </c>
      <c r="F34" s="354">
        <f t="shared" si="0"/>
        <v>403737.86000000004</v>
      </c>
      <c r="G34" s="46">
        <f t="shared" si="1"/>
        <v>0.05</v>
      </c>
    </row>
    <row r="35" spans="1:7" x14ac:dyDescent="0.2">
      <c r="A35" s="421"/>
      <c r="B35" s="387">
        <v>560</v>
      </c>
      <c r="C35" s="355">
        <v>1020380.17</v>
      </c>
      <c r="D35" s="355">
        <v>196171.4</v>
      </c>
      <c r="E35" s="355">
        <v>283047.61</v>
      </c>
      <c r="F35" s="354">
        <f t="shared" si="0"/>
        <v>1499599.1800000002</v>
      </c>
      <c r="G35" s="46">
        <f t="shared" si="1"/>
        <v>1303427.78</v>
      </c>
    </row>
    <row r="36" spans="1:7" x14ac:dyDescent="0.2">
      <c r="A36" s="421"/>
      <c r="B36" s="387">
        <v>561</v>
      </c>
      <c r="C36" s="355">
        <v>2062188.41</v>
      </c>
      <c r="D36" s="355">
        <v>194146.64</v>
      </c>
      <c r="E36" s="355">
        <v>591198.55000000005</v>
      </c>
      <c r="F36" s="354">
        <f t="shared" si="0"/>
        <v>2847533.5999999996</v>
      </c>
      <c r="G36" s="46">
        <f t="shared" si="1"/>
        <v>2653386.96</v>
      </c>
    </row>
    <row r="37" spans="1:7" x14ac:dyDescent="0.2">
      <c r="A37" s="421"/>
      <c r="B37" s="387">
        <v>562</v>
      </c>
      <c r="C37" s="355">
        <v>267270.94</v>
      </c>
      <c r="D37" s="355">
        <v>436940.97000000003</v>
      </c>
      <c r="E37" s="355">
        <v>67339.040000000008</v>
      </c>
      <c r="F37" s="354">
        <f t="shared" si="0"/>
        <v>771550.95000000007</v>
      </c>
      <c r="G37" s="46">
        <f t="shared" si="1"/>
        <v>334609.98</v>
      </c>
    </row>
    <row r="38" spans="1:7" x14ac:dyDescent="0.2">
      <c r="A38" s="421"/>
      <c r="B38" s="387">
        <v>563</v>
      </c>
      <c r="C38" s="355">
        <v>53834.73</v>
      </c>
      <c r="D38" s="355">
        <v>418038.14</v>
      </c>
      <c r="E38" s="355">
        <v>15593.07</v>
      </c>
      <c r="F38" s="354">
        <f t="shared" si="0"/>
        <v>487465.94</v>
      </c>
      <c r="G38" s="46">
        <f t="shared" si="1"/>
        <v>69427.8</v>
      </c>
    </row>
    <row r="39" spans="1:7" x14ac:dyDescent="0.2">
      <c r="A39" s="421"/>
      <c r="B39" s="387">
        <v>565</v>
      </c>
      <c r="C39" s="355">
        <v>0</v>
      </c>
      <c r="D39" s="355">
        <v>2390403.88</v>
      </c>
      <c r="E39" s="355">
        <v>0</v>
      </c>
      <c r="F39" s="354">
        <f t="shared" si="0"/>
        <v>2390403.88</v>
      </c>
      <c r="G39" s="46">
        <f t="shared" si="1"/>
        <v>0</v>
      </c>
    </row>
    <row r="40" spans="1:7" x14ac:dyDescent="0.2">
      <c r="A40" s="421"/>
      <c r="B40" s="387">
        <v>566</v>
      </c>
      <c r="C40" s="355">
        <v>328472.74</v>
      </c>
      <c r="D40" s="355">
        <v>11687384.33</v>
      </c>
      <c r="E40" s="355">
        <v>89472.49</v>
      </c>
      <c r="F40" s="354">
        <f t="shared" si="0"/>
        <v>12105329.560000001</v>
      </c>
      <c r="G40" s="46">
        <f t="shared" si="1"/>
        <v>417945.23</v>
      </c>
    </row>
    <row r="41" spans="1:7" x14ac:dyDescent="0.2">
      <c r="A41" s="421"/>
      <c r="B41" s="387">
        <v>567</v>
      </c>
      <c r="C41" s="355">
        <v>0</v>
      </c>
      <c r="D41" s="355">
        <v>142846.5</v>
      </c>
      <c r="E41" s="355">
        <v>0</v>
      </c>
      <c r="F41" s="354">
        <f t="shared" si="0"/>
        <v>142846.5</v>
      </c>
      <c r="G41" s="46">
        <f t="shared" si="1"/>
        <v>0</v>
      </c>
    </row>
    <row r="42" spans="1:7" x14ac:dyDescent="0.2">
      <c r="A42" s="421"/>
      <c r="B42" s="387">
        <v>570</v>
      </c>
      <c r="C42" s="355">
        <v>563436.63</v>
      </c>
      <c r="D42" s="355">
        <v>1258216.56</v>
      </c>
      <c r="E42" s="355">
        <v>133297.61000000002</v>
      </c>
      <c r="F42" s="354">
        <f t="shared" si="0"/>
        <v>1954950.8</v>
      </c>
      <c r="G42" s="46">
        <f t="shared" si="1"/>
        <v>696734.24</v>
      </c>
    </row>
    <row r="43" spans="1:7" x14ac:dyDescent="0.2">
      <c r="A43" s="421"/>
      <c r="B43" s="387">
        <v>571</v>
      </c>
      <c r="C43" s="355">
        <v>174651.51</v>
      </c>
      <c r="D43" s="355">
        <v>4439987.51</v>
      </c>
      <c r="E43" s="355">
        <v>45983.07</v>
      </c>
      <c r="F43" s="354">
        <f t="shared" si="0"/>
        <v>4660622.09</v>
      </c>
      <c r="G43" s="46">
        <f t="shared" si="1"/>
        <v>220634.58000000002</v>
      </c>
    </row>
    <row r="44" spans="1:7" x14ac:dyDescent="0.2">
      <c r="A44" s="421"/>
      <c r="B44" s="387">
        <v>573</v>
      </c>
      <c r="C44" s="355">
        <v>87996.63</v>
      </c>
      <c r="D44" s="355">
        <v>571042.21</v>
      </c>
      <c r="E44" s="355">
        <v>21874.010000000002</v>
      </c>
      <c r="F44" s="354">
        <f t="shared" si="0"/>
        <v>680912.85</v>
      </c>
      <c r="G44" s="46">
        <f t="shared" si="1"/>
        <v>109870.64000000001</v>
      </c>
    </row>
    <row r="45" spans="1:7" x14ac:dyDescent="0.2">
      <c r="A45" s="421"/>
      <c r="B45" s="387">
        <v>575.70000000000005</v>
      </c>
      <c r="C45" s="355">
        <v>0</v>
      </c>
      <c r="D45" s="355">
        <v>1397355.6400000001</v>
      </c>
      <c r="E45" s="355">
        <v>0</v>
      </c>
      <c r="F45" s="354">
        <f t="shared" si="0"/>
        <v>1397355.6400000001</v>
      </c>
      <c r="G45" s="46">
        <f t="shared" si="1"/>
        <v>0</v>
      </c>
    </row>
    <row r="46" spans="1:7" x14ac:dyDescent="0.2">
      <c r="A46" s="421"/>
      <c r="B46" s="387">
        <v>580</v>
      </c>
      <c r="C46" s="355">
        <v>1084934.58</v>
      </c>
      <c r="D46" s="355">
        <v>628698.75</v>
      </c>
      <c r="E46" s="355">
        <v>291824.88</v>
      </c>
      <c r="F46" s="354">
        <f t="shared" si="0"/>
        <v>2005458.21</v>
      </c>
      <c r="G46" s="46">
        <f t="shared" si="1"/>
        <v>1376759.46</v>
      </c>
    </row>
    <row r="47" spans="1:7" x14ac:dyDescent="0.2">
      <c r="A47" s="421"/>
      <c r="B47" s="387">
        <v>581</v>
      </c>
      <c r="C47" s="355">
        <v>591819.47</v>
      </c>
      <c r="D47" s="355">
        <v>0</v>
      </c>
      <c r="E47" s="355">
        <v>170627.71</v>
      </c>
      <c r="F47" s="354">
        <f t="shared" si="0"/>
        <v>762447.17999999993</v>
      </c>
      <c r="G47" s="46">
        <f t="shared" si="1"/>
        <v>762447.17999999993</v>
      </c>
    </row>
    <row r="48" spans="1:7" x14ac:dyDescent="0.2">
      <c r="A48" s="421"/>
      <c r="B48" s="387">
        <v>582</v>
      </c>
      <c r="C48" s="355">
        <v>627625.19000000006</v>
      </c>
      <c r="D48" s="355">
        <v>714545.32000000007</v>
      </c>
      <c r="E48" s="355">
        <v>176143.75</v>
      </c>
      <c r="F48" s="354">
        <f t="shared" si="0"/>
        <v>1518314.2600000002</v>
      </c>
      <c r="G48" s="46">
        <f t="shared" si="1"/>
        <v>803768.94000000006</v>
      </c>
    </row>
    <row r="49" spans="1:7" x14ac:dyDescent="0.2">
      <c r="A49" s="421"/>
      <c r="B49" s="387">
        <v>583</v>
      </c>
      <c r="C49" s="355">
        <v>1377554.03</v>
      </c>
      <c r="D49" s="355">
        <v>1876311.1099999999</v>
      </c>
      <c r="E49" s="355">
        <v>312215.83</v>
      </c>
      <c r="F49" s="354">
        <f t="shared" si="0"/>
        <v>3566080.9699999997</v>
      </c>
      <c r="G49" s="46">
        <f t="shared" si="1"/>
        <v>1689769.86</v>
      </c>
    </row>
    <row r="50" spans="1:7" x14ac:dyDescent="0.2">
      <c r="A50" s="421"/>
      <c r="B50" s="387">
        <v>584</v>
      </c>
      <c r="C50" s="355">
        <v>87996.42</v>
      </c>
      <c r="D50" s="355">
        <v>158530.89000000001</v>
      </c>
      <c r="E50" s="355">
        <v>13767.34</v>
      </c>
      <c r="F50" s="354">
        <f t="shared" si="0"/>
        <v>260294.65</v>
      </c>
      <c r="G50" s="46">
        <f t="shared" si="1"/>
        <v>101763.76</v>
      </c>
    </row>
    <row r="51" spans="1:7" s="34" customFormat="1" x14ac:dyDescent="0.2">
      <c r="A51" s="421"/>
      <c r="B51" s="387">
        <v>585</v>
      </c>
      <c r="C51" s="355">
        <v>0</v>
      </c>
      <c r="D51" s="355">
        <v>19805.27</v>
      </c>
      <c r="E51" s="355">
        <v>2664.27</v>
      </c>
      <c r="F51" s="354">
        <f t="shared" ref="F51" si="4">SUM(C51:E51)</f>
        <v>22469.54</v>
      </c>
      <c r="G51" s="324">
        <f t="shared" si="1"/>
        <v>2664.27</v>
      </c>
    </row>
    <row r="52" spans="1:7" x14ac:dyDescent="0.2">
      <c r="A52" s="421"/>
      <c r="B52" s="387">
        <v>586</v>
      </c>
      <c r="C52" s="355">
        <v>3588674.0700000003</v>
      </c>
      <c r="D52" s="355">
        <v>3178188.81</v>
      </c>
      <c r="E52" s="355">
        <v>995150.35</v>
      </c>
      <c r="F52" s="354">
        <f t="shared" si="0"/>
        <v>7762013.2300000004</v>
      </c>
      <c r="G52" s="46">
        <f t="shared" si="1"/>
        <v>4583824.42</v>
      </c>
    </row>
    <row r="53" spans="1:7" x14ac:dyDescent="0.2">
      <c r="A53" s="421"/>
      <c r="B53" s="387">
        <v>587</v>
      </c>
      <c r="C53" s="355">
        <v>1593.9</v>
      </c>
      <c r="D53" s="355">
        <v>-76035.839999999997</v>
      </c>
      <c r="E53" s="355">
        <v>139.42000000000002</v>
      </c>
      <c r="F53" s="354">
        <f t="shared" si="0"/>
        <v>-74302.52</v>
      </c>
      <c r="G53" s="46">
        <f t="shared" si="1"/>
        <v>1733.3200000000002</v>
      </c>
    </row>
    <row r="54" spans="1:7" x14ac:dyDescent="0.2">
      <c r="A54" s="421"/>
      <c r="B54" s="387">
        <v>588</v>
      </c>
      <c r="C54" s="355">
        <v>2180115.37</v>
      </c>
      <c r="D54" s="355">
        <v>2220107.9500000002</v>
      </c>
      <c r="E54" s="355">
        <v>601846.15</v>
      </c>
      <c r="F54" s="354">
        <f t="shared" si="0"/>
        <v>5002069.4700000007</v>
      </c>
      <c r="G54" s="46">
        <f t="shared" si="1"/>
        <v>2781961.52</v>
      </c>
    </row>
    <row r="55" spans="1:7" x14ac:dyDescent="0.2">
      <c r="A55" s="421"/>
      <c r="B55" s="387">
        <v>589</v>
      </c>
      <c r="C55" s="355">
        <v>0</v>
      </c>
      <c r="D55" s="355">
        <v>11380.16</v>
      </c>
      <c r="E55" s="355">
        <v>0</v>
      </c>
      <c r="F55" s="354">
        <f t="shared" si="0"/>
        <v>11380.16</v>
      </c>
      <c r="G55" s="46">
        <f t="shared" si="1"/>
        <v>0</v>
      </c>
    </row>
    <row r="56" spans="1:7" x14ac:dyDescent="0.2">
      <c r="A56" s="421"/>
      <c r="B56" s="387">
        <v>590</v>
      </c>
      <c r="C56" s="355">
        <v>76375.8</v>
      </c>
      <c r="D56" s="355">
        <v>52267.93</v>
      </c>
      <c r="E56" s="355">
        <v>12746.27</v>
      </c>
      <c r="F56" s="354">
        <f t="shared" si="0"/>
        <v>141390</v>
      </c>
      <c r="G56" s="46">
        <f t="shared" si="1"/>
        <v>89122.07</v>
      </c>
    </row>
    <row r="57" spans="1:7" x14ac:dyDescent="0.2">
      <c r="A57" s="421"/>
      <c r="B57" s="387">
        <v>592</v>
      </c>
      <c r="C57" s="355">
        <v>279689.14</v>
      </c>
      <c r="D57" s="355">
        <v>351891.54</v>
      </c>
      <c r="E57" s="355">
        <v>71101.84</v>
      </c>
      <c r="F57" s="354">
        <f t="shared" si="0"/>
        <v>702682.5199999999</v>
      </c>
      <c r="G57" s="46">
        <f t="shared" si="1"/>
        <v>350790.98</v>
      </c>
    </row>
    <row r="58" spans="1:7" x14ac:dyDescent="0.2">
      <c r="A58" s="421"/>
      <c r="B58" s="387">
        <v>593</v>
      </c>
      <c r="C58" s="355">
        <v>5589431.9000000004</v>
      </c>
      <c r="D58" s="355">
        <v>25662682.379999999</v>
      </c>
      <c r="E58" s="355">
        <v>1054579.99</v>
      </c>
      <c r="F58" s="354">
        <f t="shared" si="0"/>
        <v>32306694.27</v>
      </c>
      <c r="G58" s="46">
        <f t="shared" si="1"/>
        <v>6644011.8900000006</v>
      </c>
    </row>
    <row r="59" spans="1:7" x14ac:dyDescent="0.2">
      <c r="A59" s="421"/>
      <c r="B59" s="387">
        <v>594</v>
      </c>
      <c r="C59" s="355">
        <v>147351.12</v>
      </c>
      <c r="D59" s="355">
        <v>307279.5</v>
      </c>
      <c r="E59" s="355">
        <v>31018.75</v>
      </c>
      <c r="F59" s="354">
        <f t="shared" si="0"/>
        <v>485649.37</v>
      </c>
      <c r="G59" s="46">
        <f t="shared" si="1"/>
        <v>178369.87</v>
      </c>
    </row>
    <row r="60" spans="1:7" x14ac:dyDescent="0.2">
      <c r="A60" s="421"/>
      <c r="B60" s="387">
        <v>595</v>
      </c>
      <c r="C60" s="355">
        <v>58528.200000000004</v>
      </c>
      <c r="D60" s="355">
        <v>124359.49</v>
      </c>
      <c r="E60" s="355">
        <v>14110.12</v>
      </c>
      <c r="F60" s="354">
        <f t="shared" si="0"/>
        <v>196997.81</v>
      </c>
      <c r="G60" s="46">
        <f t="shared" si="1"/>
        <v>72638.320000000007</v>
      </c>
    </row>
    <row r="61" spans="1:7" x14ac:dyDescent="0.2">
      <c r="A61" s="421"/>
      <c r="B61" s="387">
        <v>598</v>
      </c>
      <c r="C61" s="355">
        <v>61355.64</v>
      </c>
      <c r="D61" s="355">
        <v>64528.29</v>
      </c>
      <c r="E61" s="355">
        <v>9199.92</v>
      </c>
      <c r="F61" s="354">
        <f t="shared" si="0"/>
        <v>135083.85</v>
      </c>
      <c r="G61" s="46">
        <f t="shared" si="1"/>
        <v>70555.56</v>
      </c>
    </row>
    <row r="62" spans="1:7" x14ac:dyDescent="0.2">
      <c r="A62" s="421"/>
      <c r="B62" s="387">
        <v>901</v>
      </c>
      <c r="C62" s="355">
        <v>1904205.96</v>
      </c>
      <c r="D62" s="355">
        <v>272701.52</v>
      </c>
      <c r="E62" s="355">
        <v>551541.46</v>
      </c>
      <c r="F62" s="354">
        <f t="shared" si="0"/>
        <v>2728448.94</v>
      </c>
      <c r="G62" s="46">
        <f t="shared" si="1"/>
        <v>2455747.42</v>
      </c>
    </row>
    <row r="63" spans="1:7" x14ac:dyDescent="0.2">
      <c r="A63" s="421"/>
      <c r="B63" s="387">
        <v>902</v>
      </c>
      <c r="C63" s="355">
        <v>222781.51</v>
      </c>
      <c r="D63" s="355">
        <v>4634099.82</v>
      </c>
      <c r="E63" s="355">
        <v>63167.07</v>
      </c>
      <c r="F63" s="354">
        <f t="shared" si="0"/>
        <v>4920048.4000000004</v>
      </c>
      <c r="G63" s="46">
        <f t="shared" si="1"/>
        <v>285948.58</v>
      </c>
    </row>
    <row r="64" spans="1:7" x14ac:dyDescent="0.2">
      <c r="A64" s="421"/>
      <c r="B64" s="387">
        <v>903</v>
      </c>
      <c r="C64" s="355">
        <v>6844560.7800000003</v>
      </c>
      <c r="D64" s="355">
        <v>5648824.9699999997</v>
      </c>
      <c r="E64" s="355">
        <v>1826129.06</v>
      </c>
      <c r="F64" s="354">
        <f t="shared" si="0"/>
        <v>14319514.810000001</v>
      </c>
      <c r="G64" s="46">
        <f t="shared" si="1"/>
        <v>8670689.8399999999</v>
      </c>
    </row>
    <row r="65" spans="1:7" x14ac:dyDescent="0.2">
      <c r="A65" s="421"/>
      <c r="B65" s="387">
        <v>904</v>
      </c>
      <c r="C65" s="355">
        <v>0</v>
      </c>
      <c r="D65" s="355">
        <v>5413178.0499999998</v>
      </c>
      <c r="E65" s="355">
        <v>0</v>
      </c>
      <c r="F65" s="354">
        <f t="shared" si="0"/>
        <v>5413178.0499999998</v>
      </c>
      <c r="G65" s="46">
        <f t="shared" si="1"/>
        <v>0</v>
      </c>
    </row>
    <row r="66" spans="1:7" x14ac:dyDescent="0.2">
      <c r="A66" s="421"/>
      <c r="B66" s="387">
        <v>905</v>
      </c>
      <c r="C66" s="355">
        <v>352022.07</v>
      </c>
      <c r="D66" s="355">
        <v>299817.74</v>
      </c>
      <c r="E66" s="355">
        <v>98504.930000000008</v>
      </c>
      <c r="F66" s="354">
        <f t="shared" si="0"/>
        <v>750344.74000000011</v>
      </c>
      <c r="G66" s="46">
        <f t="shared" si="1"/>
        <v>450527</v>
      </c>
    </row>
    <row r="67" spans="1:7" x14ac:dyDescent="0.2">
      <c r="A67" s="421"/>
      <c r="B67" s="387">
        <v>907</v>
      </c>
      <c r="C67" s="355">
        <v>139671.94</v>
      </c>
      <c r="D67" s="355">
        <v>25183.14</v>
      </c>
      <c r="E67" s="355">
        <v>40835.93</v>
      </c>
      <c r="F67" s="354">
        <f t="shared" si="0"/>
        <v>205691.01</v>
      </c>
      <c r="G67" s="46">
        <f t="shared" si="1"/>
        <v>180507.87</v>
      </c>
    </row>
    <row r="68" spans="1:7" x14ac:dyDescent="0.2">
      <c r="A68" s="421"/>
      <c r="B68" s="387">
        <v>908</v>
      </c>
      <c r="C68" s="355">
        <v>727885.43</v>
      </c>
      <c r="D68" s="355">
        <v>12387648.25</v>
      </c>
      <c r="E68" s="355">
        <v>548808.81000000006</v>
      </c>
      <c r="F68" s="354">
        <f t="shared" si="0"/>
        <v>13664342.49</v>
      </c>
      <c r="G68" s="46">
        <f t="shared" si="1"/>
        <v>1276694.2400000002</v>
      </c>
    </row>
    <row r="69" spans="1:7" x14ac:dyDescent="0.2">
      <c r="A69" s="421"/>
      <c r="B69" s="387">
        <v>909</v>
      </c>
      <c r="C69" s="355">
        <v>0</v>
      </c>
      <c r="D69" s="355">
        <v>157093.06</v>
      </c>
      <c r="E69" s="355">
        <v>0</v>
      </c>
      <c r="F69" s="354">
        <f t="shared" si="0"/>
        <v>157093.06</v>
      </c>
      <c r="G69" s="46">
        <f t="shared" si="1"/>
        <v>0</v>
      </c>
    </row>
    <row r="70" spans="1:7" x14ac:dyDescent="0.2">
      <c r="A70" s="421"/>
      <c r="B70" s="387">
        <v>910</v>
      </c>
      <c r="C70" s="355">
        <v>0</v>
      </c>
      <c r="D70" s="355">
        <v>417606.14</v>
      </c>
      <c r="E70" s="355">
        <v>0</v>
      </c>
      <c r="F70" s="354">
        <f t="shared" ref="F70:F87" si="5">SUM(C70:E70)</f>
        <v>417606.14</v>
      </c>
      <c r="G70" s="46">
        <f t="shared" si="1"/>
        <v>0</v>
      </c>
    </row>
    <row r="71" spans="1:7" x14ac:dyDescent="0.2">
      <c r="A71" s="421"/>
      <c r="B71" s="387">
        <v>913</v>
      </c>
      <c r="C71" s="355">
        <v>0</v>
      </c>
      <c r="D71" s="355">
        <v>23966.44</v>
      </c>
      <c r="E71" s="355">
        <v>0</v>
      </c>
      <c r="F71" s="354">
        <f t="shared" si="5"/>
        <v>23966.44</v>
      </c>
      <c r="G71" s="46">
        <f t="shared" ref="G71:G87" si="6">C71+E71</f>
        <v>0</v>
      </c>
    </row>
    <row r="72" spans="1:7" s="34" customFormat="1" x14ac:dyDescent="0.2">
      <c r="A72" s="421"/>
      <c r="B72" s="387">
        <v>920</v>
      </c>
      <c r="C72" s="355">
        <v>16951581.800000001</v>
      </c>
      <c r="D72" s="355">
        <v>1347</v>
      </c>
      <c r="E72" s="355">
        <v>4885807.26</v>
      </c>
      <c r="F72" s="354">
        <f t="shared" si="5"/>
        <v>21838736.060000002</v>
      </c>
      <c r="G72" s="324">
        <f t="shared" si="6"/>
        <v>21837389.060000002</v>
      </c>
    </row>
    <row r="73" spans="1:7" x14ac:dyDescent="0.2">
      <c r="A73" s="421"/>
      <c r="B73" s="387">
        <v>921</v>
      </c>
      <c r="C73" s="355">
        <v>35250</v>
      </c>
      <c r="D73" s="355">
        <v>7412019.6500000004</v>
      </c>
      <c r="E73" s="355">
        <v>3674.78</v>
      </c>
      <c r="F73" s="354">
        <f t="shared" si="5"/>
        <v>7450944.4300000006</v>
      </c>
      <c r="G73" s="46">
        <f t="shared" si="6"/>
        <v>38924.78</v>
      </c>
    </row>
    <row r="74" spans="1:7" x14ac:dyDescent="0.2">
      <c r="A74" s="421"/>
      <c r="B74" s="387">
        <v>922</v>
      </c>
      <c r="C74" s="355">
        <v>-1614214.38</v>
      </c>
      <c r="D74" s="355">
        <v>-782166.71</v>
      </c>
      <c r="E74" s="355">
        <v>-504364.37</v>
      </c>
      <c r="F74" s="354">
        <f t="shared" si="5"/>
        <v>-2900745.46</v>
      </c>
      <c r="G74" s="46">
        <f t="shared" si="6"/>
        <v>-2118578.75</v>
      </c>
    </row>
    <row r="75" spans="1:7" x14ac:dyDescent="0.2">
      <c r="A75" s="421"/>
      <c r="B75" s="387">
        <v>923</v>
      </c>
      <c r="C75" s="355">
        <v>0</v>
      </c>
      <c r="D75" s="355">
        <v>8857899.9399999995</v>
      </c>
      <c r="E75" s="355">
        <v>0</v>
      </c>
      <c r="F75" s="354">
        <f t="shared" si="5"/>
        <v>8857899.9399999995</v>
      </c>
      <c r="G75" s="46">
        <f t="shared" si="6"/>
        <v>0</v>
      </c>
    </row>
    <row r="76" spans="1:7" x14ac:dyDescent="0.2">
      <c r="A76" s="421"/>
      <c r="B76" s="387">
        <v>924</v>
      </c>
      <c r="C76" s="355">
        <v>0</v>
      </c>
      <c r="D76" s="355">
        <v>4275705.38</v>
      </c>
      <c r="E76" s="355">
        <v>0</v>
      </c>
      <c r="F76" s="354">
        <f t="shared" si="5"/>
        <v>4275705.38</v>
      </c>
      <c r="G76" s="46">
        <f t="shared" si="6"/>
        <v>0</v>
      </c>
    </row>
    <row r="77" spans="1:7" x14ac:dyDescent="0.2">
      <c r="A77" s="421"/>
      <c r="B77" s="387">
        <v>925</v>
      </c>
      <c r="C77" s="355">
        <v>58318.49</v>
      </c>
      <c r="D77" s="355">
        <v>2666131.7800000003</v>
      </c>
      <c r="E77" s="355">
        <v>836053.93</v>
      </c>
      <c r="F77" s="354">
        <f t="shared" si="5"/>
        <v>3560504.2000000007</v>
      </c>
      <c r="G77" s="46">
        <f t="shared" si="6"/>
        <v>894372.42</v>
      </c>
    </row>
    <row r="78" spans="1:7" x14ac:dyDescent="0.2">
      <c r="A78" s="421"/>
      <c r="B78" s="387">
        <v>926</v>
      </c>
      <c r="C78" s="355">
        <v>627.80000000000007</v>
      </c>
      <c r="D78" s="355">
        <v>0</v>
      </c>
      <c r="E78" s="355">
        <v>39263461.450000003</v>
      </c>
      <c r="F78" s="354">
        <f t="shared" si="5"/>
        <v>39264089.25</v>
      </c>
      <c r="G78" s="46">
        <f t="shared" si="6"/>
        <v>39264089.25</v>
      </c>
    </row>
    <row r="79" spans="1:7" x14ac:dyDescent="0.2">
      <c r="A79" s="421"/>
      <c r="B79" s="387">
        <v>927</v>
      </c>
      <c r="C79" s="355">
        <v>0</v>
      </c>
      <c r="D79" s="355">
        <v>3751.98</v>
      </c>
      <c r="E79" s="355">
        <v>0</v>
      </c>
      <c r="F79" s="354">
        <f t="shared" si="5"/>
        <v>3751.98</v>
      </c>
      <c r="G79" s="46">
        <f t="shared" si="6"/>
        <v>0</v>
      </c>
    </row>
    <row r="80" spans="1:7" x14ac:dyDescent="0.2">
      <c r="A80" s="421"/>
      <c r="B80" s="387">
        <v>928</v>
      </c>
      <c r="C80" s="355">
        <v>0</v>
      </c>
      <c r="D80" s="355">
        <v>1800750.5899999999</v>
      </c>
      <c r="E80" s="355">
        <v>0</v>
      </c>
      <c r="F80" s="354">
        <f t="shared" si="5"/>
        <v>1800750.5899999999</v>
      </c>
      <c r="G80" s="46">
        <f t="shared" si="6"/>
        <v>0</v>
      </c>
    </row>
    <row r="81" spans="1:7" x14ac:dyDescent="0.2">
      <c r="A81" s="421"/>
      <c r="B81" s="387">
        <v>929</v>
      </c>
      <c r="C81" s="355">
        <v>0</v>
      </c>
      <c r="D81" s="355">
        <v>-3751.98</v>
      </c>
      <c r="E81" s="355">
        <v>0</v>
      </c>
      <c r="F81" s="354">
        <f t="shared" si="5"/>
        <v>-3751.98</v>
      </c>
      <c r="G81" s="46">
        <f t="shared" si="6"/>
        <v>0</v>
      </c>
    </row>
    <row r="82" spans="1:7" x14ac:dyDescent="0.2">
      <c r="A82" s="421"/>
      <c r="B82" s="387">
        <v>930.1</v>
      </c>
      <c r="C82" s="355">
        <v>0</v>
      </c>
      <c r="D82" s="355">
        <v>827233.97</v>
      </c>
      <c r="E82" s="355">
        <v>0</v>
      </c>
      <c r="F82" s="354">
        <f t="shared" si="5"/>
        <v>827233.97</v>
      </c>
      <c r="G82" s="46">
        <f t="shared" si="6"/>
        <v>0</v>
      </c>
    </row>
    <row r="83" spans="1:7" x14ac:dyDescent="0.2">
      <c r="A83" s="421"/>
      <c r="B83" s="387">
        <v>930.2</v>
      </c>
      <c r="C83" s="355">
        <v>26963.510000000002</v>
      </c>
      <c r="D83" s="355">
        <v>3024324.39</v>
      </c>
      <c r="E83" s="355">
        <v>7889.12</v>
      </c>
      <c r="F83" s="354">
        <f t="shared" si="5"/>
        <v>3059177.02</v>
      </c>
      <c r="G83" s="46">
        <f t="shared" si="6"/>
        <v>34852.630000000005</v>
      </c>
    </row>
    <row r="84" spans="1:7" s="34" customFormat="1" x14ac:dyDescent="0.2">
      <c r="A84" s="421"/>
      <c r="B84" s="387">
        <v>930.9</v>
      </c>
      <c r="C84" s="355">
        <v>0</v>
      </c>
      <c r="D84" s="355">
        <v>0</v>
      </c>
      <c r="E84" s="355">
        <v>0</v>
      </c>
      <c r="F84" s="354">
        <f t="shared" si="5"/>
        <v>0</v>
      </c>
      <c r="G84" s="324">
        <f t="shared" si="6"/>
        <v>0</v>
      </c>
    </row>
    <row r="85" spans="1:7" x14ac:dyDescent="0.2">
      <c r="A85" s="421"/>
      <c r="B85" s="387">
        <v>931</v>
      </c>
      <c r="C85" s="355">
        <v>0</v>
      </c>
      <c r="D85" s="355">
        <v>2376357.73</v>
      </c>
      <c r="E85" s="355">
        <v>0</v>
      </c>
      <c r="F85" s="354">
        <f t="shared" si="5"/>
        <v>2376357.73</v>
      </c>
      <c r="G85" s="46">
        <f t="shared" si="6"/>
        <v>0</v>
      </c>
    </row>
    <row r="86" spans="1:7" x14ac:dyDescent="0.2">
      <c r="A86" s="421"/>
      <c r="B86" s="387">
        <v>935.3</v>
      </c>
      <c r="C86" s="355">
        <v>939829.35</v>
      </c>
      <c r="D86" s="355">
        <v>812611.77</v>
      </c>
      <c r="E86" s="355">
        <v>249837.48</v>
      </c>
      <c r="F86" s="354">
        <f t="shared" si="5"/>
        <v>2002278.6</v>
      </c>
      <c r="G86" s="46">
        <f t="shared" si="6"/>
        <v>1189666.83</v>
      </c>
    </row>
    <row r="87" spans="1:7" x14ac:dyDescent="0.2">
      <c r="A87" s="421"/>
      <c r="B87" s="387">
        <v>935.4</v>
      </c>
      <c r="C87" s="355">
        <v>3494423.39</v>
      </c>
      <c r="D87" s="355">
        <v>6707977.4699999997</v>
      </c>
      <c r="E87" s="355">
        <v>1011189.94</v>
      </c>
      <c r="F87" s="354">
        <f t="shared" si="5"/>
        <v>11213590.799999999</v>
      </c>
      <c r="G87" s="46">
        <f t="shared" si="6"/>
        <v>4505613.33</v>
      </c>
    </row>
    <row r="88" spans="1:7" x14ac:dyDescent="0.2">
      <c r="A88" s="421"/>
      <c r="B88" s="357"/>
      <c r="C88" s="354"/>
      <c r="D88" s="354"/>
      <c r="E88" s="354"/>
      <c r="F88" s="354"/>
      <c r="G88" s="46"/>
    </row>
    <row r="89" spans="1:7" x14ac:dyDescent="0.2">
      <c r="A89" s="421"/>
      <c r="D89" s="33"/>
      <c r="E89" s="33"/>
    </row>
    <row r="90" spans="1:7" x14ac:dyDescent="0.2">
      <c r="A90" s="421"/>
      <c r="C90" s="44">
        <f>SUM(C3:C89)</f>
        <v>87288548.120000005</v>
      </c>
      <c r="D90" s="44">
        <f>SUM(D3:D89)</f>
        <v>828509434.19999981</v>
      </c>
      <c r="E90" s="44">
        <f>SUM(E3:E89)</f>
        <v>65063407.079999983</v>
      </c>
      <c r="F90" s="44">
        <f>SUM(F3:F89)</f>
        <v>980861389.39999962</v>
      </c>
      <c r="G90" s="44">
        <f>SUM(G3:G89)</f>
        <v>152351955.20000002</v>
      </c>
    </row>
    <row r="91" spans="1:7" x14ac:dyDescent="0.2">
      <c r="A91" s="421"/>
    </row>
    <row r="92" spans="1:7" x14ac:dyDescent="0.2">
      <c r="A92" s="421"/>
    </row>
    <row r="93" spans="1:7" x14ac:dyDescent="0.2">
      <c r="A93" s="421"/>
    </row>
    <row r="94" spans="1:7" x14ac:dyDescent="0.2">
      <c r="A94" s="421"/>
    </row>
    <row r="95" spans="1:7" x14ac:dyDescent="0.2">
      <c r="A95" s="421"/>
    </row>
    <row r="96" spans="1:7" x14ac:dyDescent="0.2">
      <c r="A96" s="421"/>
    </row>
    <row r="97" spans="1:1" x14ac:dyDescent="0.2">
      <c r="A97" s="421"/>
    </row>
    <row r="98" spans="1:1" x14ac:dyDescent="0.2">
      <c r="A98" s="421"/>
    </row>
    <row r="99" spans="1:1" x14ac:dyDescent="0.2">
      <c r="A99" s="421"/>
    </row>
    <row r="100" spans="1:1" x14ac:dyDescent="0.2">
      <c r="A100" s="421"/>
    </row>
    <row r="101" spans="1:1" x14ac:dyDescent="0.2">
      <c r="A101" s="421"/>
    </row>
    <row r="102" spans="1:1" x14ac:dyDescent="0.2">
      <c r="A102" s="421"/>
    </row>
  </sheetData>
  <phoneticPr fontId="9" type="noConversion"/>
  <pageMargins left="0.75" right="0.75" top="1" bottom="1" header="0.5" footer="0.5"/>
  <pageSetup scale="9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195</vt:i4>
      </vt:variant>
    </vt:vector>
  </HeadingPairs>
  <TitlesOfParts>
    <vt:vector size="208" baseType="lpstr">
      <vt:lpstr>TOTALCO</vt:lpstr>
      <vt:lpstr>Print Layout</vt:lpstr>
      <vt:lpstr>PIS</vt:lpstr>
      <vt:lpstr>VA500KV</vt:lpstr>
      <vt:lpstr>AFUDC</vt:lpstr>
      <vt:lpstr>RWIP Allocation</vt:lpstr>
      <vt:lpstr>CWIP and AFUDC</vt:lpstr>
      <vt:lpstr>AFUDC Depr AccDepr</vt:lpstr>
      <vt:lpstr>O&amp;M</vt:lpstr>
      <vt:lpstr>FERC SpareParts</vt:lpstr>
      <vt:lpstr>M&amp;S</vt:lpstr>
      <vt:lpstr>2012q1</vt:lpstr>
      <vt:lpstr>Mar 2012</vt:lpstr>
      <vt:lpstr>A_GEXP</vt:lpstr>
      <vt:lpstr>ADITPP</vt:lpstr>
      <vt:lpstr>ADITTP</vt:lpstr>
      <vt:lpstr>AFUDC</vt:lpstr>
      <vt:lpstr>CUST369K</vt:lpstr>
      <vt:lpstr>CUST369T</vt:lpstr>
      <vt:lpstr>CUST369V</vt:lpstr>
      <vt:lpstr>CUST370K</vt:lpstr>
      <vt:lpstr>CUST370T</vt:lpstr>
      <vt:lpstr>CUST370V</vt:lpstr>
      <vt:lpstr>CUST371K</vt:lpstr>
      <vt:lpstr>CUST371T</vt:lpstr>
      <vt:lpstr>CUST371V</vt:lpstr>
      <vt:lpstr>CUST373K</vt:lpstr>
      <vt:lpstr>CUST373V</vt:lpstr>
      <vt:lpstr>CUST902</vt:lpstr>
      <vt:lpstr>CUST903</vt:lpstr>
      <vt:lpstr>CUST904</vt:lpstr>
      <vt:lpstr>CUST908</vt:lpstr>
      <vt:lpstr>CUST909</vt:lpstr>
      <vt:lpstr>CUST912</vt:lpstr>
      <vt:lpstr>CUST913</vt:lpstr>
      <vt:lpstr>CUSTADV</vt:lpstr>
      <vt:lpstr>CUSTANN</vt:lpstr>
      <vt:lpstr>CUSTDEP</vt:lpstr>
      <vt:lpstr>CUSTDEPI</vt:lpstr>
      <vt:lpstr>CUSTSER</vt:lpstr>
      <vt:lpstr>CWIPPP</vt:lpstr>
      <vt:lpstr>CWIPTP</vt:lpstr>
      <vt:lpstr>DEFTAX</vt:lpstr>
      <vt:lpstr>DEM3602V</vt:lpstr>
      <vt:lpstr>DEM360K</vt:lpstr>
      <vt:lpstr>DEM360T</vt:lpstr>
      <vt:lpstr>DEM360V</vt:lpstr>
      <vt:lpstr>DEM361K</vt:lpstr>
      <vt:lpstr>DEM361T</vt:lpstr>
      <vt:lpstr>DEM361V</vt:lpstr>
      <vt:lpstr>DEM362K</vt:lpstr>
      <vt:lpstr>DEM362T</vt:lpstr>
      <vt:lpstr>DEM362V</vt:lpstr>
      <vt:lpstr>DEM3645K</vt:lpstr>
      <vt:lpstr>DEM3645V</vt:lpstr>
      <vt:lpstr>DEM364K</vt:lpstr>
      <vt:lpstr>DEM364T</vt:lpstr>
      <vt:lpstr>DEM364V</vt:lpstr>
      <vt:lpstr>DEM365K</vt:lpstr>
      <vt:lpstr>DEM365T</vt:lpstr>
      <vt:lpstr>DEM365V</vt:lpstr>
      <vt:lpstr>DEM3667K</vt:lpstr>
      <vt:lpstr>DEM3667V</vt:lpstr>
      <vt:lpstr>DEM366K</vt:lpstr>
      <vt:lpstr>DEM367K</vt:lpstr>
      <vt:lpstr>DEM367V</vt:lpstr>
      <vt:lpstr>DEM368K</vt:lpstr>
      <vt:lpstr>DEM368T</vt:lpstr>
      <vt:lpstr>DEM368V</vt:lpstr>
      <vt:lpstr>DEM374K</vt:lpstr>
      <vt:lpstr>DEMFERC</vt:lpstr>
      <vt:lpstr>DEMFERCP</vt:lpstr>
      <vt:lpstr>DEMFERCT</vt:lpstr>
      <vt:lpstr>DEMPROD</vt:lpstr>
      <vt:lpstr>DEMPRODNV</vt:lpstr>
      <vt:lpstr>DEMTENND</vt:lpstr>
      <vt:lpstr>DEMTRAN</vt:lpstr>
      <vt:lpstr>DEMTRANNF</vt:lpstr>
      <vt:lpstr>DEMVA</vt:lpstr>
      <vt:lpstr>DFERCTP</vt:lpstr>
      <vt:lpstr>DFUELVA</vt:lpstr>
      <vt:lpstr>DIR203E</vt:lpstr>
      <vt:lpstr>DIR3602V</vt:lpstr>
      <vt:lpstr>DIR361K</vt:lpstr>
      <vt:lpstr>DIR362K</vt:lpstr>
      <vt:lpstr>DIR364K</vt:lpstr>
      <vt:lpstr>DIR365K</vt:lpstr>
      <vt:lpstr>DIR366K</vt:lpstr>
      <vt:lpstr>DIR367K</vt:lpstr>
      <vt:lpstr>DIR368K</vt:lpstr>
      <vt:lpstr>DIR450REV</vt:lpstr>
      <vt:lpstr>DIR451OTH</vt:lpstr>
      <vt:lpstr>DIR451REC</vt:lpstr>
      <vt:lpstr>DIR454REV</vt:lpstr>
      <vt:lpstr>DIR456CHK</vt:lpstr>
      <vt:lpstr>DIR456FAC</vt:lpstr>
      <vt:lpstr>DIR456OTH</vt:lpstr>
      <vt:lpstr>DIRACDEP</vt:lpstr>
      <vt:lpstr>DIRACDFTX</vt:lpstr>
      <vt:lpstr>DIRACITC</vt:lpstr>
      <vt:lpstr>DIRCWIP</vt:lpstr>
      <vt:lpstr>DIRITCADJ</vt:lpstr>
      <vt:lpstr>DIRSE</vt:lpstr>
      <vt:lpstr>DISTPLT</vt:lpstr>
      <vt:lpstr>DISTPLTKF</vt:lpstr>
      <vt:lpstr>DPLTXVA</vt:lpstr>
      <vt:lpstr>DPRODKY</vt:lpstr>
      <vt:lpstr>DPRODVA</vt:lpstr>
      <vt:lpstr>ENERGY</vt:lpstr>
      <vt:lpstr>ENERGY1</vt:lpstr>
      <vt:lpstr>EXP5017STM</vt:lpstr>
      <vt:lpstr>EXP5114STM</vt:lpstr>
      <vt:lpstr>EXP5360HYD</vt:lpstr>
      <vt:lpstr>EXP5425HYD</vt:lpstr>
      <vt:lpstr>EXP5479OTH</vt:lpstr>
      <vt:lpstr>EXP5524OTH</vt:lpstr>
      <vt:lpstr>EXP5627TX</vt:lpstr>
      <vt:lpstr>EXP5693TX</vt:lpstr>
      <vt:lpstr>EXP5829DIS</vt:lpstr>
      <vt:lpstr>EXP5918DIS</vt:lpstr>
      <vt:lpstr>EXP9024CA</vt:lpstr>
      <vt:lpstr>EXP9025CA</vt:lpstr>
      <vt:lpstr>EXP9080CS</vt:lpstr>
      <vt:lpstr>EXP9089CS</vt:lpstr>
      <vt:lpstr>EXP9123SA</vt:lpstr>
      <vt:lpstr>EXP9126SA</vt:lpstr>
      <vt:lpstr>EXP9245TOT</vt:lpstr>
      <vt:lpstr>EXP930A</vt:lpstr>
      <vt:lpstr>GENPLT</vt:lpstr>
      <vt:lpstr>HYDPLT</vt:lpstr>
      <vt:lpstr>HYDSYS</vt:lpstr>
      <vt:lpstr>INTTOTCO</vt:lpstr>
      <vt:lpstr>KURETPLT</vt:lpstr>
      <vt:lpstr>KYDIST</vt:lpstr>
      <vt:lpstr>KYRATEBASE</vt:lpstr>
      <vt:lpstr>KYTRPLT</vt:lpstr>
      <vt:lpstr>LABCA</vt:lpstr>
      <vt:lpstr>LABCS</vt:lpstr>
      <vt:lpstr>LABDISMN</vt:lpstr>
      <vt:lpstr>LABDISOP</vt:lpstr>
      <vt:lpstr>LABHYDMN</vt:lpstr>
      <vt:lpstr>LABHYDOP</vt:lpstr>
      <vt:lpstr>LABOR</vt:lpstr>
      <vt:lpstr>LABOTHMN</vt:lpstr>
      <vt:lpstr>LABOTHOP</vt:lpstr>
      <vt:lpstr>LABPTDFER</vt:lpstr>
      <vt:lpstr>LABPTDKY</vt:lpstr>
      <vt:lpstr>LABPTDVAJ</vt:lpstr>
      <vt:lpstr>LABPTDVNJ</vt:lpstr>
      <vt:lpstr>LABSA</vt:lpstr>
      <vt:lpstr>LABSTMMN</vt:lpstr>
      <vt:lpstr>LABSTMOP</vt:lpstr>
      <vt:lpstr>LABTRMN</vt:lpstr>
      <vt:lpstr>LABTROP</vt:lpstr>
      <vt:lpstr>M_S</vt:lpstr>
      <vt:lpstr>NETPLANT</vt:lpstr>
      <vt:lpstr>OTHPLT</vt:lpstr>
      <vt:lpstr>OTHSYS</vt:lpstr>
      <vt:lpstr>PLANT</vt:lpstr>
      <vt:lpstr>PLANTKF</vt:lpstr>
      <vt:lpstr>PLANTKY</vt:lpstr>
      <vt:lpstr>PLANTVA</vt:lpstr>
      <vt:lpstr>PLT302TOT</vt:lpstr>
      <vt:lpstr>PLT303TOT</vt:lpstr>
      <vt:lpstr>PLT3602TOT</vt:lpstr>
      <vt:lpstr>PLT3645TOT</vt:lpstr>
      <vt:lpstr>PLT3667TOT</vt:lpstr>
      <vt:lpstr>PLT368TOT</vt:lpstr>
      <vt:lpstr>PLT370TOT</vt:lpstr>
      <vt:lpstr>PLT371TOT</vt:lpstr>
      <vt:lpstr>PLT373TOT</vt:lpstr>
      <vt:lpstr>AFUDC!Print_Area</vt:lpstr>
      <vt:lpstr>'AFUDC Depr AccDepr'!Print_Area</vt:lpstr>
      <vt:lpstr>'CWIP and AFUDC'!Print_Area</vt:lpstr>
      <vt:lpstr>'M&amp;S'!Print_Area</vt:lpstr>
      <vt:lpstr>'Mar 2012'!Print_Area</vt:lpstr>
      <vt:lpstr>'Print Layout'!Print_Area</vt:lpstr>
      <vt:lpstr>'RWIP Allocation'!Print_Area</vt:lpstr>
      <vt:lpstr>TOTALCO!Print_Area</vt:lpstr>
      <vt:lpstr>TOTALCO!Print_Area_MI</vt:lpstr>
      <vt:lpstr>'O&amp;M'!Print_Titles</vt:lpstr>
      <vt:lpstr>PIS!Print_Titles</vt:lpstr>
      <vt:lpstr>'Print Layout'!Print_Titles</vt:lpstr>
      <vt:lpstr>TOTALCO!Print_Titles</vt:lpstr>
      <vt:lpstr>TOTALCO!Print_Titles_MI</vt:lpstr>
      <vt:lpstr>PRODPLT</vt:lpstr>
      <vt:lpstr>PRODSYS</vt:lpstr>
      <vt:lpstr>PTDCUSTLABOR</vt:lpstr>
      <vt:lpstr>PTDGPLT</vt:lpstr>
      <vt:lpstr>RATEBASE</vt:lpstr>
      <vt:lpstr>REVENUE</vt:lpstr>
      <vt:lpstr>REVENUEX</vt:lpstr>
      <vt:lpstr>REVFERC</vt:lpstr>
      <vt:lpstr>REVKY</vt:lpstr>
      <vt:lpstr>REVNJVA</vt:lpstr>
      <vt:lpstr>REVVA</vt:lpstr>
      <vt:lpstr>SEREV</vt:lpstr>
      <vt:lpstr>STMPLT</vt:lpstr>
      <vt:lpstr>STMSYS</vt:lpstr>
      <vt:lpstr>TNDIST</vt:lpstr>
      <vt:lpstr>TOT203E</vt:lpstr>
      <vt:lpstr>TRANPLT</vt:lpstr>
      <vt:lpstr>TRANPLTX</vt:lpstr>
      <vt:lpstr>TRDSPLT</vt:lpstr>
      <vt:lpstr>TRPLTVA</vt:lpstr>
      <vt:lpstr>VADIST</vt:lpstr>
      <vt:lpstr>VATRPLT</vt:lpstr>
      <vt:lpstr>VATRPLTN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2012-08-06T21:20:43Z</dcterms:created>
  <dcterms:modified xsi:type="dcterms:W3CDTF">2012-08-06T21:22:59Z</dcterms:modified>
</cp:coreProperties>
</file>