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-15" yWindow="7335" windowWidth="15330" windowHeight="1170" tabRatio="782" activeTab="6"/>
  </bookViews>
  <sheets>
    <sheet name="KUQ38" sheetId="4" r:id="rId1"/>
    <sheet name="TY 2009" sheetId="104" state="hidden" r:id="rId2"/>
    <sheet name="TY 2012" sheetId="122" r:id="rId3"/>
    <sheet name="2011" sheetId="121" r:id="rId4"/>
    <sheet name="2010" sheetId="120" r:id="rId5"/>
    <sheet name="2009" sheetId="119" r:id="rId6"/>
    <sheet name="2008" sheetId="103" r:id="rId7"/>
    <sheet name="2007" sheetId="6" r:id="rId8"/>
    <sheet name="2006" sheetId="7" state="hidden" r:id="rId9"/>
    <sheet name="2005" sheetId="8" state="hidden" r:id="rId10"/>
    <sheet name="2004" sheetId="9" state="hidden" r:id="rId11"/>
    <sheet name="Ex 3 - TY 2012" sheetId="115" r:id="rId12"/>
    <sheet name="Ex 3 - TY 2009" sheetId="65" state="hidden" r:id="rId13"/>
    <sheet name="Ex 3 - 2011" sheetId="118" r:id="rId14"/>
    <sheet name="Ex 3 - 2010" sheetId="117" r:id="rId15"/>
    <sheet name="Ex 3 - 2009" sheetId="116" r:id="rId16"/>
    <sheet name="Ex 3 - 2008" sheetId="64" r:id="rId17"/>
    <sheet name="Ex 3 - 2007" sheetId="52" r:id="rId18"/>
    <sheet name="Ex 3 - 2006" sheetId="54" state="hidden" r:id="rId19"/>
    <sheet name="Ex 3 - 2005" sheetId="56" state="hidden" r:id="rId20"/>
    <sheet name="Ex 3 - 2004" sheetId="58" state="hidden" r:id="rId21"/>
    <sheet name="M&amp;S-Oct09" sheetId="105" state="hidden" r:id="rId22"/>
    <sheet name="M&amp;S-Dec08" sheetId="96" state="hidden" r:id="rId23"/>
    <sheet name="M&amp;S-Dec07" sheetId="92" state="hidden" r:id="rId24"/>
    <sheet name="M&amp;S-Dec06" sheetId="93" state="hidden" r:id="rId25"/>
    <sheet name="M&amp;S-Dec05" sheetId="94" state="hidden" r:id="rId26"/>
    <sheet name="M&amp;S-Dec04" sheetId="95" state="hidden" r:id="rId27"/>
    <sheet name="2012 TY IS" sheetId="113" state="hidden" r:id="rId28"/>
    <sheet name="2012 TY BS" sheetId="114" state="hidden" r:id="rId29"/>
    <sheet name="2011 IS" sheetId="111" state="hidden" r:id="rId30"/>
    <sheet name="2011 BS" sheetId="112" state="hidden" r:id="rId31"/>
    <sheet name="2010 IS" sheetId="108" state="hidden" r:id="rId32"/>
    <sheet name="2010 BS" sheetId="110" state="hidden" r:id="rId33"/>
    <sheet name="2009 IS" sheetId="106" state="hidden" r:id="rId34"/>
    <sheet name="2009 BS" sheetId="107" state="hidden" r:id="rId35"/>
    <sheet name="2008 IS" sheetId="98" state="hidden" r:id="rId36"/>
    <sheet name="2008 BS" sheetId="97" state="hidden" r:id="rId37"/>
    <sheet name="2007 IS" sheetId="68" state="hidden" r:id="rId38"/>
    <sheet name="2007 BS" sheetId="69" state="hidden" r:id="rId39"/>
    <sheet name="2006 IS" sheetId="70" state="hidden" r:id="rId40"/>
    <sheet name="2006 BS" sheetId="71" state="hidden" r:id="rId41"/>
    <sheet name="2005 IS" sheetId="72" state="hidden" r:id="rId42"/>
    <sheet name="2005 BS" sheetId="73" state="hidden" r:id="rId43"/>
    <sheet name="2004 IS" sheetId="74" state="hidden" r:id="rId44"/>
    <sheet name="2004 BS" sheetId="75" state="hidden" r:id="rId45"/>
    <sheet name="2008 ECC" sheetId="78" state="hidden" r:id="rId46"/>
    <sheet name="2007 ECC" sheetId="79" state="hidden" r:id="rId47"/>
    <sheet name="2006 ECC" sheetId="80" state="hidden" r:id="rId48"/>
    <sheet name="2005 ECC" sheetId="81" state="hidden" r:id="rId49"/>
    <sheet name="2004 ECC" sheetId="82" state="hidden" r:id="rId50"/>
    <sheet name="Discoverer Export 05-07" sheetId="84" state="hidden" r:id="rId51"/>
    <sheet name="Discoverer Export 08" sheetId="85" state="hidden" r:id="rId52"/>
    <sheet name="2007 Elec" sheetId="90" state="hidden" r:id="rId53"/>
    <sheet name="2006 Elec" sheetId="89" state="hidden" r:id="rId54"/>
    <sheet name="2005 Elec" sheetId="88" state="hidden" r:id="rId55"/>
    <sheet name="2004 Elec" sheetId="87" state="hidden" r:id="rId56"/>
  </sheets>
  <externalReferences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\" localSheetId="5">[1]EGSplit!#REF!</definedName>
    <definedName name="\" localSheetId="34">[1]EGSplit!#REF!</definedName>
    <definedName name="\" localSheetId="33">[1]EGSplit!#REF!</definedName>
    <definedName name="\" localSheetId="4">[1]EGSplit!#REF!</definedName>
    <definedName name="\" localSheetId="32">[1]EGSplit!#REF!</definedName>
    <definedName name="\" localSheetId="31">[1]EGSplit!#REF!</definedName>
    <definedName name="\" localSheetId="3">[1]EGSplit!#REF!</definedName>
    <definedName name="\" localSheetId="30">[1]EGSplit!#REF!</definedName>
    <definedName name="\" localSheetId="29">[1]EGSplit!#REF!</definedName>
    <definedName name="\" localSheetId="28">[1]EGSplit!#REF!</definedName>
    <definedName name="\" localSheetId="27">[1]EGSplit!#REF!</definedName>
    <definedName name="\" localSheetId="15">[1]EGSplit!#REF!</definedName>
    <definedName name="\" localSheetId="14">[1]EGSplit!#REF!</definedName>
    <definedName name="\" localSheetId="13">[1]EGSplit!#REF!</definedName>
    <definedName name="\" localSheetId="2">[1]EGSplit!#REF!</definedName>
    <definedName name="\">[1]EGSplit!#REF!</definedName>
    <definedName name="\\" hidden="1">#REF!</definedName>
    <definedName name="\\\" hidden="1">#REF!</definedName>
    <definedName name="\\\\" localSheetId="5" hidden="1">#REF!</definedName>
    <definedName name="\\\\" localSheetId="34" hidden="1">#REF!</definedName>
    <definedName name="\\\\" localSheetId="33" hidden="1">#REF!</definedName>
    <definedName name="\\\\" localSheetId="4" hidden="1">#REF!</definedName>
    <definedName name="\\\\" localSheetId="32" hidden="1">#REF!</definedName>
    <definedName name="\\\\" localSheetId="31" hidden="1">#REF!</definedName>
    <definedName name="\\\\" localSheetId="3" hidden="1">#REF!</definedName>
    <definedName name="\\\\" localSheetId="30" hidden="1">#REF!</definedName>
    <definedName name="\\\\" localSheetId="29" hidden="1">#REF!</definedName>
    <definedName name="\\\\" localSheetId="28" hidden="1">#REF!</definedName>
    <definedName name="\\\\" localSheetId="27" hidden="1">#REF!</definedName>
    <definedName name="\\\\" localSheetId="15" hidden="1">#REF!</definedName>
    <definedName name="\\\\" localSheetId="14" hidden="1">#REF!</definedName>
    <definedName name="\\\\" localSheetId="13" hidden="1">#REF!</definedName>
    <definedName name="\\\\" localSheetId="2" hidden="1">#REF!</definedName>
    <definedName name="\\\\" hidden="1">#REF!</definedName>
    <definedName name="\0">#REF!</definedName>
    <definedName name="\A">#REF!</definedName>
    <definedName name="\C" localSheetId="44">#REF!</definedName>
    <definedName name="\C" localSheetId="55">#REF!</definedName>
    <definedName name="\C" localSheetId="43">#REF!</definedName>
    <definedName name="\C" localSheetId="42">#REF!</definedName>
    <definedName name="\C" localSheetId="54">#REF!</definedName>
    <definedName name="\C" localSheetId="41">#REF!</definedName>
    <definedName name="\C" localSheetId="40">#REF!</definedName>
    <definedName name="\C" localSheetId="53">#REF!</definedName>
    <definedName name="\C" localSheetId="39">#REF!</definedName>
    <definedName name="\C" localSheetId="38">#REF!</definedName>
    <definedName name="\C" localSheetId="52">#REF!</definedName>
    <definedName name="\C" localSheetId="37">#REF!</definedName>
    <definedName name="\C" localSheetId="36">#REF!</definedName>
    <definedName name="\C" localSheetId="35">#REF!</definedName>
    <definedName name="\C" localSheetId="34">#REF!</definedName>
    <definedName name="\C" localSheetId="33">#REF!</definedName>
    <definedName name="\C" localSheetId="32">#REF!</definedName>
    <definedName name="\C" localSheetId="31">#REF!</definedName>
    <definedName name="\C" localSheetId="30">#REF!</definedName>
    <definedName name="\C" localSheetId="29">#REF!</definedName>
    <definedName name="\C" localSheetId="28">#REF!</definedName>
    <definedName name="\C" localSheetId="27">#REF!</definedName>
    <definedName name="\C">#REF!</definedName>
    <definedName name="\D">#REF!</definedName>
    <definedName name="\E" localSheetId="44">#REF!</definedName>
    <definedName name="\E" localSheetId="55">#REF!</definedName>
    <definedName name="\E" localSheetId="43">#REF!</definedName>
    <definedName name="\E" localSheetId="42">#REF!</definedName>
    <definedName name="\E" localSheetId="54">#REF!</definedName>
    <definedName name="\E" localSheetId="41">#REF!</definedName>
    <definedName name="\E" localSheetId="40">#REF!</definedName>
    <definedName name="\E" localSheetId="53">#REF!</definedName>
    <definedName name="\E" localSheetId="39">#REF!</definedName>
    <definedName name="\E" localSheetId="38">#REF!</definedName>
    <definedName name="\E" localSheetId="52">#REF!</definedName>
    <definedName name="\E" localSheetId="37">#REF!</definedName>
    <definedName name="\E" localSheetId="36">#REF!</definedName>
    <definedName name="\E" localSheetId="35">#REF!</definedName>
    <definedName name="\E" localSheetId="34">#REF!</definedName>
    <definedName name="\E" localSheetId="33">#REF!</definedName>
    <definedName name="\E" localSheetId="32">#REF!</definedName>
    <definedName name="\E" localSheetId="31">#REF!</definedName>
    <definedName name="\E" localSheetId="30">#REF!</definedName>
    <definedName name="\E" localSheetId="29">#REF!</definedName>
    <definedName name="\E" localSheetId="28">#REF!</definedName>
    <definedName name="\E" localSheetId="27">#REF!</definedName>
    <definedName name="\E">#REF!</definedName>
    <definedName name="\M">#REF!</definedName>
    <definedName name="\P" localSheetId="44">#REF!</definedName>
    <definedName name="\P" localSheetId="55">#REF!</definedName>
    <definedName name="\P" localSheetId="43">#REF!</definedName>
    <definedName name="\P" localSheetId="42">#REF!</definedName>
    <definedName name="\P" localSheetId="54">#REF!</definedName>
    <definedName name="\P" localSheetId="41">#REF!</definedName>
    <definedName name="\P" localSheetId="40">#REF!</definedName>
    <definedName name="\P" localSheetId="53">#REF!</definedName>
    <definedName name="\P" localSheetId="39">#REF!</definedName>
    <definedName name="\P" localSheetId="38">#REF!</definedName>
    <definedName name="\P" localSheetId="52">#REF!</definedName>
    <definedName name="\P" localSheetId="37">#REF!</definedName>
    <definedName name="\P" localSheetId="36">#REF!</definedName>
    <definedName name="\P" localSheetId="35">#REF!</definedName>
    <definedName name="\P" localSheetId="5">[2]EGSplit!#REF!</definedName>
    <definedName name="\P" localSheetId="34">#REF!</definedName>
    <definedName name="\P" localSheetId="33">#REF!</definedName>
    <definedName name="\P" localSheetId="4">[2]EGSplit!#REF!</definedName>
    <definedName name="\P" localSheetId="32">#REF!</definedName>
    <definedName name="\P" localSheetId="31">#REF!</definedName>
    <definedName name="\P" localSheetId="3">[2]EGSplit!#REF!</definedName>
    <definedName name="\P" localSheetId="30">#REF!</definedName>
    <definedName name="\P" localSheetId="29">#REF!</definedName>
    <definedName name="\P" localSheetId="28">#REF!</definedName>
    <definedName name="\P" localSheetId="27">#REF!</definedName>
    <definedName name="\P" localSheetId="15">[2]EGSplit!#REF!</definedName>
    <definedName name="\P" localSheetId="14">[2]EGSplit!#REF!</definedName>
    <definedName name="\P" localSheetId="13">[2]EGSplit!#REF!</definedName>
    <definedName name="\P" localSheetId="2">[2]EGSplit!#REF!</definedName>
    <definedName name="\P">[2]EGSplit!#REF!</definedName>
    <definedName name="\R" localSheetId="44">#REF!</definedName>
    <definedName name="\R" localSheetId="55">#REF!</definedName>
    <definedName name="\R" localSheetId="43">#REF!</definedName>
    <definedName name="\R" localSheetId="42">#REF!</definedName>
    <definedName name="\R" localSheetId="54">#REF!</definedName>
    <definedName name="\R" localSheetId="41">#REF!</definedName>
    <definedName name="\R" localSheetId="40">#REF!</definedName>
    <definedName name="\R" localSheetId="53">#REF!</definedName>
    <definedName name="\R" localSheetId="39">#REF!</definedName>
    <definedName name="\R" localSheetId="38">#REF!</definedName>
    <definedName name="\R" localSheetId="52">#REF!</definedName>
    <definedName name="\R" localSheetId="37">#REF!</definedName>
    <definedName name="\R" localSheetId="36">#REF!</definedName>
    <definedName name="\R" localSheetId="35">#REF!</definedName>
    <definedName name="\R" localSheetId="5">#REF!</definedName>
    <definedName name="\R" localSheetId="34">#REF!</definedName>
    <definedName name="\R" localSheetId="33">#REF!</definedName>
    <definedName name="\R" localSheetId="4">#REF!</definedName>
    <definedName name="\R" localSheetId="32">#REF!</definedName>
    <definedName name="\R" localSheetId="31">#REF!</definedName>
    <definedName name="\R" localSheetId="3">#REF!</definedName>
    <definedName name="\R" localSheetId="30">#REF!</definedName>
    <definedName name="\R" localSheetId="29">#REF!</definedName>
    <definedName name="\R" localSheetId="28">#REF!</definedName>
    <definedName name="\R" localSheetId="27">#REF!</definedName>
    <definedName name="\R" localSheetId="15">#REF!</definedName>
    <definedName name="\R" localSheetId="14">#REF!</definedName>
    <definedName name="\R" localSheetId="13">#REF!</definedName>
    <definedName name="\R" localSheetId="2">#REF!</definedName>
    <definedName name="\R">#REF!</definedName>
    <definedName name="\S" localSheetId="44">#REF!</definedName>
    <definedName name="\S" localSheetId="55">#REF!</definedName>
    <definedName name="\S" localSheetId="43">#REF!</definedName>
    <definedName name="\S" localSheetId="42">#REF!</definedName>
    <definedName name="\S" localSheetId="54">#REF!</definedName>
    <definedName name="\S" localSheetId="41">#REF!</definedName>
    <definedName name="\S" localSheetId="40">#REF!</definedName>
    <definedName name="\S" localSheetId="53">#REF!</definedName>
    <definedName name="\S" localSheetId="39">#REF!</definedName>
    <definedName name="\S" localSheetId="38">#REF!</definedName>
    <definedName name="\S" localSheetId="52">#REF!</definedName>
    <definedName name="\S" localSheetId="37">#REF!</definedName>
    <definedName name="\S" localSheetId="36">#REF!</definedName>
    <definedName name="\S" localSheetId="35">#REF!</definedName>
    <definedName name="\S" localSheetId="5">[3]dbase!#REF!</definedName>
    <definedName name="\S" localSheetId="34">#REF!</definedName>
    <definedName name="\S" localSheetId="33">#REF!</definedName>
    <definedName name="\S" localSheetId="4">[3]dbase!#REF!</definedName>
    <definedName name="\S" localSheetId="32">#REF!</definedName>
    <definedName name="\S" localSheetId="31">#REF!</definedName>
    <definedName name="\S" localSheetId="3">[3]dbase!#REF!</definedName>
    <definedName name="\S" localSheetId="30">#REF!</definedName>
    <definedName name="\S" localSheetId="29">#REF!</definedName>
    <definedName name="\S" localSheetId="28">#REF!</definedName>
    <definedName name="\S" localSheetId="27">#REF!</definedName>
    <definedName name="\S" localSheetId="15">[3]dbase!#REF!</definedName>
    <definedName name="\S" localSheetId="14">[3]dbase!#REF!</definedName>
    <definedName name="\S" localSheetId="13">[3]dbase!#REF!</definedName>
    <definedName name="\S" localSheetId="2">[3]dbase!#REF!</definedName>
    <definedName name="\S">[3]dbase!#REF!</definedName>
    <definedName name="\T">#REF!</definedName>
    <definedName name="\Y" localSheetId="5">[4]d20!#REF!</definedName>
    <definedName name="\Y" localSheetId="34">[4]d20!#REF!</definedName>
    <definedName name="\Y" localSheetId="33">[4]d20!#REF!</definedName>
    <definedName name="\Y" localSheetId="4">[4]d20!#REF!</definedName>
    <definedName name="\Y" localSheetId="32">[4]d20!#REF!</definedName>
    <definedName name="\Y" localSheetId="31">[4]d20!#REF!</definedName>
    <definedName name="\Y" localSheetId="3">[4]d20!#REF!</definedName>
    <definedName name="\Y" localSheetId="30">[4]d20!#REF!</definedName>
    <definedName name="\Y" localSheetId="29">[4]d20!#REF!</definedName>
    <definedName name="\Y" localSheetId="28">[4]d20!#REF!</definedName>
    <definedName name="\Y" localSheetId="27">[4]d20!#REF!</definedName>
    <definedName name="\Y" localSheetId="15">[4]d20!#REF!</definedName>
    <definedName name="\Y" localSheetId="14">[4]d20!#REF!</definedName>
    <definedName name="\Y" localSheetId="13">[4]d20!#REF!</definedName>
    <definedName name="\Y" localSheetId="2">[4]d20!#REF!</definedName>
    <definedName name="\Y">[4]d20!#REF!</definedName>
    <definedName name="__123Graph_A" localSheetId="44" hidden="1">#REF!</definedName>
    <definedName name="__123Graph_A" localSheetId="55" hidden="1">#REF!</definedName>
    <definedName name="__123Graph_A" localSheetId="43" hidden="1">#REF!</definedName>
    <definedName name="__123Graph_A" localSheetId="42" hidden="1">#REF!</definedName>
    <definedName name="__123Graph_A" localSheetId="54" hidden="1">#REF!</definedName>
    <definedName name="__123Graph_A" localSheetId="41" hidden="1">#REF!</definedName>
    <definedName name="__123Graph_A" localSheetId="40" hidden="1">#REF!</definedName>
    <definedName name="__123Graph_A" localSheetId="53" hidden="1">#REF!</definedName>
    <definedName name="__123Graph_A" localSheetId="39" hidden="1">#REF!</definedName>
    <definedName name="__123Graph_A" localSheetId="38" hidden="1">#REF!</definedName>
    <definedName name="__123Graph_A" localSheetId="52" hidden="1">#REF!</definedName>
    <definedName name="__123Graph_A" localSheetId="37" hidden="1">#REF!</definedName>
    <definedName name="__123Graph_A" localSheetId="36" hidden="1">#REF!</definedName>
    <definedName name="__123Graph_A" localSheetId="35" hidden="1">#REF!</definedName>
    <definedName name="__123Graph_A" localSheetId="34" hidden="1">#REF!</definedName>
    <definedName name="__123Graph_A" localSheetId="33" hidden="1">#REF!</definedName>
    <definedName name="__123Graph_A" localSheetId="32" hidden="1">#REF!</definedName>
    <definedName name="__123Graph_A" localSheetId="31" hidden="1">#REF!</definedName>
    <definedName name="__123Graph_A" localSheetId="30" hidden="1">#REF!</definedName>
    <definedName name="__123Graph_A" localSheetId="29" hidden="1">#REF!</definedName>
    <definedName name="__123Graph_A" localSheetId="28" hidden="1">#REF!</definedName>
    <definedName name="__123Graph_A" localSheetId="27" hidden="1">#REF!</definedName>
    <definedName name="__123Graph_A" hidden="1">#REF!</definedName>
    <definedName name="__123Graph_B" localSheetId="44" hidden="1">#REF!</definedName>
    <definedName name="__123Graph_B" localSheetId="55" hidden="1">#REF!</definedName>
    <definedName name="__123Graph_B" localSheetId="43" hidden="1">#REF!</definedName>
    <definedName name="__123Graph_B" localSheetId="42" hidden="1">#REF!</definedName>
    <definedName name="__123Graph_B" localSheetId="54" hidden="1">#REF!</definedName>
    <definedName name="__123Graph_B" localSheetId="41" hidden="1">#REF!</definedName>
    <definedName name="__123Graph_B" localSheetId="40" hidden="1">#REF!</definedName>
    <definedName name="__123Graph_B" localSheetId="53" hidden="1">#REF!</definedName>
    <definedName name="__123Graph_B" localSheetId="39" hidden="1">#REF!</definedName>
    <definedName name="__123Graph_B" localSheetId="38" hidden="1">#REF!</definedName>
    <definedName name="__123Graph_B" localSheetId="52" hidden="1">#REF!</definedName>
    <definedName name="__123Graph_B" localSheetId="37" hidden="1">#REF!</definedName>
    <definedName name="__123Graph_B" localSheetId="36" hidden="1">#REF!</definedName>
    <definedName name="__123Graph_B" localSheetId="35" hidden="1">#REF!</definedName>
    <definedName name="__123Graph_B" localSheetId="34" hidden="1">#REF!</definedName>
    <definedName name="__123Graph_B" localSheetId="33" hidden="1">#REF!</definedName>
    <definedName name="__123Graph_B" localSheetId="32" hidden="1">#REF!</definedName>
    <definedName name="__123Graph_B" localSheetId="31" hidden="1">#REF!</definedName>
    <definedName name="__123Graph_B" localSheetId="30" hidden="1">#REF!</definedName>
    <definedName name="__123Graph_B" localSheetId="29" hidden="1">#REF!</definedName>
    <definedName name="__123Graph_B" localSheetId="28" hidden="1">#REF!</definedName>
    <definedName name="__123Graph_B" localSheetId="27" hidden="1">#REF!</definedName>
    <definedName name="__123Graph_B" hidden="1">#REF!</definedName>
    <definedName name="__123Graph_C" localSheetId="44" hidden="1">#REF!</definedName>
    <definedName name="__123Graph_C" localSheetId="55" hidden="1">#REF!</definedName>
    <definedName name="__123Graph_C" localSheetId="43" hidden="1">#REF!</definedName>
    <definedName name="__123Graph_C" localSheetId="42" hidden="1">#REF!</definedName>
    <definedName name="__123Graph_C" localSheetId="54" hidden="1">#REF!</definedName>
    <definedName name="__123Graph_C" localSheetId="41" hidden="1">#REF!</definedName>
    <definedName name="__123Graph_C" localSheetId="40" hidden="1">#REF!</definedName>
    <definedName name="__123Graph_C" localSheetId="53" hidden="1">#REF!</definedName>
    <definedName name="__123Graph_C" localSheetId="39" hidden="1">#REF!</definedName>
    <definedName name="__123Graph_C" localSheetId="38" hidden="1">#REF!</definedName>
    <definedName name="__123Graph_C" localSheetId="52" hidden="1">#REF!</definedName>
    <definedName name="__123Graph_C" localSheetId="37" hidden="1">#REF!</definedName>
    <definedName name="__123Graph_C" localSheetId="36" hidden="1">#REF!</definedName>
    <definedName name="__123Graph_C" localSheetId="35" hidden="1">#REF!</definedName>
    <definedName name="__123Graph_C" localSheetId="5" hidden="1">#REF!</definedName>
    <definedName name="__123Graph_C" localSheetId="34" hidden="1">#REF!</definedName>
    <definedName name="__123Graph_C" localSheetId="33" hidden="1">#REF!</definedName>
    <definedName name="__123Graph_C" localSheetId="4" hidden="1">#REF!</definedName>
    <definedName name="__123Graph_C" localSheetId="32" hidden="1">#REF!</definedName>
    <definedName name="__123Graph_C" localSheetId="31" hidden="1">#REF!</definedName>
    <definedName name="__123Graph_C" localSheetId="3" hidden="1">#REF!</definedName>
    <definedName name="__123Graph_C" localSheetId="30" hidden="1">#REF!</definedName>
    <definedName name="__123Graph_C" localSheetId="29" hidden="1">#REF!</definedName>
    <definedName name="__123Graph_C" localSheetId="28" hidden="1">#REF!</definedName>
    <definedName name="__123Graph_C" localSheetId="27" hidden="1">#REF!</definedName>
    <definedName name="__123Graph_C" localSheetId="15" hidden="1">#REF!</definedName>
    <definedName name="__123Graph_C" localSheetId="14" hidden="1">#REF!</definedName>
    <definedName name="__123Graph_C" localSheetId="13" hidden="1">#REF!</definedName>
    <definedName name="__123Graph_C" localSheetId="2" hidden="1">#REF!</definedName>
    <definedName name="__123Graph_C" hidden="1">#REF!</definedName>
    <definedName name="__123Graph_D" localSheetId="44" hidden="1">#REF!</definedName>
    <definedName name="__123Graph_D" localSheetId="55" hidden="1">#REF!</definedName>
    <definedName name="__123Graph_D" localSheetId="43" hidden="1">#REF!</definedName>
    <definedName name="__123Graph_D" localSheetId="42" hidden="1">#REF!</definedName>
    <definedName name="__123Graph_D" localSheetId="54" hidden="1">#REF!</definedName>
    <definedName name="__123Graph_D" localSheetId="41" hidden="1">#REF!</definedName>
    <definedName name="__123Graph_D" localSheetId="40" hidden="1">#REF!</definedName>
    <definedName name="__123Graph_D" localSheetId="53" hidden="1">#REF!</definedName>
    <definedName name="__123Graph_D" localSheetId="39" hidden="1">#REF!</definedName>
    <definedName name="__123Graph_D" localSheetId="38" hidden="1">#REF!</definedName>
    <definedName name="__123Graph_D" localSheetId="52" hidden="1">#REF!</definedName>
    <definedName name="__123Graph_D" localSheetId="37" hidden="1">#REF!</definedName>
    <definedName name="__123Graph_D" localSheetId="36" hidden="1">#REF!</definedName>
    <definedName name="__123Graph_D" localSheetId="35" hidden="1">#REF!</definedName>
    <definedName name="__123Graph_D" localSheetId="34" hidden="1">#REF!</definedName>
    <definedName name="__123Graph_D" localSheetId="33" hidden="1">#REF!</definedName>
    <definedName name="__123Graph_D" localSheetId="32" hidden="1">#REF!</definedName>
    <definedName name="__123Graph_D" localSheetId="31" hidden="1">#REF!</definedName>
    <definedName name="__123Graph_D" localSheetId="30" hidden="1">#REF!</definedName>
    <definedName name="__123Graph_D" localSheetId="29" hidden="1">#REF!</definedName>
    <definedName name="__123Graph_D" localSheetId="28" hidden="1">#REF!</definedName>
    <definedName name="__123Graph_D" localSheetId="27" hidden="1">#REF!</definedName>
    <definedName name="__123Graph_D" hidden="1">#REF!</definedName>
    <definedName name="__123Graph_E" localSheetId="44" hidden="1">#REF!</definedName>
    <definedName name="__123Graph_E" localSheetId="55" hidden="1">#REF!</definedName>
    <definedName name="__123Graph_E" localSheetId="43" hidden="1">#REF!</definedName>
    <definedName name="__123Graph_E" localSheetId="42" hidden="1">#REF!</definedName>
    <definedName name="__123Graph_E" localSheetId="54" hidden="1">#REF!</definedName>
    <definedName name="__123Graph_E" localSheetId="41" hidden="1">#REF!</definedName>
    <definedName name="__123Graph_E" localSheetId="40" hidden="1">#REF!</definedName>
    <definedName name="__123Graph_E" localSheetId="53" hidden="1">#REF!</definedName>
    <definedName name="__123Graph_E" localSheetId="39" hidden="1">#REF!</definedName>
    <definedName name="__123Graph_E" localSheetId="38" hidden="1">#REF!</definedName>
    <definedName name="__123Graph_E" localSheetId="52" hidden="1">#REF!</definedName>
    <definedName name="__123Graph_E" localSheetId="37" hidden="1">#REF!</definedName>
    <definedName name="__123Graph_E" localSheetId="36" hidden="1">#REF!</definedName>
    <definedName name="__123Graph_E" localSheetId="35" hidden="1">#REF!</definedName>
    <definedName name="__123Graph_E" localSheetId="5" hidden="1">#REF!</definedName>
    <definedName name="__123Graph_E" localSheetId="34" hidden="1">#REF!</definedName>
    <definedName name="__123Graph_E" localSheetId="33" hidden="1">#REF!</definedName>
    <definedName name="__123Graph_E" localSheetId="4" hidden="1">#REF!</definedName>
    <definedName name="__123Graph_E" localSheetId="32" hidden="1">#REF!</definedName>
    <definedName name="__123Graph_E" localSheetId="31" hidden="1">#REF!</definedName>
    <definedName name="__123Graph_E" localSheetId="3" hidden="1">#REF!</definedName>
    <definedName name="__123Graph_E" localSheetId="30" hidden="1">#REF!</definedName>
    <definedName name="__123Graph_E" localSheetId="29" hidden="1">#REF!</definedName>
    <definedName name="__123Graph_E" localSheetId="28" hidden="1">#REF!</definedName>
    <definedName name="__123Graph_E" localSheetId="27" hidden="1">#REF!</definedName>
    <definedName name="__123Graph_E" localSheetId="15" hidden="1">#REF!</definedName>
    <definedName name="__123Graph_E" localSheetId="14" hidden="1">#REF!</definedName>
    <definedName name="__123Graph_E" localSheetId="13" hidden="1">#REF!</definedName>
    <definedName name="__123Graph_E" localSheetId="2" hidden="1">#REF!</definedName>
    <definedName name="__123Graph_E" hidden="1">#REF!</definedName>
    <definedName name="__123Graph_F" localSheetId="44" hidden="1">#REF!</definedName>
    <definedName name="__123Graph_F" localSheetId="55" hidden="1">#REF!</definedName>
    <definedName name="__123Graph_F" localSheetId="43" hidden="1">#REF!</definedName>
    <definedName name="__123Graph_F" localSheetId="42" hidden="1">#REF!</definedName>
    <definedName name="__123Graph_F" localSheetId="54" hidden="1">#REF!</definedName>
    <definedName name="__123Graph_F" localSheetId="41" hidden="1">#REF!</definedName>
    <definedName name="__123Graph_F" localSheetId="40" hidden="1">#REF!</definedName>
    <definedName name="__123Graph_F" localSheetId="53" hidden="1">#REF!</definedName>
    <definedName name="__123Graph_F" localSheetId="39" hidden="1">#REF!</definedName>
    <definedName name="__123Graph_F" localSheetId="38" hidden="1">#REF!</definedName>
    <definedName name="__123Graph_F" localSheetId="52" hidden="1">#REF!</definedName>
    <definedName name="__123Graph_F" localSheetId="37" hidden="1">#REF!</definedName>
    <definedName name="__123Graph_F" localSheetId="36" hidden="1">#REF!</definedName>
    <definedName name="__123Graph_F" localSheetId="35" hidden="1">#REF!</definedName>
    <definedName name="__123Graph_F" localSheetId="34" hidden="1">#REF!</definedName>
    <definedName name="__123Graph_F" localSheetId="33" hidden="1">#REF!</definedName>
    <definedName name="__123Graph_F" localSheetId="32" hidden="1">#REF!</definedName>
    <definedName name="__123Graph_F" localSheetId="31" hidden="1">#REF!</definedName>
    <definedName name="__123Graph_F" localSheetId="30" hidden="1">#REF!</definedName>
    <definedName name="__123Graph_F" localSheetId="29" hidden="1">#REF!</definedName>
    <definedName name="__123Graph_F" localSheetId="28" hidden="1">#REF!</definedName>
    <definedName name="__123Graph_F" localSheetId="27" hidden="1">#REF!</definedName>
    <definedName name="__123Graph_F" hidden="1">#REF!</definedName>
    <definedName name="__123Graph_X" localSheetId="44" hidden="1">#REF!</definedName>
    <definedName name="__123Graph_X" localSheetId="55" hidden="1">#REF!</definedName>
    <definedName name="__123Graph_X" localSheetId="43" hidden="1">#REF!</definedName>
    <definedName name="__123Graph_X" localSheetId="42" hidden="1">#REF!</definedName>
    <definedName name="__123Graph_X" localSheetId="54" hidden="1">#REF!</definedName>
    <definedName name="__123Graph_X" localSheetId="41" hidden="1">#REF!</definedName>
    <definedName name="__123Graph_X" localSheetId="40" hidden="1">#REF!</definedName>
    <definedName name="__123Graph_X" localSheetId="53" hidden="1">#REF!</definedName>
    <definedName name="__123Graph_X" localSheetId="39" hidden="1">#REF!</definedName>
    <definedName name="__123Graph_X" localSheetId="38" hidden="1">#REF!</definedName>
    <definedName name="__123Graph_X" localSheetId="52" hidden="1">#REF!</definedName>
    <definedName name="__123Graph_X" localSheetId="37" hidden="1">#REF!</definedName>
    <definedName name="__123Graph_X" localSheetId="36" hidden="1">#REF!</definedName>
    <definedName name="__123Graph_X" localSheetId="35" hidden="1">#REF!</definedName>
    <definedName name="__123Graph_X" localSheetId="34" hidden="1">#REF!</definedName>
    <definedName name="__123Graph_X" localSheetId="33" hidden="1">#REF!</definedName>
    <definedName name="__123Graph_X" localSheetId="32" hidden="1">#REF!</definedName>
    <definedName name="__123Graph_X" localSheetId="31" hidden="1">#REF!</definedName>
    <definedName name="__123Graph_X" localSheetId="30" hidden="1">#REF!</definedName>
    <definedName name="__123Graph_X" localSheetId="29" hidden="1">#REF!</definedName>
    <definedName name="__123Graph_X" localSheetId="28" hidden="1">#REF!</definedName>
    <definedName name="__123Graph_X" localSheetId="27" hidden="1">#REF!</definedName>
    <definedName name="__123Graph_X" hidden="1">#REF!</definedName>
    <definedName name="_10NON_UTILITY" localSheetId="29">#REF!</definedName>
    <definedName name="_11NON_UTILITY" localSheetId="28">#REF!</definedName>
    <definedName name="_12NON_UTILITY" localSheetId="27">#REF!</definedName>
    <definedName name="_13NON_UTILITY" localSheetId="15">#REF!</definedName>
    <definedName name="_14NON_UTILITY" localSheetId="14">#REF!</definedName>
    <definedName name="_15NON_UTILITY" localSheetId="13">#REF!</definedName>
    <definedName name="_16NON_UTILITY" localSheetId="2">#REF!</definedName>
    <definedName name="_17NON_UTILITY">#REF!</definedName>
    <definedName name="_1GAS_FINANCING">#REF!</definedName>
    <definedName name="_2NON_UTILITY" localSheetId="5">#REF!</definedName>
    <definedName name="_3NON_UTILITY" localSheetId="34">#REF!</definedName>
    <definedName name="_4NON_UTILITY" localSheetId="33">#REF!</definedName>
    <definedName name="_5NON_UTILITY" localSheetId="4">#REF!</definedName>
    <definedName name="_6NON_UTILITY" localSheetId="32">#REF!</definedName>
    <definedName name="_7NON_UTILITY" localSheetId="31">#REF!</definedName>
    <definedName name="_8NON_UTILITY" localSheetId="3">#REF!</definedName>
    <definedName name="_9NON_UTILITY" localSheetId="30">#REF!</definedName>
    <definedName name="_may1">#REF!</definedName>
    <definedName name="_Order1" hidden="1">0</definedName>
    <definedName name="_Order2" hidden="1">0</definedName>
    <definedName name="_P" localSheetId="44">#REF!</definedName>
    <definedName name="_P" localSheetId="55">#REF!</definedName>
    <definedName name="_P" localSheetId="43">#REF!</definedName>
    <definedName name="_P" localSheetId="42">#REF!</definedName>
    <definedName name="_P" localSheetId="54">#REF!</definedName>
    <definedName name="_P" localSheetId="41">#REF!</definedName>
    <definedName name="_P" localSheetId="40">#REF!</definedName>
    <definedName name="_P" localSheetId="53">#REF!</definedName>
    <definedName name="_P" localSheetId="39">#REF!</definedName>
    <definedName name="_P" localSheetId="38">#REF!</definedName>
    <definedName name="_P" localSheetId="52">#REF!</definedName>
    <definedName name="_P" localSheetId="37">#REF!</definedName>
    <definedName name="_P" localSheetId="36">#REF!</definedName>
    <definedName name="_P" localSheetId="35">#REF!</definedName>
    <definedName name="_P" localSheetId="5">#REF!</definedName>
    <definedName name="_P" localSheetId="34">#REF!</definedName>
    <definedName name="_P" localSheetId="33">#REF!</definedName>
    <definedName name="_P" localSheetId="4">#REF!</definedName>
    <definedName name="_P" localSheetId="32">#REF!</definedName>
    <definedName name="_P" localSheetId="31">#REF!</definedName>
    <definedName name="_P" localSheetId="3">#REF!</definedName>
    <definedName name="_P" localSheetId="30">#REF!</definedName>
    <definedName name="_P" localSheetId="29">#REF!</definedName>
    <definedName name="_P" localSheetId="28">#REF!</definedName>
    <definedName name="_P" localSheetId="27">#REF!</definedName>
    <definedName name="_P" localSheetId="15">#REF!</definedName>
    <definedName name="_P" localSheetId="14">#REF!</definedName>
    <definedName name="_P" localSheetId="13">#REF!</definedName>
    <definedName name="_P" localSheetId="2">#REF!</definedName>
    <definedName name="_P">#REF!</definedName>
    <definedName name="_PG1">#REF!</definedName>
    <definedName name="_PG2">#REF!</definedName>
    <definedName name="A" localSheetId="5">#REF!</definedName>
    <definedName name="A" localSheetId="34">#REF!</definedName>
    <definedName name="A" localSheetId="33">#REF!</definedName>
    <definedName name="A" localSheetId="4">#REF!</definedName>
    <definedName name="A" localSheetId="32">#REF!</definedName>
    <definedName name="A" localSheetId="31">#REF!</definedName>
    <definedName name="A" localSheetId="3">#REF!</definedName>
    <definedName name="A" localSheetId="30">#REF!</definedName>
    <definedName name="A" localSheetId="29">#REF!</definedName>
    <definedName name="A" localSheetId="28">#REF!</definedName>
    <definedName name="A" localSheetId="27">#REF!</definedName>
    <definedName name="A" localSheetId="15">#REF!</definedName>
    <definedName name="A" localSheetId="14">#REF!</definedName>
    <definedName name="A" localSheetId="13">#REF!</definedName>
    <definedName name="A" localSheetId="2">#REF!</definedName>
    <definedName name="A">#REF!</definedName>
    <definedName name="ACTUAL">"'Vol_Revs'!R5C3:R5C14"</definedName>
    <definedName name="ADJSUTW3" localSheetId="20">#REF!</definedName>
    <definedName name="ADJSUTW3" localSheetId="19">#REF!</definedName>
    <definedName name="ADJSUTW3" localSheetId="18">#REF!</definedName>
    <definedName name="ADJSUTW3" localSheetId="17">#REF!</definedName>
    <definedName name="ADJSUTW3" localSheetId="16">#REF!</definedName>
    <definedName name="ADJSUTW3" localSheetId="15">#REF!</definedName>
    <definedName name="ADJSUTW3" localSheetId="14">#REF!</definedName>
    <definedName name="ADJSUTW3" localSheetId="13">#REF!</definedName>
    <definedName name="ADJSUTW3" localSheetId="12">#REF!</definedName>
    <definedName name="ADJSUTW3">#REF!</definedName>
    <definedName name="ADJUSRN" localSheetId="20">#REF!</definedName>
    <definedName name="ADJUSRN" localSheetId="19">#REF!</definedName>
    <definedName name="ADJUSRN" localSheetId="18">#REF!</definedName>
    <definedName name="ADJUSRN" localSheetId="17">#REF!</definedName>
    <definedName name="ADJUSRN" localSheetId="16">#REF!</definedName>
    <definedName name="ADJUSRN" localSheetId="15">#REF!</definedName>
    <definedName name="ADJUSRN" localSheetId="14">#REF!</definedName>
    <definedName name="ADJUSRN" localSheetId="13">#REF!</definedName>
    <definedName name="ADJUSRN" localSheetId="12">#REF!</definedName>
    <definedName name="ADJUSRN">#REF!</definedName>
    <definedName name="Adjust2" localSheetId="5">#REF!</definedName>
    <definedName name="Adjust2" localSheetId="34">#REF!</definedName>
    <definedName name="Adjust2" localSheetId="33">#REF!</definedName>
    <definedName name="Adjust2" localSheetId="4">#REF!</definedName>
    <definedName name="Adjust2" localSheetId="32">#REF!</definedName>
    <definedName name="Adjust2" localSheetId="31">#REF!</definedName>
    <definedName name="Adjust2" localSheetId="3">#REF!</definedName>
    <definedName name="Adjust2" localSheetId="30">#REF!</definedName>
    <definedName name="Adjust2" localSheetId="29">#REF!</definedName>
    <definedName name="Adjust2" localSheetId="28">#REF!</definedName>
    <definedName name="Adjust2" localSheetId="27">#REF!</definedName>
    <definedName name="Adjust2" localSheetId="15">#REF!</definedName>
    <definedName name="Adjust2" localSheetId="14">#REF!</definedName>
    <definedName name="Adjust2" localSheetId="13">#REF!</definedName>
    <definedName name="Adjust2" localSheetId="2">#REF!</definedName>
    <definedName name="Adjust2">#REF!</definedName>
    <definedName name="ADJUSTA" localSheetId="20">#REF!</definedName>
    <definedName name="ADJUSTA" localSheetId="19">#REF!</definedName>
    <definedName name="ADJUSTA" localSheetId="18">#REF!</definedName>
    <definedName name="ADJUSTA" localSheetId="17">#REF!</definedName>
    <definedName name="ADJUSTA" localSheetId="16">#REF!</definedName>
    <definedName name="ADJUSTA" localSheetId="15">#REF!</definedName>
    <definedName name="ADJUSTA" localSheetId="14">#REF!</definedName>
    <definedName name="ADJUSTA" localSheetId="13">#REF!</definedName>
    <definedName name="ADJUSTA" localSheetId="12">#REF!</definedName>
    <definedName name="ADJUSTA">#REF!</definedName>
    <definedName name="ADJUSTAA">#REF!</definedName>
    <definedName name="ADJUSTB" localSheetId="5">#REF!</definedName>
    <definedName name="ADJUSTB" localSheetId="34">#REF!</definedName>
    <definedName name="ADJUSTB" localSheetId="33">#REF!</definedName>
    <definedName name="ADJUSTB" localSheetId="4">#REF!</definedName>
    <definedName name="ADJUSTB" localSheetId="32">#REF!</definedName>
    <definedName name="ADJUSTB" localSheetId="31">#REF!</definedName>
    <definedName name="ADJUSTB" localSheetId="3">#REF!</definedName>
    <definedName name="ADJUSTB" localSheetId="30">#REF!</definedName>
    <definedName name="ADJUSTB" localSheetId="29">#REF!</definedName>
    <definedName name="ADJUSTB" localSheetId="28">#REF!</definedName>
    <definedName name="ADJUSTB" localSheetId="27">#REF!</definedName>
    <definedName name="ADJUSTB" localSheetId="20">#REF!</definedName>
    <definedName name="ADJUSTB" localSheetId="19">#REF!</definedName>
    <definedName name="ADJUSTB" localSheetId="18">#REF!</definedName>
    <definedName name="ADJUSTB" localSheetId="17">#REF!</definedName>
    <definedName name="ADJUSTB" localSheetId="16">#REF!</definedName>
    <definedName name="ADJUSTB" localSheetId="15">#REF!</definedName>
    <definedName name="ADJUSTB" localSheetId="14">#REF!</definedName>
    <definedName name="ADJUSTB" localSheetId="13">#REF!</definedName>
    <definedName name="ADJUSTB" localSheetId="12">#REF!</definedName>
    <definedName name="ADJUSTB" localSheetId="2">#REF!</definedName>
    <definedName name="ADJUSTB">#REF!</definedName>
    <definedName name="ADJUSTC" localSheetId="20">#REF!</definedName>
    <definedName name="ADJUSTC" localSheetId="19">#REF!</definedName>
    <definedName name="ADJUSTC" localSheetId="18">#REF!</definedName>
    <definedName name="ADJUSTC" localSheetId="17">#REF!</definedName>
    <definedName name="ADJUSTC" localSheetId="16">#REF!</definedName>
    <definedName name="ADJUSTC" localSheetId="15">#REF!</definedName>
    <definedName name="ADJUSTC" localSheetId="14">#REF!</definedName>
    <definedName name="ADJUSTC" localSheetId="13">#REF!</definedName>
    <definedName name="ADJUSTC" localSheetId="12">#REF!</definedName>
    <definedName name="ADJUSTC">#REF!</definedName>
    <definedName name="ADJUSTD1" localSheetId="20">#REF!</definedName>
    <definedName name="ADJUSTD1" localSheetId="19">#REF!</definedName>
    <definedName name="ADJUSTD1" localSheetId="18">#REF!</definedName>
    <definedName name="ADJUSTD1" localSheetId="17">#REF!</definedName>
    <definedName name="ADJUSTD1" localSheetId="16">#REF!</definedName>
    <definedName name="ADJUSTD1" localSheetId="15">#REF!</definedName>
    <definedName name="ADJUSTD1" localSheetId="14">#REF!</definedName>
    <definedName name="ADJUSTD1" localSheetId="13">#REF!</definedName>
    <definedName name="ADJUSTD1" localSheetId="12">#REF!</definedName>
    <definedName name="ADJUSTD1">#REF!</definedName>
    <definedName name="ADJUSTD2" localSheetId="20">#REF!</definedName>
    <definedName name="ADJUSTD2" localSheetId="19">#REF!</definedName>
    <definedName name="ADJUSTD2" localSheetId="18">#REF!</definedName>
    <definedName name="ADJUSTD2" localSheetId="17">#REF!</definedName>
    <definedName name="ADJUSTD2" localSheetId="16">#REF!</definedName>
    <definedName name="ADJUSTD2" localSheetId="15">#REF!</definedName>
    <definedName name="ADJUSTD2" localSheetId="14">#REF!</definedName>
    <definedName name="ADJUSTD2" localSheetId="13">#REF!</definedName>
    <definedName name="ADJUSTD2" localSheetId="12">#REF!</definedName>
    <definedName name="ADJUSTD2">#REF!</definedName>
    <definedName name="ADJUSTD3" localSheetId="20">#REF!</definedName>
    <definedName name="ADJUSTD3" localSheetId="19">#REF!</definedName>
    <definedName name="ADJUSTD3" localSheetId="18">#REF!</definedName>
    <definedName name="ADJUSTD3" localSheetId="17">#REF!</definedName>
    <definedName name="ADJUSTD3" localSheetId="16">#REF!</definedName>
    <definedName name="ADJUSTD3" localSheetId="15">#REF!</definedName>
    <definedName name="ADJUSTD3" localSheetId="14">#REF!</definedName>
    <definedName name="ADJUSTD3" localSheetId="13">#REF!</definedName>
    <definedName name="ADJUSTD3" localSheetId="12">#REF!</definedName>
    <definedName name="ADJUSTD3">#REF!</definedName>
    <definedName name="ADJUSTD4" localSheetId="20">#REF!</definedName>
    <definedName name="ADJUSTD4" localSheetId="19">#REF!</definedName>
    <definedName name="ADJUSTD4" localSheetId="18">#REF!</definedName>
    <definedName name="ADJUSTD4" localSheetId="17">#REF!</definedName>
    <definedName name="ADJUSTD4" localSheetId="16">#REF!</definedName>
    <definedName name="ADJUSTD4" localSheetId="15">#REF!</definedName>
    <definedName name="ADJUSTD4" localSheetId="14">#REF!</definedName>
    <definedName name="ADJUSTD4" localSheetId="13">#REF!</definedName>
    <definedName name="ADJUSTD4" localSheetId="12">#REF!</definedName>
    <definedName name="ADJUSTD4">#REF!</definedName>
    <definedName name="ADJUSTG1" localSheetId="20">#REF!</definedName>
    <definedName name="ADJUSTG1" localSheetId="19">#REF!</definedName>
    <definedName name="ADJUSTG1" localSheetId="18">#REF!</definedName>
    <definedName name="ADJUSTG1" localSheetId="17">#REF!</definedName>
    <definedName name="ADJUSTG1" localSheetId="16">#REF!</definedName>
    <definedName name="ADJUSTG1" localSheetId="15">#REF!</definedName>
    <definedName name="ADJUSTG1" localSheetId="14">#REF!</definedName>
    <definedName name="ADJUSTG1" localSheetId="13">#REF!</definedName>
    <definedName name="ADJUSTG1" localSheetId="12">#REF!</definedName>
    <definedName name="ADJUSTG1">#REF!</definedName>
    <definedName name="ADJUSTG2" localSheetId="20">#REF!</definedName>
    <definedName name="ADJUSTG2" localSheetId="19">#REF!</definedName>
    <definedName name="ADJUSTG2" localSheetId="18">#REF!</definedName>
    <definedName name="ADJUSTG2" localSheetId="17">#REF!</definedName>
    <definedName name="ADJUSTG2" localSheetId="16">#REF!</definedName>
    <definedName name="ADJUSTG2" localSheetId="15">#REF!</definedName>
    <definedName name="ADJUSTG2" localSheetId="14">#REF!</definedName>
    <definedName name="ADJUSTG2" localSheetId="13">#REF!</definedName>
    <definedName name="ADJUSTG2" localSheetId="12">#REF!</definedName>
    <definedName name="ADJUSTG2">#REF!</definedName>
    <definedName name="ADJUSTG3" localSheetId="20">#REF!</definedName>
    <definedName name="ADJUSTG3" localSheetId="19">#REF!</definedName>
    <definedName name="ADJUSTG3" localSheetId="18">#REF!</definedName>
    <definedName name="ADJUSTG3" localSheetId="17">#REF!</definedName>
    <definedName name="ADJUSTG3" localSheetId="16">#REF!</definedName>
    <definedName name="ADJUSTG3" localSheetId="15">#REF!</definedName>
    <definedName name="ADJUSTG3" localSheetId="14">#REF!</definedName>
    <definedName name="ADJUSTG3" localSheetId="13">#REF!</definedName>
    <definedName name="ADJUSTG3" localSheetId="12">#REF!</definedName>
    <definedName name="ADJUSTG3">#REF!</definedName>
    <definedName name="ADJUSTG4" localSheetId="20">#REF!</definedName>
    <definedName name="ADJUSTG4" localSheetId="19">#REF!</definedName>
    <definedName name="ADJUSTG4" localSheetId="18">#REF!</definedName>
    <definedName name="ADJUSTG4" localSheetId="17">#REF!</definedName>
    <definedName name="ADJUSTG4" localSheetId="16">#REF!</definedName>
    <definedName name="ADJUSTG4" localSheetId="15">#REF!</definedName>
    <definedName name="ADJUSTG4" localSheetId="14">#REF!</definedName>
    <definedName name="ADJUSTG4" localSheetId="13">#REF!</definedName>
    <definedName name="ADJUSTG4" localSheetId="12">#REF!</definedName>
    <definedName name="ADJUSTG4">#REF!</definedName>
    <definedName name="ADJUSTH" localSheetId="20">#REF!</definedName>
    <definedName name="ADJUSTH" localSheetId="19">#REF!</definedName>
    <definedName name="ADJUSTH" localSheetId="18">#REF!</definedName>
    <definedName name="ADJUSTH" localSheetId="17">#REF!</definedName>
    <definedName name="ADJUSTH" localSheetId="16">#REF!</definedName>
    <definedName name="ADJUSTH" localSheetId="15">#REF!</definedName>
    <definedName name="ADJUSTH" localSheetId="14">#REF!</definedName>
    <definedName name="ADJUSTH" localSheetId="13">#REF!</definedName>
    <definedName name="ADJUSTH" localSheetId="12">#REF!</definedName>
    <definedName name="ADJUSTH">#REF!</definedName>
    <definedName name="ADJUSTI" localSheetId="20">#REF!</definedName>
    <definedName name="ADJUSTI" localSheetId="19">#REF!</definedName>
    <definedName name="ADJUSTI" localSheetId="18">#REF!</definedName>
    <definedName name="ADJUSTI" localSheetId="17">#REF!</definedName>
    <definedName name="ADJUSTI" localSheetId="16">#REF!</definedName>
    <definedName name="ADJUSTI" localSheetId="15">#REF!</definedName>
    <definedName name="ADJUSTI" localSheetId="14">#REF!</definedName>
    <definedName name="ADJUSTI" localSheetId="13">#REF!</definedName>
    <definedName name="ADJUSTI" localSheetId="12">#REF!</definedName>
    <definedName name="ADJUSTI">#REF!</definedName>
    <definedName name="ADJUSTK" localSheetId="20">#REF!</definedName>
    <definedName name="ADJUSTK" localSheetId="19">#REF!</definedName>
    <definedName name="ADJUSTK" localSheetId="18">#REF!</definedName>
    <definedName name="ADJUSTK" localSheetId="17">#REF!</definedName>
    <definedName name="ADJUSTK" localSheetId="16">#REF!</definedName>
    <definedName name="ADJUSTK" localSheetId="15">#REF!</definedName>
    <definedName name="ADJUSTK" localSheetId="14">#REF!</definedName>
    <definedName name="ADJUSTK" localSheetId="13">#REF!</definedName>
    <definedName name="ADJUSTK" localSheetId="12">#REF!</definedName>
    <definedName name="ADJUSTK">#REF!</definedName>
    <definedName name="ADJUSTM" localSheetId="20">#REF!</definedName>
    <definedName name="ADJUSTM" localSheetId="19">#REF!</definedName>
    <definedName name="ADJUSTM" localSheetId="18">#REF!</definedName>
    <definedName name="ADJUSTM" localSheetId="17">#REF!</definedName>
    <definedName name="ADJUSTM" localSheetId="16">#REF!</definedName>
    <definedName name="ADJUSTM" localSheetId="15">#REF!</definedName>
    <definedName name="ADJUSTM" localSheetId="14">#REF!</definedName>
    <definedName name="ADJUSTM" localSheetId="13">#REF!</definedName>
    <definedName name="ADJUSTM" localSheetId="12">#REF!</definedName>
    <definedName name="ADJUSTM">#REF!</definedName>
    <definedName name="ADJUSTN" localSheetId="20">#REF!</definedName>
    <definedName name="ADJUSTN" localSheetId="19">#REF!</definedName>
    <definedName name="ADJUSTN" localSheetId="18">#REF!</definedName>
    <definedName name="ADJUSTN" localSheetId="17">#REF!</definedName>
    <definedName name="ADJUSTN" localSheetId="16">#REF!</definedName>
    <definedName name="ADJUSTN" localSheetId="15">#REF!</definedName>
    <definedName name="ADJUSTN" localSheetId="14">#REF!</definedName>
    <definedName name="ADJUSTN" localSheetId="13">#REF!</definedName>
    <definedName name="ADJUSTN" localSheetId="12">#REF!</definedName>
    <definedName name="ADJUSTN">#REF!</definedName>
    <definedName name="ADJUSTO" localSheetId="20">#REF!</definedName>
    <definedName name="ADJUSTO" localSheetId="19">#REF!</definedName>
    <definedName name="ADJUSTO" localSheetId="18">#REF!</definedName>
    <definedName name="ADJUSTO" localSheetId="17">#REF!</definedName>
    <definedName name="ADJUSTO" localSheetId="16">#REF!</definedName>
    <definedName name="ADJUSTO" localSheetId="15">#REF!</definedName>
    <definedName name="ADJUSTO" localSheetId="14">#REF!</definedName>
    <definedName name="ADJUSTO" localSheetId="13">#REF!</definedName>
    <definedName name="ADJUSTO" localSheetId="12">#REF!</definedName>
    <definedName name="ADJUSTO">#REF!</definedName>
    <definedName name="ADJUSTP" localSheetId="20">#REF!</definedName>
    <definedName name="ADJUSTP" localSheetId="19">#REF!</definedName>
    <definedName name="ADJUSTP" localSheetId="18">#REF!</definedName>
    <definedName name="ADJUSTP" localSheetId="17">#REF!</definedName>
    <definedName name="ADJUSTP" localSheetId="16">#REF!</definedName>
    <definedName name="ADJUSTP" localSheetId="15">#REF!</definedName>
    <definedName name="ADJUSTP" localSheetId="14">#REF!</definedName>
    <definedName name="ADJUSTP" localSheetId="13">#REF!</definedName>
    <definedName name="ADJUSTP" localSheetId="12">#REF!</definedName>
    <definedName name="ADJUSTP">#REF!</definedName>
    <definedName name="ADJUSTQ" localSheetId="20">#REF!</definedName>
    <definedName name="ADJUSTQ" localSheetId="19">#REF!</definedName>
    <definedName name="ADJUSTQ" localSheetId="18">#REF!</definedName>
    <definedName name="ADJUSTQ" localSheetId="17">#REF!</definedName>
    <definedName name="ADJUSTQ" localSheetId="16">#REF!</definedName>
    <definedName name="ADJUSTQ" localSheetId="15">#REF!</definedName>
    <definedName name="ADJUSTQ" localSheetId="14">#REF!</definedName>
    <definedName name="ADJUSTQ" localSheetId="13">#REF!</definedName>
    <definedName name="ADJUSTQ" localSheetId="12">#REF!</definedName>
    <definedName name="ADJUSTQ">#REF!</definedName>
    <definedName name="ADJUSTR" localSheetId="20">#REF!</definedName>
    <definedName name="ADJUSTR" localSheetId="19">#REF!</definedName>
    <definedName name="ADJUSTR" localSheetId="18">#REF!</definedName>
    <definedName name="ADJUSTR" localSheetId="17">#REF!</definedName>
    <definedName name="ADJUSTR" localSheetId="16">#REF!</definedName>
    <definedName name="ADJUSTR" localSheetId="15">#REF!</definedName>
    <definedName name="ADJUSTR" localSheetId="14">#REF!</definedName>
    <definedName name="ADJUSTR" localSheetId="13">#REF!</definedName>
    <definedName name="ADJUSTR" localSheetId="12">#REF!</definedName>
    <definedName name="ADJUSTR">#REF!</definedName>
    <definedName name="ADJUSTS" localSheetId="5">#REF!</definedName>
    <definedName name="ADJUSTS" localSheetId="34">#REF!</definedName>
    <definedName name="ADJUSTS" localSheetId="33">#REF!</definedName>
    <definedName name="ADJUSTS" localSheetId="4">#REF!</definedName>
    <definedName name="ADJUSTS" localSheetId="32">#REF!</definedName>
    <definedName name="ADJUSTS" localSheetId="31">#REF!</definedName>
    <definedName name="ADJUSTS" localSheetId="3">#REF!</definedName>
    <definedName name="ADJUSTS" localSheetId="30">#REF!</definedName>
    <definedName name="ADJUSTS" localSheetId="29">#REF!</definedName>
    <definedName name="ADJUSTS" localSheetId="28">#REF!</definedName>
    <definedName name="ADJUSTS" localSheetId="27">#REF!</definedName>
    <definedName name="ADJUSTS" localSheetId="20">[5]M!#REF!</definedName>
    <definedName name="ADJUSTS" localSheetId="19">[5]M!#REF!</definedName>
    <definedName name="ADJUSTS" localSheetId="18">[5]M!#REF!</definedName>
    <definedName name="ADJUSTS" localSheetId="17">[5]M!#REF!</definedName>
    <definedName name="ADJUSTS" localSheetId="16">[5]M!#REF!</definedName>
    <definedName name="ADJUSTS" localSheetId="15">[5]M!#REF!</definedName>
    <definedName name="ADJUSTS" localSheetId="14">[5]M!#REF!</definedName>
    <definedName name="ADJUSTS" localSheetId="13">[5]M!#REF!</definedName>
    <definedName name="ADJUSTS" localSheetId="12">[5]M!#REF!</definedName>
    <definedName name="ADJUSTS" localSheetId="2">#REF!</definedName>
    <definedName name="ADJUSTS">#REF!</definedName>
    <definedName name="ADJUSTT" localSheetId="20">#REF!</definedName>
    <definedName name="ADJUSTT" localSheetId="19">#REF!</definedName>
    <definedName name="ADJUSTT" localSheetId="18">#REF!</definedName>
    <definedName name="ADJUSTT" localSheetId="17">#REF!</definedName>
    <definedName name="ADJUSTT" localSheetId="16">#REF!</definedName>
    <definedName name="ADJUSTT" localSheetId="15">#REF!</definedName>
    <definedName name="ADJUSTT" localSheetId="14">#REF!</definedName>
    <definedName name="ADJUSTT" localSheetId="13">#REF!</definedName>
    <definedName name="ADJUSTT" localSheetId="12">#REF!</definedName>
    <definedName name="ADJUSTT">#REF!</definedName>
    <definedName name="ADJUSTW1" localSheetId="20">#REF!</definedName>
    <definedName name="ADJUSTW1" localSheetId="19">#REF!</definedName>
    <definedName name="ADJUSTW1" localSheetId="18">#REF!</definedName>
    <definedName name="ADJUSTW1" localSheetId="17">#REF!</definedName>
    <definedName name="ADJUSTW1" localSheetId="16">#REF!</definedName>
    <definedName name="ADJUSTW1" localSheetId="15">#REF!</definedName>
    <definedName name="ADJUSTW1" localSheetId="14">#REF!</definedName>
    <definedName name="ADJUSTW1" localSheetId="13">#REF!</definedName>
    <definedName name="ADJUSTW1" localSheetId="12">#REF!</definedName>
    <definedName name="ADJUSTW1">#REF!</definedName>
    <definedName name="ADJUSTW2" localSheetId="20">#REF!</definedName>
    <definedName name="ADJUSTW2" localSheetId="19">#REF!</definedName>
    <definedName name="ADJUSTW2" localSheetId="18">#REF!</definedName>
    <definedName name="ADJUSTW2" localSheetId="17">#REF!</definedName>
    <definedName name="ADJUSTW2" localSheetId="16">#REF!</definedName>
    <definedName name="ADJUSTW2" localSheetId="15">#REF!</definedName>
    <definedName name="ADJUSTW2" localSheetId="14">#REF!</definedName>
    <definedName name="ADJUSTW2" localSheetId="13">#REF!</definedName>
    <definedName name="ADJUSTW2" localSheetId="12">#REF!</definedName>
    <definedName name="ADJUSTW2">#REF!</definedName>
    <definedName name="ADJUSTX" localSheetId="20">#REF!</definedName>
    <definedName name="ADJUSTX" localSheetId="19">#REF!</definedName>
    <definedName name="ADJUSTX" localSheetId="18">#REF!</definedName>
    <definedName name="ADJUSTX" localSheetId="17">#REF!</definedName>
    <definedName name="ADJUSTX" localSheetId="16">#REF!</definedName>
    <definedName name="ADJUSTX" localSheetId="15">#REF!</definedName>
    <definedName name="ADJUSTX" localSheetId="14">#REF!</definedName>
    <definedName name="ADJUSTX" localSheetId="13">#REF!</definedName>
    <definedName name="ADJUSTX" localSheetId="12">#REF!</definedName>
    <definedName name="ADJUSTX">#REF!</definedName>
    <definedName name="ADJUSTY" localSheetId="20">#REF!</definedName>
    <definedName name="ADJUSTY" localSheetId="19">#REF!</definedName>
    <definedName name="ADJUSTY" localSheetId="18">#REF!</definedName>
    <definedName name="ADJUSTY" localSheetId="17">#REF!</definedName>
    <definedName name="ADJUSTY" localSheetId="16">#REF!</definedName>
    <definedName name="ADJUSTY" localSheetId="15">#REF!</definedName>
    <definedName name="ADJUSTY" localSheetId="14">#REF!</definedName>
    <definedName name="ADJUSTY" localSheetId="13">#REF!</definedName>
    <definedName name="ADJUSTY" localSheetId="12">#REF!</definedName>
    <definedName name="ADJUSTY">#REF!</definedName>
    <definedName name="ALERT2">#REF!</definedName>
    <definedName name="Annual_Sales_KU" localSheetId="5">'[6]LGE Sales'!#REF!</definedName>
    <definedName name="Annual_Sales_KU" localSheetId="34">'[6]LGE Sales'!#REF!</definedName>
    <definedName name="Annual_Sales_KU" localSheetId="33">'[6]LGE Sales'!#REF!</definedName>
    <definedName name="Annual_Sales_KU" localSheetId="4">'[6]LGE Sales'!#REF!</definedName>
    <definedName name="Annual_Sales_KU" localSheetId="32">'[6]LGE Sales'!#REF!</definedName>
    <definedName name="Annual_Sales_KU" localSheetId="31">'[6]LGE Sales'!#REF!</definedName>
    <definedName name="Annual_Sales_KU" localSheetId="3">'[6]LGE Sales'!#REF!</definedName>
    <definedName name="Annual_Sales_KU" localSheetId="30">'[6]LGE Sales'!#REF!</definedName>
    <definedName name="Annual_Sales_KU" localSheetId="29">'[6]LGE Sales'!#REF!</definedName>
    <definedName name="Annual_Sales_KU" localSheetId="28">'[6]LGE Sales'!#REF!</definedName>
    <definedName name="Annual_Sales_KU" localSheetId="27">'[6]LGE Sales'!#REF!</definedName>
    <definedName name="Annual_Sales_KU" localSheetId="15">'[6]LGE Sales'!#REF!</definedName>
    <definedName name="Annual_Sales_KU" localSheetId="14">'[6]LGE Sales'!#REF!</definedName>
    <definedName name="Annual_Sales_KU" localSheetId="13">'[6]LGE Sales'!#REF!</definedName>
    <definedName name="Annual_Sales_KU" localSheetId="2">'[6]LGE Sales'!#REF!</definedName>
    <definedName name="Annual_Sales_KU">'[6]LGE Sales'!#REF!</definedName>
    <definedName name="assets">#REF!</definedName>
    <definedName name="AUTO" localSheetId="36">[7]Ins!#REF!</definedName>
    <definedName name="AUTO" localSheetId="35">[7]Ins!#REF!</definedName>
    <definedName name="AUTO" localSheetId="5">#REF!</definedName>
    <definedName name="AUTO" localSheetId="34">[7]Ins!#REF!</definedName>
    <definedName name="AUTO" localSheetId="33">[7]Ins!#REF!</definedName>
    <definedName name="AUTO" localSheetId="4">#REF!</definedName>
    <definedName name="AUTO" localSheetId="32">#REF!</definedName>
    <definedName name="AUTO" localSheetId="31">[7]Ins!#REF!</definedName>
    <definedName name="AUTO" localSheetId="3">#REF!</definedName>
    <definedName name="AUTO" localSheetId="30">[7]Ins!#REF!</definedName>
    <definedName name="AUTO" localSheetId="29">[7]Ins!#REF!</definedName>
    <definedName name="AUTO" localSheetId="28">[7]Ins!#REF!</definedName>
    <definedName name="AUTO" localSheetId="27">[7]Ins!#REF!</definedName>
    <definedName name="AUTO" localSheetId="15">#REF!</definedName>
    <definedName name="AUTO" localSheetId="14">#REF!</definedName>
    <definedName name="AUTO" localSheetId="13">#REF!</definedName>
    <definedName name="AUTO" localSheetId="2">#REF!</definedName>
    <definedName name="AUTO">#REF!</definedName>
    <definedName name="B">#REF!</definedName>
    <definedName name="Billed_Revenues_Dollars">#REF!</definedName>
    <definedName name="Billed_Sales__KWh">#REF!</definedName>
    <definedName name="BudCol01">[8]BudgetDatabase!$J$5:$J$443</definedName>
    <definedName name="BudCol02">[8]BudgetDatabase!$K$5:$K$443</definedName>
    <definedName name="BudCol03">[8]BudgetDatabase!$L$5:$L$443</definedName>
    <definedName name="BudCol04">[8]BudgetDatabase!$M$5:$M$443</definedName>
    <definedName name="BudCol05">[8]BudgetDatabase!$N$5:$N$443</definedName>
    <definedName name="BudCol06">[8]BudgetDatabase!$O$5:$O$443</definedName>
    <definedName name="BudCol07">[8]BudgetDatabase!$P$5:$P$443</definedName>
    <definedName name="BudCol08">[8]BudgetDatabase!$Q$5:$Q$443</definedName>
    <definedName name="BudCol09">[8]BudgetDatabase!$R$5:$R$443</definedName>
    <definedName name="BudCol10">[8]BudgetDatabase!$S$5:$S$443</definedName>
    <definedName name="BudCol11">[8]BudgetDatabase!$T$5:$T$443</definedName>
    <definedName name="BudCol12">[8]BudgetDatabase!$U$5:$U$443</definedName>
    <definedName name="BudCol13">[8]BudgetDatabase!$V$5:$V$443</definedName>
    <definedName name="BudCol14">[8]BudgetDatabase!$W$5:$W$443</definedName>
    <definedName name="BudCol15">[8]BudgetDatabase!$X$5:$X$443</definedName>
    <definedName name="BudCol16">[8]BudgetDatabase!$Y$5:$Y$443</definedName>
    <definedName name="BudCol17">[8]BudgetDatabase!$Z$5:$Z$443</definedName>
    <definedName name="BudCol18">[8]BudgetDatabase!$AA$5:$AA$443</definedName>
    <definedName name="BudCol19">[8]BudgetDatabase!$AB$5:$AB$443</definedName>
    <definedName name="BudCol20">[8]BudgetDatabase!$AC$5:$AC$443</definedName>
    <definedName name="BudCol21">[8]BudgetDatabase!$AD$5:$AD$443</definedName>
    <definedName name="BudCol22">[8]BudgetDatabase!$AE$5:$AE$443</definedName>
    <definedName name="BudCol23">[8]BudgetDatabase!$AF$5:$AF$443</definedName>
    <definedName name="BudCol24">[8]BudgetDatabase!$AG$5:$AG$443</definedName>
    <definedName name="BudCol25">[8]BudgetDatabase!$AH$5:$AH$443</definedName>
    <definedName name="BudColTmp">[8]BudgetDatabase!$AJ$5:$AJ$443</definedName>
    <definedName name="C_">#REF!</definedName>
    <definedName name="Choices_Wrapper" localSheetId="6">'2008'!Choices_Wrapper</definedName>
    <definedName name="Choices_Wrapper" localSheetId="5">'2009'!Choices_Wrapper</definedName>
    <definedName name="Choices_Wrapper" localSheetId="4">'2010'!Choices_Wrapper</definedName>
    <definedName name="Choices_Wrapper" localSheetId="3">'2011'!Choices_Wrapper</definedName>
    <definedName name="Choices_Wrapper" localSheetId="20">'Ex 3 - 2004'!Choices_Wrapper</definedName>
    <definedName name="Choices_Wrapper" localSheetId="19">'Ex 3 - 2005'!Choices_Wrapper</definedName>
    <definedName name="Choices_Wrapper" localSheetId="18">'Ex 3 - 2006'!Choices_Wrapper</definedName>
    <definedName name="Choices_Wrapper" localSheetId="17">'Ex 3 - 2007'!Choices_Wrapper</definedName>
    <definedName name="Choices_Wrapper" localSheetId="16">'Ex 3 - 2008'!Choices_Wrapper</definedName>
    <definedName name="Choices_Wrapper" localSheetId="15">'Ex 3 - 2009'!Choices_Wrapper</definedName>
    <definedName name="Choices_Wrapper" localSheetId="14">'Ex 3 - 2010'!Choices_Wrapper</definedName>
    <definedName name="Choices_Wrapper" localSheetId="13">'Ex 3 - 2011'!Choices_Wrapper</definedName>
    <definedName name="Choices_Wrapper" localSheetId="12">'Ex 3 - TY 2009'!Choices_Wrapper</definedName>
    <definedName name="Choices_Wrapper" localSheetId="22">'M&amp;S-Dec08'!Choices_Wrapper</definedName>
    <definedName name="Choices_Wrapper" localSheetId="1">'TY 2009'!Choices_Wrapper</definedName>
    <definedName name="Choices_Wrapper" localSheetId="2">'TY 2012'!Choices_Wrapper</definedName>
    <definedName name="Choices_Wrapper">[0]!Choices_Wrapper</definedName>
    <definedName name="CM" localSheetId="44">#REF!</definedName>
    <definedName name="CM" localSheetId="55">#REF!</definedName>
    <definedName name="CM" localSheetId="43">#REF!</definedName>
    <definedName name="CM" localSheetId="42">#REF!</definedName>
    <definedName name="CM" localSheetId="54">#REF!</definedName>
    <definedName name="CM" localSheetId="41">#REF!</definedName>
    <definedName name="CM" localSheetId="40">#REF!</definedName>
    <definedName name="CM" localSheetId="53">#REF!</definedName>
    <definedName name="CM" localSheetId="39">#REF!</definedName>
    <definedName name="CM" localSheetId="38">#REF!</definedName>
    <definedName name="CM" localSheetId="52">#REF!</definedName>
    <definedName name="CM" localSheetId="37">#REF!</definedName>
    <definedName name="CM" localSheetId="36">#REF!</definedName>
    <definedName name="CM" localSheetId="35">#REF!</definedName>
    <definedName name="CM" localSheetId="34">#REF!</definedName>
    <definedName name="CM" localSheetId="33">#REF!</definedName>
    <definedName name="CM" localSheetId="32">#REF!</definedName>
    <definedName name="CM" localSheetId="31">#REF!</definedName>
    <definedName name="CM" localSheetId="30">#REF!</definedName>
    <definedName name="CM" localSheetId="29">#REF!</definedName>
    <definedName name="CM" localSheetId="28">#REF!</definedName>
    <definedName name="CM" localSheetId="27">#REF!</definedName>
    <definedName name="CM">#REF!</definedName>
    <definedName name="Coal_Annual_KU" localSheetId="5">'[6]LGE Coal'!#REF!</definedName>
    <definedName name="Coal_Annual_KU" localSheetId="34">'[6]LGE Coal'!#REF!</definedName>
    <definedName name="Coal_Annual_KU" localSheetId="33">'[6]LGE Coal'!#REF!</definedName>
    <definedName name="Coal_Annual_KU" localSheetId="4">'[6]LGE Coal'!#REF!</definedName>
    <definedName name="Coal_Annual_KU" localSheetId="32">'[6]LGE Coal'!#REF!</definedName>
    <definedName name="Coal_Annual_KU" localSheetId="31">'[6]LGE Coal'!#REF!</definedName>
    <definedName name="Coal_Annual_KU" localSheetId="3">'[6]LGE Coal'!#REF!</definedName>
    <definedName name="Coal_Annual_KU" localSheetId="30">'[6]LGE Coal'!#REF!</definedName>
    <definedName name="Coal_Annual_KU" localSheetId="29">'[6]LGE Coal'!#REF!</definedName>
    <definedName name="Coal_Annual_KU" localSheetId="28">'[6]LGE Coal'!#REF!</definedName>
    <definedName name="Coal_Annual_KU" localSheetId="27">'[6]LGE Coal'!#REF!</definedName>
    <definedName name="Coal_Annual_KU" localSheetId="15">'[6]LGE Coal'!#REF!</definedName>
    <definedName name="Coal_Annual_KU" localSheetId="14">'[6]LGE Coal'!#REF!</definedName>
    <definedName name="Coal_Annual_KU" localSheetId="13">'[6]LGE Coal'!#REF!</definedName>
    <definedName name="Coal_Annual_KU" localSheetId="2">'[6]LGE Coal'!#REF!</definedName>
    <definedName name="Coal_Annual_KU">'[6]LGE Coal'!#REF!</definedName>
    <definedName name="coal_hide_ku_01" localSheetId="5">'[6]LGE Coal'!#REF!</definedName>
    <definedName name="coal_hide_ku_01" localSheetId="34">'[6]LGE Coal'!#REF!</definedName>
    <definedName name="coal_hide_ku_01" localSheetId="33">'[6]LGE Coal'!#REF!</definedName>
    <definedName name="coal_hide_ku_01" localSheetId="4">'[6]LGE Coal'!#REF!</definedName>
    <definedName name="coal_hide_ku_01" localSheetId="32">'[6]LGE Coal'!#REF!</definedName>
    <definedName name="coal_hide_ku_01" localSheetId="31">'[6]LGE Coal'!#REF!</definedName>
    <definedName name="coal_hide_ku_01" localSheetId="3">'[6]LGE Coal'!#REF!</definedName>
    <definedName name="coal_hide_ku_01" localSheetId="30">'[6]LGE Coal'!#REF!</definedName>
    <definedName name="coal_hide_ku_01" localSheetId="29">'[6]LGE Coal'!#REF!</definedName>
    <definedName name="coal_hide_ku_01" localSheetId="28">'[6]LGE Coal'!#REF!</definedName>
    <definedName name="coal_hide_ku_01" localSheetId="27">'[6]LGE Coal'!#REF!</definedName>
    <definedName name="coal_hide_ku_01" localSheetId="15">'[6]LGE Coal'!#REF!</definedName>
    <definedName name="coal_hide_ku_01" localSheetId="14">'[6]LGE Coal'!#REF!</definedName>
    <definedName name="coal_hide_ku_01" localSheetId="13">'[6]LGE Coal'!#REF!</definedName>
    <definedName name="coal_hide_ku_01" localSheetId="2">'[6]LGE Coal'!#REF!</definedName>
    <definedName name="coal_hide_ku_01">'[6]LGE Coal'!#REF!</definedName>
    <definedName name="coal_hide_lge_01" localSheetId="5">'[6]LGE Coal'!#REF!</definedName>
    <definedName name="coal_hide_lge_01" localSheetId="34">'[6]LGE Coal'!#REF!</definedName>
    <definedName name="coal_hide_lge_01" localSheetId="33">'[6]LGE Coal'!#REF!</definedName>
    <definedName name="coal_hide_lge_01" localSheetId="4">'[6]LGE Coal'!#REF!</definedName>
    <definedName name="coal_hide_lge_01" localSheetId="32">'[6]LGE Coal'!#REF!</definedName>
    <definedName name="coal_hide_lge_01" localSheetId="31">'[6]LGE Coal'!#REF!</definedName>
    <definedName name="coal_hide_lge_01" localSheetId="3">'[6]LGE Coal'!#REF!</definedName>
    <definedName name="coal_hide_lge_01" localSheetId="30">'[6]LGE Coal'!#REF!</definedName>
    <definedName name="coal_hide_lge_01" localSheetId="29">'[6]LGE Coal'!#REF!</definedName>
    <definedName name="coal_hide_lge_01" localSheetId="28">'[6]LGE Coal'!#REF!</definedName>
    <definedName name="coal_hide_lge_01" localSheetId="27">'[6]LGE Coal'!#REF!</definedName>
    <definedName name="coal_hide_lge_01" localSheetId="15">'[6]LGE Coal'!#REF!</definedName>
    <definedName name="coal_hide_lge_01" localSheetId="14">'[6]LGE Coal'!#REF!</definedName>
    <definedName name="coal_hide_lge_01" localSheetId="13">'[6]LGE Coal'!#REF!</definedName>
    <definedName name="coal_hide_lge_01" localSheetId="2">'[6]LGE Coal'!#REF!</definedName>
    <definedName name="coal_hide_lge_01">'[6]LGE Coal'!#REF!</definedName>
    <definedName name="coal_ku_01" localSheetId="5">'[6]LGE Coal'!#REF!</definedName>
    <definedName name="coal_ku_01" localSheetId="34">'[6]LGE Coal'!#REF!</definedName>
    <definedName name="coal_ku_01" localSheetId="33">'[6]LGE Coal'!#REF!</definedName>
    <definedName name="coal_ku_01" localSheetId="4">'[6]LGE Coal'!#REF!</definedName>
    <definedName name="coal_ku_01" localSheetId="32">'[6]LGE Coal'!#REF!</definedName>
    <definedName name="coal_ku_01" localSheetId="31">'[6]LGE Coal'!#REF!</definedName>
    <definedName name="coal_ku_01" localSheetId="3">'[6]LGE Coal'!#REF!</definedName>
    <definedName name="coal_ku_01" localSheetId="30">'[6]LGE Coal'!#REF!</definedName>
    <definedName name="coal_ku_01" localSheetId="29">'[6]LGE Coal'!#REF!</definedName>
    <definedName name="coal_ku_01" localSheetId="28">'[6]LGE Coal'!#REF!</definedName>
    <definedName name="coal_ku_01" localSheetId="27">'[6]LGE Coal'!#REF!</definedName>
    <definedName name="coal_ku_01" localSheetId="15">'[6]LGE Coal'!#REF!</definedName>
    <definedName name="coal_ku_01" localSheetId="14">'[6]LGE Coal'!#REF!</definedName>
    <definedName name="coal_ku_01" localSheetId="13">'[6]LGE Coal'!#REF!</definedName>
    <definedName name="coal_ku_01" localSheetId="2">'[6]LGE Coal'!#REF!</definedName>
    <definedName name="coal_ku_01">'[6]LGE Coal'!#REF!</definedName>
    <definedName name="ColumnAttributes1" localSheetId="36">#REF!</definedName>
    <definedName name="ColumnAttributes1" localSheetId="35">#REF!</definedName>
    <definedName name="ColumnAttributes1" localSheetId="34">#REF!</definedName>
    <definedName name="ColumnAttributes1" localSheetId="33">#REF!</definedName>
    <definedName name="ColumnAttributes1" localSheetId="31">#REF!</definedName>
    <definedName name="ColumnAttributes1" localSheetId="30">#REF!</definedName>
    <definedName name="ColumnAttributes1" localSheetId="29">#REF!</definedName>
    <definedName name="ColumnAttributes1" localSheetId="28">#REF!</definedName>
    <definedName name="ColumnAttributes1" localSheetId="27">#REF!</definedName>
    <definedName name="ColumnAttributes1">#REF!</definedName>
    <definedName name="ColumnHeadings1">#REF!</definedName>
    <definedName name="Comp" localSheetId="6">'2008'!Comp</definedName>
    <definedName name="Comp" localSheetId="5">'2009'!Comp</definedName>
    <definedName name="Comp" localSheetId="4">'2010'!Comp</definedName>
    <definedName name="Comp" localSheetId="3">'2011'!Comp</definedName>
    <definedName name="Comp" localSheetId="20">'Ex 3 - 2004'!Comp</definedName>
    <definedName name="Comp" localSheetId="19">'Ex 3 - 2005'!Comp</definedName>
    <definedName name="Comp" localSheetId="18">'Ex 3 - 2006'!Comp</definedName>
    <definedName name="Comp" localSheetId="17">'Ex 3 - 2007'!Comp</definedName>
    <definedName name="Comp" localSheetId="16">'Ex 3 - 2008'!Comp</definedName>
    <definedName name="Comp" localSheetId="15">'Ex 3 - 2009'!Comp</definedName>
    <definedName name="Comp" localSheetId="14">'Ex 3 - 2010'!Comp</definedName>
    <definedName name="Comp" localSheetId="13">'Ex 3 - 2011'!Comp</definedName>
    <definedName name="Comp" localSheetId="12">'Ex 3 - TY 2009'!Comp</definedName>
    <definedName name="Comp" localSheetId="22">'M&amp;S-Dec08'!Comp</definedName>
    <definedName name="Comp" localSheetId="1">'TY 2009'!Comp</definedName>
    <definedName name="Comp" localSheetId="2">'TY 2012'!Comp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OVER">#REF!</definedName>
    <definedName name="CREDIT" localSheetId="44">#REF!</definedName>
    <definedName name="CREDIT" localSheetId="55">#REF!</definedName>
    <definedName name="CREDIT" localSheetId="43">#REF!</definedName>
    <definedName name="CREDIT" localSheetId="42">#REF!</definedName>
    <definedName name="CREDIT" localSheetId="54">#REF!</definedName>
    <definedName name="CREDIT" localSheetId="41">#REF!</definedName>
    <definedName name="CREDIT" localSheetId="40">#REF!</definedName>
    <definedName name="CREDIT" localSheetId="53">#REF!</definedName>
    <definedName name="CREDIT" localSheetId="39">#REF!</definedName>
    <definedName name="CREDIT" localSheetId="38">#REF!</definedName>
    <definedName name="CREDIT" localSheetId="52">#REF!</definedName>
    <definedName name="CREDIT" localSheetId="37">#REF!</definedName>
    <definedName name="CREDIT" localSheetId="36">#REF!</definedName>
    <definedName name="CREDIT" localSheetId="35">#REF!</definedName>
    <definedName name="CREDIT" localSheetId="34">#REF!</definedName>
    <definedName name="CREDIT" localSheetId="33">#REF!</definedName>
    <definedName name="CREDIT" localSheetId="32">#REF!</definedName>
    <definedName name="CREDIT" localSheetId="31">#REF!</definedName>
    <definedName name="CREDIT" localSheetId="30">#REF!</definedName>
    <definedName name="CREDIT" localSheetId="29">#REF!</definedName>
    <definedName name="CREDIT" localSheetId="28">#REF!</definedName>
    <definedName name="CREDIT" localSheetId="27">#REF!</definedName>
    <definedName name="CREDIT">#REF!</definedName>
    <definedName name="CurReptgMo">[8]Input!$K$19</definedName>
    <definedName name="CurReptgYr">[8]Input!$K$21</definedName>
    <definedName name="D">#REF!</definedName>
    <definedName name="data">#REF!</definedName>
    <definedName name="data1" localSheetId="5">'[9]1'!#REF!</definedName>
    <definedName name="data1" localSheetId="34">'[9]1'!#REF!</definedName>
    <definedName name="data1" localSheetId="33">'[9]1'!#REF!</definedName>
    <definedName name="data1" localSheetId="4">'[9]1'!#REF!</definedName>
    <definedName name="data1" localSheetId="32">'[9]1'!#REF!</definedName>
    <definedName name="data1" localSheetId="31">'[9]1'!#REF!</definedName>
    <definedName name="data1" localSheetId="3">'[9]1'!#REF!</definedName>
    <definedName name="data1" localSheetId="30">'[9]1'!#REF!</definedName>
    <definedName name="data1" localSheetId="29">'[9]1'!#REF!</definedName>
    <definedName name="data1" localSheetId="28">'[9]1'!#REF!</definedName>
    <definedName name="data1" localSheetId="27">'[9]1'!#REF!</definedName>
    <definedName name="data1" localSheetId="15">'[9]1'!#REF!</definedName>
    <definedName name="data1" localSheetId="14">'[9]1'!#REF!</definedName>
    <definedName name="data1" localSheetId="13">'[9]1'!#REF!</definedName>
    <definedName name="data1" localSheetId="2">'[9]1'!#REF!</definedName>
    <definedName name="data1">'[9]1'!#REF!</definedName>
    <definedName name="DateTimeNow">[8]Input!$AE$12</definedName>
    <definedName name="DEBIT" localSheetId="44">#REF!</definedName>
    <definedName name="DEBIT" localSheetId="55">#REF!</definedName>
    <definedName name="DEBIT" localSheetId="43">#REF!</definedName>
    <definedName name="DEBIT" localSheetId="42">#REF!</definedName>
    <definedName name="DEBIT" localSheetId="54">#REF!</definedName>
    <definedName name="DEBIT" localSheetId="41">#REF!</definedName>
    <definedName name="DEBIT" localSheetId="40">#REF!</definedName>
    <definedName name="DEBIT" localSheetId="53">#REF!</definedName>
    <definedName name="DEBIT" localSheetId="39">#REF!</definedName>
    <definedName name="DEBIT" localSheetId="38">#REF!</definedName>
    <definedName name="DEBIT" localSheetId="52">#REF!</definedName>
    <definedName name="DEBIT" localSheetId="37">#REF!</definedName>
    <definedName name="DEBIT" localSheetId="36">#REF!</definedName>
    <definedName name="DEBIT" localSheetId="35">#REF!</definedName>
    <definedName name="DEBIT" localSheetId="34">#REF!</definedName>
    <definedName name="DEBIT" localSheetId="33">#REF!</definedName>
    <definedName name="DEBIT" localSheetId="32">#REF!</definedName>
    <definedName name="DEBIT" localSheetId="31">#REF!</definedName>
    <definedName name="DEBIT" localSheetId="30">#REF!</definedName>
    <definedName name="DEBIT" localSheetId="29">#REF!</definedName>
    <definedName name="DEBIT" localSheetId="28">#REF!</definedName>
    <definedName name="DEBIT" localSheetId="27">#REF!</definedName>
    <definedName name="DEBIT">#REF!</definedName>
    <definedName name="Detail">#REF!</definedName>
    <definedName name="ELEC_NET_OP_INC" localSheetId="5">#REF!</definedName>
    <definedName name="ELEC_NET_OP_INC" localSheetId="34">#REF!</definedName>
    <definedName name="ELEC_NET_OP_INC" localSheetId="33">#REF!</definedName>
    <definedName name="ELEC_NET_OP_INC" localSheetId="4">#REF!</definedName>
    <definedName name="ELEC_NET_OP_INC" localSheetId="32">#REF!</definedName>
    <definedName name="ELEC_NET_OP_INC" localSheetId="31">#REF!</definedName>
    <definedName name="ELEC_NET_OP_INC" localSheetId="3">#REF!</definedName>
    <definedName name="ELEC_NET_OP_INC" localSheetId="30">#REF!</definedName>
    <definedName name="ELEC_NET_OP_INC" localSheetId="29">#REF!</definedName>
    <definedName name="ELEC_NET_OP_INC" localSheetId="28">#REF!</definedName>
    <definedName name="ELEC_NET_OP_INC" localSheetId="27">#REF!</definedName>
    <definedName name="ELEC_NET_OP_INC" localSheetId="20">#REF!</definedName>
    <definedName name="ELEC_NET_OP_INC" localSheetId="19">#REF!</definedName>
    <definedName name="ELEC_NET_OP_INC" localSheetId="18">#REF!</definedName>
    <definedName name="ELEC_NET_OP_INC" localSheetId="17">#REF!</definedName>
    <definedName name="ELEC_NET_OP_INC" localSheetId="16">#REF!</definedName>
    <definedName name="ELEC_NET_OP_INC" localSheetId="15">#REF!</definedName>
    <definedName name="ELEC_NET_OP_INC" localSheetId="14">#REF!</definedName>
    <definedName name="ELEC_NET_OP_INC" localSheetId="13">#REF!</definedName>
    <definedName name="ELEC_NET_OP_INC" localSheetId="12">#REF!</definedName>
    <definedName name="ELEC_NET_OP_INC" localSheetId="2">#REF!</definedName>
    <definedName name="ELEC_NET_OP_INC">#REF!</definedName>
    <definedName name="ELIMS">#REF!</definedName>
    <definedName name="EXHIB1A" localSheetId="5">'[10]#REF'!#REF!</definedName>
    <definedName name="EXHIB1A" localSheetId="34">'[10]#REF'!#REF!</definedName>
    <definedName name="EXHIB1A" localSheetId="33">'[10]#REF'!#REF!</definedName>
    <definedName name="EXHIB1A" localSheetId="4">'[10]#REF'!#REF!</definedName>
    <definedName name="EXHIB1A" localSheetId="32">'[10]#REF'!#REF!</definedName>
    <definedName name="EXHIB1A" localSheetId="31">'[10]#REF'!#REF!</definedName>
    <definedName name="EXHIB1A" localSheetId="3">'[10]#REF'!#REF!</definedName>
    <definedName name="EXHIB1A" localSheetId="30">'[10]#REF'!#REF!</definedName>
    <definedName name="EXHIB1A" localSheetId="29">'[10]#REF'!#REF!</definedName>
    <definedName name="EXHIB1A" localSheetId="28">'[10]#REF'!#REF!</definedName>
    <definedName name="EXHIB1A" localSheetId="27">'[10]#REF'!#REF!</definedName>
    <definedName name="EXHIB1A" localSheetId="15">'[10]#REF'!#REF!</definedName>
    <definedName name="EXHIB1A" localSheetId="14">'[10]#REF'!#REF!</definedName>
    <definedName name="EXHIB1A" localSheetId="13">'[10]#REF'!#REF!</definedName>
    <definedName name="EXHIB1A" localSheetId="2">'[10]#REF'!#REF!</definedName>
    <definedName name="EXHIB1A">'[10]#REF'!#REF!</definedName>
    <definedName name="EXHIB1B" localSheetId="20">#REF!</definedName>
    <definedName name="EXHIB1B" localSheetId="19">#REF!</definedName>
    <definedName name="EXHIB1B" localSheetId="18">#REF!</definedName>
    <definedName name="EXHIB1B" localSheetId="17">#REF!</definedName>
    <definedName name="EXHIB1B" localSheetId="16">#REF!</definedName>
    <definedName name="EXHIB1B" localSheetId="15">#REF!</definedName>
    <definedName name="EXHIB1B" localSheetId="14">#REF!</definedName>
    <definedName name="EXHIB1B" localSheetId="13">#REF!</definedName>
    <definedName name="EXHIB1B" localSheetId="12">#REF!</definedName>
    <definedName name="EXHIB1B">#REF!</definedName>
    <definedName name="EXHIB1C" localSheetId="5">#REF!</definedName>
    <definedName name="EXHIB1C" localSheetId="34">#REF!</definedName>
    <definedName name="EXHIB1C" localSheetId="33">#REF!</definedName>
    <definedName name="EXHIB1C" localSheetId="4">#REF!</definedName>
    <definedName name="EXHIB1C" localSheetId="32">#REF!</definedName>
    <definedName name="EXHIB1C" localSheetId="31">#REF!</definedName>
    <definedName name="EXHIB1C" localSheetId="3">#REF!</definedName>
    <definedName name="EXHIB1C" localSheetId="30">#REF!</definedName>
    <definedName name="EXHIB1C" localSheetId="29">#REF!</definedName>
    <definedName name="EXHIB1C" localSheetId="28">#REF!</definedName>
    <definedName name="EXHIB1C" localSheetId="27">#REF!</definedName>
    <definedName name="EXHIB1C" localSheetId="20">#REF!</definedName>
    <definedName name="EXHIB1C" localSheetId="19">#REF!</definedName>
    <definedName name="EXHIB1C" localSheetId="18">#REF!</definedName>
    <definedName name="EXHIB1C" localSheetId="17">#REF!</definedName>
    <definedName name="EXHIB1C" localSheetId="16">#REF!</definedName>
    <definedName name="EXHIB1C" localSheetId="15">#REF!</definedName>
    <definedName name="EXHIB1C" localSheetId="14">#REF!</definedName>
    <definedName name="EXHIB1C" localSheetId="13">#REF!</definedName>
    <definedName name="EXHIB1C" localSheetId="12">#REF!</definedName>
    <definedName name="EXHIB1C" localSheetId="2">#REF!</definedName>
    <definedName name="EXHIB1C">#REF!</definedName>
    <definedName name="EXHIB2B" localSheetId="5">'[11]COMBINED CAP RCAVG'!#REF!</definedName>
    <definedName name="EXHIB2B" localSheetId="34">'[11]COMBINED CAP RCAVG'!#REF!</definedName>
    <definedName name="EXHIB2B" localSheetId="33">'[11]COMBINED CAP RCAVG'!#REF!</definedName>
    <definedName name="EXHIB2B" localSheetId="4">'[11]COMBINED CAP RCAVG'!#REF!</definedName>
    <definedName name="EXHIB2B" localSheetId="32">'[11]COMBINED CAP RCAVG'!#REF!</definedName>
    <definedName name="EXHIB2B" localSheetId="31">'[11]COMBINED CAP RCAVG'!#REF!</definedName>
    <definedName name="EXHIB2B" localSheetId="3">'[11]COMBINED CAP RCAVG'!#REF!</definedName>
    <definedName name="EXHIB2B" localSheetId="30">'[11]COMBINED CAP RCAVG'!#REF!</definedName>
    <definedName name="EXHIB2B" localSheetId="29">'[11]COMBINED CAP RCAVG'!#REF!</definedName>
    <definedName name="EXHIB2B" localSheetId="28">'[11]COMBINED CAP RCAVG'!#REF!</definedName>
    <definedName name="EXHIB2B" localSheetId="27">'[11]COMBINED CAP RCAVG'!#REF!</definedName>
    <definedName name="EXHIB2B" localSheetId="15">'[11]COMBINED CAP RCAVG'!#REF!</definedName>
    <definedName name="EXHIB2B" localSheetId="14">'[11]COMBINED CAP RCAVG'!#REF!</definedName>
    <definedName name="EXHIB2B" localSheetId="13">'[11]COMBINED CAP RCAVG'!#REF!</definedName>
    <definedName name="EXHIB2B" localSheetId="2">'[11]COMBINED CAP RCAVG'!#REF!</definedName>
    <definedName name="EXHIB2B">'[11]COMBINED CAP RCAVG'!#REF!</definedName>
    <definedName name="EXHIB3">#REF!</definedName>
    <definedName name="EXHIB6" localSheetId="5">'[12]not used Ex 4'!#REF!</definedName>
    <definedName name="EXHIB6" localSheetId="34">'[12]not used Ex 4'!#REF!</definedName>
    <definedName name="EXHIB6" localSheetId="33">'[12]not used Ex 4'!#REF!</definedName>
    <definedName name="EXHIB6" localSheetId="4">'[12]not used Ex 4'!#REF!</definedName>
    <definedName name="EXHIB6" localSheetId="32">'[12]not used Ex 4'!#REF!</definedName>
    <definedName name="EXHIB6" localSheetId="31">'[12]not used Ex 4'!#REF!</definedName>
    <definedName name="EXHIB6" localSheetId="3">'[12]not used Ex 4'!#REF!</definedName>
    <definedName name="EXHIB6" localSheetId="30">'[12]not used Ex 4'!#REF!</definedName>
    <definedName name="EXHIB6" localSheetId="29">'[12]not used Ex 4'!#REF!</definedName>
    <definedName name="EXHIB6" localSheetId="28">'[12]not used Ex 4'!#REF!</definedName>
    <definedName name="EXHIB6" localSheetId="27">'[12]not used Ex 4'!#REF!</definedName>
    <definedName name="EXHIB6" localSheetId="15">'[12]not used Ex 4'!#REF!</definedName>
    <definedName name="EXHIB6" localSheetId="14">'[12]not used Ex 4'!#REF!</definedName>
    <definedName name="EXHIB6" localSheetId="13">'[12]not used Ex 4'!#REF!</definedName>
    <definedName name="EXHIB6" localSheetId="2">'[12]not used Ex 4'!#REF!</definedName>
    <definedName name="EXHIB6">'[12]not used Ex 4'!#REF!</definedName>
    <definedName name="F">#REF!</definedName>
    <definedName name="Fac_2000" localSheetId="5">'[6]LGE Base Fuel &amp; FAC'!#REF!</definedName>
    <definedName name="Fac_2000" localSheetId="34">'[6]LGE Base Fuel &amp; FAC'!#REF!</definedName>
    <definedName name="Fac_2000" localSheetId="33">'[6]LGE Base Fuel &amp; FAC'!#REF!</definedName>
    <definedName name="Fac_2000" localSheetId="4">'[6]LGE Base Fuel &amp; FAC'!#REF!</definedName>
    <definedName name="Fac_2000" localSheetId="32">'[6]LGE Base Fuel &amp; FAC'!#REF!</definedName>
    <definedName name="Fac_2000" localSheetId="31">'[6]LGE Base Fuel &amp; FAC'!#REF!</definedName>
    <definedName name="Fac_2000" localSheetId="3">'[6]LGE Base Fuel &amp; FAC'!#REF!</definedName>
    <definedName name="Fac_2000" localSheetId="30">'[6]LGE Base Fuel &amp; FAC'!#REF!</definedName>
    <definedName name="Fac_2000" localSheetId="29">'[6]LGE Base Fuel &amp; FAC'!#REF!</definedName>
    <definedName name="Fac_2000" localSheetId="28">'[6]LGE Base Fuel &amp; FAC'!#REF!</definedName>
    <definedName name="Fac_2000" localSheetId="27">'[6]LGE Base Fuel &amp; FAC'!#REF!</definedName>
    <definedName name="Fac_2000" localSheetId="15">'[6]LGE Base Fuel &amp; FAC'!#REF!</definedName>
    <definedName name="Fac_2000" localSheetId="14">'[6]LGE Base Fuel &amp; FAC'!#REF!</definedName>
    <definedName name="Fac_2000" localSheetId="13">'[6]LGE Base Fuel &amp; FAC'!#REF!</definedName>
    <definedName name="Fac_2000" localSheetId="2">'[6]LGE Base Fuel &amp; FAC'!#REF!</definedName>
    <definedName name="Fac_2000">'[6]LGE Base Fuel &amp; FAC'!#REF!</definedName>
    <definedName name="fac_annual_ku" localSheetId="5">'[6]LGE Base Fuel &amp; FAC'!#REF!</definedName>
    <definedName name="fac_annual_ku" localSheetId="34">'[6]LGE Base Fuel &amp; FAC'!#REF!</definedName>
    <definedName name="fac_annual_ku" localSheetId="33">'[6]LGE Base Fuel &amp; FAC'!#REF!</definedName>
    <definedName name="fac_annual_ku" localSheetId="4">'[6]LGE Base Fuel &amp; FAC'!#REF!</definedName>
    <definedName name="fac_annual_ku" localSheetId="32">'[6]LGE Base Fuel &amp; FAC'!#REF!</definedName>
    <definedName name="fac_annual_ku" localSheetId="31">'[6]LGE Base Fuel &amp; FAC'!#REF!</definedName>
    <definedName name="fac_annual_ku" localSheetId="3">'[6]LGE Base Fuel &amp; FAC'!#REF!</definedName>
    <definedName name="fac_annual_ku" localSheetId="30">'[6]LGE Base Fuel &amp; FAC'!#REF!</definedName>
    <definedName name="fac_annual_ku" localSheetId="29">'[6]LGE Base Fuel &amp; FAC'!#REF!</definedName>
    <definedName name="fac_annual_ku" localSheetId="28">'[6]LGE Base Fuel &amp; FAC'!#REF!</definedName>
    <definedName name="fac_annual_ku" localSheetId="27">'[6]LGE Base Fuel &amp; FAC'!#REF!</definedName>
    <definedName name="fac_annual_ku" localSheetId="15">'[6]LGE Base Fuel &amp; FAC'!#REF!</definedName>
    <definedName name="fac_annual_ku" localSheetId="14">'[6]LGE Base Fuel &amp; FAC'!#REF!</definedName>
    <definedName name="fac_annual_ku" localSheetId="13">'[6]LGE Base Fuel &amp; FAC'!#REF!</definedName>
    <definedName name="fac_annual_ku" localSheetId="2">'[6]LGE Base Fuel &amp; FAC'!#REF!</definedName>
    <definedName name="fac_annual_ku">'[6]LGE Base Fuel &amp; FAC'!#REF!</definedName>
    <definedName name="fac_hide_ku_01" localSheetId="5">'[6]LGE Base Fuel &amp; FAC'!#REF!</definedName>
    <definedName name="fac_hide_ku_01" localSheetId="34">'[6]LGE Base Fuel &amp; FAC'!#REF!</definedName>
    <definedName name="fac_hide_ku_01" localSheetId="33">'[6]LGE Base Fuel &amp; FAC'!#REF!</definedName>
    <definedName name="fac_hide_ku_01" localSheetId="4">'[6]LGE Base Fuel &amp; FAC'!#REF!</definedName>
    <definedName name="fac_hide_ku_01" localSheetId="32">'[6]LGE Base Fuel &amp; FAC'!#REF!</definedName>
    <definedName name="fac_hide_ku_01" localSheetId="31">'[6]LGE Base Fuel &amp; FAC'!#REF!</definedName>
    <definedName name="fac_hide_ku_01" localSheetId="3">'[6]LGE Base Fuel &amp; FAC'!#REF!</definedName>
    <definedName name="fac_hide_ku_01" localSheetId="30">'[6]LGE Base Fuel &amp; FAC'!#REF!</definedName>
    <definedName name="fac_hide_ku_01" localSheetId="29">'[6]LGE Base Fuel &amp; FAC'!#REF!</definedName>
    <definedName name="fac_hide_ku_01" localSheetId="28">'[6]LGE Base Fuel &amp; FAC'!#REF!</definedName>
    <definedName name="fac_hide_ku_01" localSheetId="27">'[6]LGE Base Fuel &amp; FAC'!#REF!</definedName>
    <definedName name="fac_hide_ku_01" localSheetId="15">'[6]LGE Base Fuel &amp; FAC'!#REF!</definedName>
    <definedName name="fac_hide_ku_01" localSheetId="14">'[6]LGE Base Fuel &amp; FAC'!#REF!</definedName>
    <definedName name="fac_hide_ku_01" localSheetId="13">'[6]LGE Base Fuel &amp; FAC'!#REF!</definedName>
    <definedName name="fac_hide_ku_01" localSheetId="2">'[6]LGE Base Fuel &amp; FAC'!#REF!</definedName>
    <definedName name="fac_hide_ku_01">'[6]LGE Base Fuel &amp; FAC'!#REF!</definedName>
    <definedName name="fac_hide_lge_01" localSheetId="5">'[6]LGE Base Fuel &amp; FAC'!#REF!</definedName>
    <definedName name="fac_hide_lge_01" localSheetId="34">'[6]LGE Base Fuel &amp; FAC'!#REF!</definedName>
    <definedName name="fac_hide_lge_01" localSheetId="33">'[6]LGE Base Fuel &amp; FAC'!#REF!</definedName>
    <definedName name="fac_hide_lge_01" localSheetId="4">'[6]LGE Base Fuel &amp; FAC'!#REF!</definedName>
    <definedName name="fac_hide_lge_01" localSheetId="32">'[6]LGE Base Fuel &amp; FAC'!#REF!</definedName>
    <definedName name="fac_hide_lge_01" localSheetId="31">'[6]LGE Base Fuel &amp; FAC'!#REF!</definedName>
    <definedName name="fac_hide_lge_01" localSheetId="3">'[6]LGE Base Fuel &amp; FAC'!#REF!</definedName>
    <definedName name="fac_hide_lge_01" localSheetId="30">'[6]LGE Base Fuel &amp; FAC'!#REF!</definedName>
    <definedName name="fac_hide_lge_01" localSheetId="29">'[6]LGE Base Fuel &amp; FAC'!#REF!</definedName>
    <definedName name="fac_hide_lge_01" localSheetId="28">'[6]LGE Base Fuel &amp; FAC'!#REF!</definedName>
    <definedName name="fac_hide_lge_01" localSheetId="27">'[6]LGE Base Fuel &amp; FAC'!#REF!</definedName>
    <definedName name="fac_hide_lge_01" localSheetId="15">'[6]LGE Base Fuel &amp; FAC'!#REF!</definedName>
    <definedName name="fac_hide_lge_01" localSheetId="14">'[6]LGE Base Fuel &amp; FAC'!#REF!</definedName>
    <definedName name="fac_hide_lge_01" localSheetId="13">'[6]LGE Base Fuel &amp; FAC'!#REF!</definedName>
    <definedName name="fac_hide_lge_01" localSheetId="2">'[6]LGE Base Fuel &amp; FAC'!#REF!</definedName>
    <definedName name="fac_hide_lge_01">'[6]LGE Base Fuel &amp; FAC'!#REF!</definedName>
    <definedName name="fac_ku_01" localSheetId="5">'[6]LGE Base Fuel &amp; FAC'!#REF!</definedName>
    <definedName name="fac_ku_01" localSheetId="34">'[6]LGE Base Fuel &amp; FAC'!#REF!</definedName>
    <definedName name="fac_ku_01" localSheetId="33">'[6]LGE Base Fuel &amp; FAC'!#REF!</definedName>
    <definedName name="fac_ku_01" localSheetId="4">'[6]LGE Base Fuel &amp; FAC'!#REF!</definedName>
    <definedName name="fac_ku_01" localSheetId="32">'[6]LGE Base Fuel &amp; FAC'!#REF!</definedName>
    <definedName name="fac_ku_01" localSheetId="31">'[6]LGE Base Fuel &amp; FAC'!#REF!</definedName>
    <definedName name="fac_ku_01" localSheetId="3">'[6]LGE Base Fuel &amp; FAC'!#REF!</definedName>
    <definedName name="fac_ku_01" localSheetId="30">'[6]LGE Base Fuel &amp; FAC'!#REF!</definedName>
    <definedName name="fac_ku_01" localSheetId="29">'[6]LGE Base Fuel &amp; FAC'!#REF!</definedName>
    <definedName name="fac_ku_01" localSheetId="28">'[6]LGE Base Fuel &amp; FAC'!#REF!</definedName>
    <definedName name="fac_ku_01" localSheetId="27">'[6]LGE Base Fuel &amp; FAC'!#REF!</definedName>
    <definedName name="fac_ku_01" localSheetId="15">'[6]LGE Base Fuel &amp; FAC'!#REF!</definedName>
    <definedName name="fac_ku_01" localSheetId="14">'[6]LGE Base Fuel &amp; FAC'!#REF!</definedName>
    <definedName name="fac_ku_01" localSheetId="13">'[6]LGE Base Fuel &amp; FAC'!#REF!</definedName>
    <definedName name="fac_ku_01" localSheetId="2">'[6]LGE Base Fuel &amp; FAC'!#REF!</definedName>
    <definedName name="fac_ku_01">'[6]LGE Base Fuel &amp; FAC'!#REF!</definedName>
    <definedName name="February" localSheetId="36">#REF!</definedName>
    <definedName name="February" localSheetId="35">#REF!</definedName>
    <definedName name="February" localSheetId="34">#REF!</definedName>
    <definedName name="February" localSheetId="33">#REF!</definedName>
    <definedName name="February" localSheetId="31">#REF!</definedName>
    <definedName name="February" localSheetId="30">#REF!</definedName>
    <definedName name="February" localSheetId="29">#REF!</definedName>
    <definedName name="February" localSheetId="28">#REF!</definedName>
    <definedName name="February" localSheetId="27">#REF!</definedName>
    <definedName name="February">#REF!</definedName>
    <definedName name="FOOTER" localSheetId="5">#REF!</definedName>
    <definedName name="FOOTER" localSheetId="34">#REF!</definedName>
    <definedName name="FOOTER" localSheetId="33">#REF!</definedName>
    <definedName name="FOOTER" localSheetId="4">#REF!</definedName>
    <definedName name="FOOTER" localSheetId="32">#REF!</definedName>
    <definedName name="FOOTER" localSheetId="31">#REF!</definedName>
    <definedName name="FOOTER" localSheetId="3">#REF!</definedName>
    <definedName name="FOOTER" localSheetId="30">#REF!</definedName>
    <definedName name="FOOTER" localSheetId="29">#REF!</definedName>
    <definedName name="FOOTER" localSheetId="28">#REF!</definedName>
    <definedName name="FOOTER" localSheetId="27">#REF!</definedName>
    <definedName name="FOOTER" localSheetId="15">#REF!</definedName>
    <definedName name="FOOTER" localSheetId="14">#REF!</definedName>
    <definedName name="FOOTER" localSheetId="13">#REF!</definedName>
    <definedName name="FOOTER" localSheetId="2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5">#REF!</definedName>
    <definedName name="gas_data" localSheetId="34">#REF!</definedName>
    <definedName name="gas_data" localSheetId="33">#REF!</definedName>
    <definedName name="gas_data" localSheetId="4">#REF!</definedName>
    <definedName name="gas_data" localSheetId="32">#REF!</definedName>
    <definedName name="gas_data" localSheetId="31">#REF!</definedName>
    <definedName name="gas_data" localSheetId="3">#REF!</definedName>
    <definedName name="gas_data" localSheetId="30">#REF!</definedName>
    <definedName name="gas_data" localSheetId="29">#REF!</definedName>
    <definedName name="gas_data" localSheetId="28">#REF!</definedName>
    <definedName name="gas_data" localSheetId="27">#REF!</definedName>
    <definedName name="gas_data" localSheetId="15">#REF!</definedName>
    <definedName name="gas_data" localSheetId="14">#REF!</definedName>
    <definedName name="gas_data" localSheetId="13">#REF!</definedName>
    <definedName name="gas_data" localSheetId="2">#REF!</definedName>
    <definedName name="gas_data">#REF!</definedName>
    <definedName name="Gas_Monthly_NetRevenue">#REF!</definedName>
    <definedName name="GAS_NET_OP_INC" localSheetId="5">#REF!</definedName>
    <definedName name="GAS_NET_OP_INC" localSheetId="34">#REF!</definedName>
    <definedName name="GAS_NET_OP_INC" localSheetId="33">#REF!</definedName>
    <definedName name="GAS_NET_OP_INC" localSheetId="4">#REF!</definedName>
    <definedName name="GAS_NET_OP_INC" localSheetId="32">#REF!</definedName>
    <definedName name="GAS_NET_OP_INC" localSheetId="31">#REF!</definedName>
    <definedName name="GAS_NET_OP_INC" localSheetId="3">#REF!</definedName>
    <definedName name="GAS_NET_OP_INC" localSheetId="30">#REF!</definedName>
    <definedName name="GAS_NET_OP_INC" localSheetId="29">#REF!</definedName>
    <definedName name="GAS_NET_OP_INC" localSheetId="28">#REF!</definedName>
    <definedName name="GAS_NET_OP_INC" localSheetId="27">#REF!</definedName>
    <definedName name="GAS_NET_OP_INC" localSheetId="20">#REF!</definedName>
    <definedName name="GAS_NET_OP_INC" localSheetId="19">#REF!</definedName>
    <definedName name="GAS_NET_OP_INC" localSheetId="18">#REF!</definedName>
    <definedName name="GAS_NET_OP_INC" localSheetId="17">#REF!</definedName>
    <definedName name="GAS_NET_OP_INC" localSheetId="16">#REF!</definedName>
    <definedName name="GAS_NET_OP_INC" localSheetId="15">#REF!</definedName>
    <definedName name="GAS_NET_OP_INC" localSheetId="14">#REF!</definedName>
    <definedName name="GAS_NET_OP_INC" localSheetId="13">#REF!</definedName>
    <definedName name="GAS_NET_OP_INC" localSheetId="12">#REF!</definedName>
    <definedName name="GAS_NET_OP_INC" localSheetId="2">#REF!</definedName>
    <definedName name="GAS_NET_OP_INC">#REF!</definedName>
    <definedName name="Gas_Sales_Revenues">#REF!</definedName>
    <definedName name="GenEx_Annual_KU" localSheetId="5">'[6]LGE Cost of Sales'!#REF!</definedName>
    <definedName name="GenEx_Annual_KU" localSheetId="34">'[6]LGE Cost of Sales'!#REF!</definedName>
    <definedName name="GenEx_Annual_KU" localSheetId="33">'[6]LGE Cost of Sales'!#REF!</definedName>
    <definedName name="GenEx_Annual_KU" localSheetId="4">'[6]LGE Cost of Sales'!#REF!</definedName>
    <definedName name="GenEx_Annual_KU" localSheetId="32">'[6]LGE Cost of Sales'!#REF!</definedName>
    <definedName name="GenEx_Annual_KU" localSheetId="31">'[6]LGE Cost of Sales'!#REF!</definedName>
    <definedName name="GenEx_Annual_KU" localSheetId="3">'[6]LGE Cost of Sales'!#REF!</definedName>
    <definedName name="GenEx_Annual_KU" localSheetId="30">'[6]LGE Cost of Sales'!#REF!</definedName>
    <definedName name="GenEx_Annual_KU" localSheetId="29">'[6]LGE Cost of Sales'!#REF!</definedName>
    <definedName name="GenEx_Annual_KU" localSheetId="28">'[6]LGE Cost of Sales'!#REF!</definedName>
    <definedName name="GenEx_Annual_KU" localSheetId="27">'[6]LGE Cost of Sales'!#REF!</definedName>
    <definedName name="GenEx_Annual_KU" localSheetId="15">'[6]LGE Cost of Sales'!#REF!</definedName>
    <definedName name="GenEx_Annual_KU" localSheetId="14">'[6]LGE Cost of Sales'!#REF!</definedName>
    <definedName name="GenEx_Annual_KU" localSheetId="13">'[6]LGE Cost of Sales'!#REF!</definedName>
    <definedName name="GenEx_Annual_KU" localSheetId="2">'[6]LGE Cost of Sales'!#REF!</definedName>
    <definedName name="GenEx_Annual_KU">'[6]LGE Cost of Sales'!#REF!</definedName>
    <definedName name="genex_hide_ku_01" localSheetId="5">'[6]LGE Cost of Sales'!#REF!</definedName>
    <definedName name="genex_hide_ku_01" localSheetId="34">'[6]LGE Cost of Sales'!#REF!</definedName>
    <definedName name="genex_hide_ku_01" localSheetId="33">'[6]LGE Cost of Sales'!#REF!</definedName>
    <definedName name="genex_hide_ku_01" localSheetId="4">'[6]LGE Cost of Sales'!#REF!</definedName>
    <definedName name="genex_hide_ku_01" localSheetId="32">'[6]LGE Cost of Sales'!#REF!</definedName>
    <definedName name="genex_hide_ku_01" localSheetId="31">'[6]LGE Cost of Sales'!#REF!</definedName>
    <definedName name="genex_hide_ku_01" localSheetId="3">'[6]LGE Cost of Sales'!#REF!</definedName>
    <definedName name="genex_hide_ku_01" localSheetId="30">'[6]LGE Cost of Sales'!#REF!</definedName>
    <definedName name="genex_hide_ku_01" localSheetId="29">'[6]LGE Cost of Sales'!#REF!</definedName>
    <definedName name="genex_hide_ku_01" localSheetId="28">'[6]LGE Cost of Sales'!#REF!</definedName>
    <definedName name="genex_hide_ku_01" localSheetId="27">'[6]LGE Cost of Sales'!#REF!</definedName>
    <definedName name="genex_hide_ku_01" localSheetId="15">'[6]LGE Cost of Sales'!#REF!</definedName>
    <definedName name="genex_hide_ku_01" localSheetId="14">'[6]LGE Cost of Sales'!#REF!</definedName>
    <definedName name="genex_hide_ku_01" localSheetId="13">'[6]LGE Cost of Sales'!#REF!</definedName>
    <definedName name="genex_hide_ku_01" localSheetId="2">'[6]LGE Cost of Sales'!#REF!</definedName>
    <definedName name="genex_hide_ku_01">'[6]LGE Cost of Sales'!#REF!</definedName>
    <definedName name="genex_hide_lge_01" localSheetId="5">'[6]LGE Cost of Sales'!#REF!</definedName>
    <definedName name="genex_hide_lge_01" localSheetId="34">'[6]LGE Cost of Sales'!#REF!</definedName>
    <definedName name="genex_hide_lge_01" localSheetId="33">'[6]LGE Cost of Sales'!#REF!</definedName>
    <definedName name="genex_hide_lge_01" localSheetId="4">'[6]LGE Cost of Sales'!#REF!</definedName>
    <definedName name="genex_hide_lge_01" localSheetId="32">'[6]LGE Cost of Sales'!#REF!</definedName>
    <definedName name="genex_hide_lge_01" localSheetId="31">'[6]LGE Cost of Sales'!#REF!</definedName>
    <definedName name="genex_hide_lge_01" localSheetId="3">'[6]LGE Cost of Sales'!#REF!</definedName>
    <definedName name="genex_hide_lge_01" localSheetId="30">'[6]LGE Cost of Sales'!#REF!</definedName>
    <definedName name="genex_hide_lge_01" localSheetId="29">'[6]LGE Cost of Sales'!#REF!</definedName>
    <definedName name="genex_hide_lge_01" localSheetId="28">'[6]LGE Cost of Sales'!#REF!</definedName>
    <definedName name="genex_hide_lge_01" localSheetId="27">'[6]LGE Cost of Sales'!#REF!</definedName>
    <definedName name="genex_hide_lge_01" localSheetId="15">'[6]LGE Cost of Sales'!#REF!</definedName>
    <definedName name="genex_hide_lge_01" localSheetId="14">'[6]LGE Cost of Sales'!#REF!</definedName>
    <definedName name="genex_hide_lge_01" localSheetId="13">'[6]LGE Cost of Sales'!#REF!</definedName>
    <definedName name="genex_hide_lge_01" localSheetId="2">'[6]LGE Cost of Sales'!#REF!</definedName>
    <definedName name="genex_hide_lge_01">'[6]LGE Cost of Sales'!#REF!</definedName>
    <definedName name="genex_ku_01" localSheetId="5">'[6]LGE Cost of Sales'!#REF!</definedName>
    <definedName name="genex_ku_01" localSheetId="34">'[6]LGE Cost of Sales'!#REF!</definedName>
    <definedName name="genex_ku_01" localSheetId="33">'[6]LGE Cost of Sales'!#REF!</definedName>
    <definedName name="genex_ku_01" localSheetId="4">'[6]LGE Cost of Sales'!#REF!</definedName>
    <definedName name="genex_ku_01" localSheetId="32">'[6]LGE Cost of Sales'!#REF!</definedName>
    <definedName name="genex_ku_01" localSheetId="31">'[6]LGE Cost of Sales'!#REF!</definedName>
    <definedName name="genex_ku_01" localSheetId="3">'[6]LGE Cost of Sales'!#REF!</definedName>
    <definedName name="genex_ku_01" localSheetId="30">'[6]LGE Cost of Sales'!#REF!</definedName>
    <definedName name="genex_ku_01" localSheetId="29">'[6]LGE Cost of Sales'!#REF!</definedName>
    <definedName name="genex_ku_01" localSheetId="28">'[6]LGE Cost of Sales'!#REF!</definedName>
    <definedName name="genex_ku_01" localSheetId="27">'[6]LGE Cost of Sales'!#REF!</definedName>
    <definedName name="genex_ku_01" localSheetId="15">'[6]LGE Cost of Sales'!#REF!</definedName>
    <definedName name="genex_ku_01" localSheetId="14">'[6]LGE Cost of Sales'!#REF!</definedName>
    <definedName name="genex_ku_01" localSheetId="13">'[6]LGE Cost of Sales'!#REF!</definedName>
    <definedName name="genex_ku_01" localSheetId="2">'[6]LGE Cost of Sales'!#REF!</definedName>
    <definedName name="genex_ku_01">'[6]LGE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[8]Input!$M$30</definedName>
    <definedName name="InputSec02">[8]Input!$M$40:$M$75</definedName>
    <definedName name="InputSec03">[8]Input!$K$87:$Q$89</definedName>
    <definedName name="InputSec04">[8]Input!$O$100:$Q$100</definedName>
    <definedName name="InputSec05A">[8]Input!$O$110:$Q$110</definedName>
    <definedName name="InputSec05B">[8]Input!$O$116:$Q$122</definedName>
    <definedName name="InputSec06">[8]Input!$M$133:$O$142</definedName>
    <definedName name="InputSec07">[8]Input!$O$151:$O$181</definedName>
    <definedName name="InputSec08A">[8]Input!$O$259:$O$283</definedName>
    <definedName name="InputSec08B">[8]Input!$G$296:$Q$296</definedName>
    <definedName name="InputSec08C">[8]Input!$I$306:$K$306</definedName>
    <definedName name="InputSec09A">[8]Input!$K$316:$Q$318</definedName>
    <definedName name="InputSec09B">[8]Input!$K$328:$M$330</definedName>
    <definedName name="InputSec10A">[8]Input!$K$345:$O$349</definedName>
    <definedName name="InputSec10B">[8]Input!$K$355:$O$355</definedName>
    <definedName name="InputSec10C">[8]Input!$K$362:$O$364</definedName>
    <definedName name="InputSec10D">[8]Input!$K$370:$O$370</definedName>
    <definedName name="InputSec11">[8]Input!$M$383:$O$391</definedName>
    <definedName name="InputSec12A">[8]Input!$M$406:$M$418</definedName>
    <definedName name="InputSec12B">[8]Input!$M$424</definedName>
    <definedName name="InputSec13">[8]Input!$M$433:$O$433</definedName>
    <definedName name="January" localSheetId="36">#REF!</definedName>
    <definedName name="January" localSheetId="35">#REF!</definedName>
    <definedName name="January" localSheetId="34">#REF!</definedName>
    <definedName name="January" localSheetId="33">#REF!</definedName>
    <definedName name="January" localSheetId="31">#REF!</definedName>
    <definedName name="January" localSheetId="30">#REF!</definedName>
    <definedName name="January" localSheetId="29">#REF!</definedName>
    <definedName name="January" localSheetId="28">#REF!</definedName>
    <definedName name="January" localSheetId="27">#REF!</definedName>
    <definedName name="January">#REF!</definedName>
    <definedName name="JE">#REF!</definedName>
    <definedName name="KUELIMBAL" localSheetId="5">#REF!</definedName>
    <definedName name="KUELIMBAL" localSheetId="34">#REF!</definedName>
    <definedName name="KUELIMBAL" localSheetId="33">#REF!</definedName>
    <definedName name="KUELIMBAL" localSheetId="4">#REF!</definedName>
    <definedName name="KUELIMBAL" localSheetId="32">#REF!</definedName>
    <definedName name="KUELIMBAL" localSheetId="31">#REF!</definedName>
    <definedName name="KUELIMBAL" localSheetId="3">#REF!</definedName>
    <definedName name="KUELIMBAL" localSheetId="30">#REF!</definedName>
    <definedName name="KUELIMBAL" localSheetId="29">#REF!</definedName>
    <definedName name="KUELIMBAL" localSheetId="28">#REF!</definedName>
    <definedName name="KUELIMBAL" localSheetId="27">#REF!</definedName>
    <definedName name="KUELIMBAL" localSheetId="15">#REF!</definedName>
    <definedName name="KUELIMBAL" localSheetId="14">#REF!</definedName>
    <definedName name="KUELIMBAL" localSheetId="13">#REF!</definedName>
    <definedName name="KUELIMBAL" localSheetId="2">#REF!</definedName>
    <definedName name="KUELIMBAL">#REF!</definedName>
    <definedName name="KUELIMCASH" localSheetId="5">#REF!</definedName>
    <definedName name="KUELIMCASH" localSheetId="34">#REF!</definedName>
    <definedName name="KUELIMCASH" localSheetId="33">#REF!</definedName>
    <definedName name="KUELIMCASH" localSheetId="4">#REF!</definedName>
    <definedName name="KUELIMCASH" localSheetId="32">#REF!</definedName>
    <definedName name="KUELIMCASH" localSheetId="31">#REF!</definedName>
    <definedName name="KUELIMCASH" localSheetId="3">#REF!</definedName>
    <definedName name="KUELIMCASH" localSheetId="30">#REF!</definedName>
    <definedName name="KUELIMCASH" localSheetId="29">#REF!</definedName>
    <definedName name="KUELIMCASH" localSheetId="28">#REF!</definedName>
    <definedName name="KUELIMCASH" localSheetId="27">#REF!</definedName>
    <definedName name="KUELIMCASH" localSheetId="15">#REF!</definedName>
    <definedName name="KUELIMCASH" localSheetId="14">#REF!</definedName>
    <definedName name="KUELIMCASH" localSheetId="13">#REF!</definedName>
    <definedName name="KUELIMCASH" localSheetId="2">#REF!</definedName>
    <definedName name="KUELIMCASH">#REF!</definedName>
    <definedName name="KUPWRGENIS">#REF!</definedName>
    <definedName name="KWHCol01">[8]KWHDistDatabase!$I$5:$I$425</definedName>
    <definedName name="KWHCol02">[8]KWHDistDatabase!$J$5:$J$425</definedName>
    <definedName name="KWHCol03">[8]KWHDistDatabase!$K$5:$K$425</definedName>
    <definedName name="KWHCol04">[8]KWHDistDatabase!$L$5:$L$425</definedName>
    <definedName name="KWHCol05">[8]KWHDistDatabase!$M$5:$M$425</definedName>
    <definedName name="KWHCol06">[8]KWHDistDatabase!$N$5:$N$425</definedName>
    <definedName name="KWHCol07">[8]KWHDistDatabase!$O$5:$O$425</definedName>
    <definedName name="KWHCol08">[8]KWHDistDatabase!$P$5:$P$425</definedName>
    <definedName name="KWHCol09">[8]KWHDistDatabase!$Q$5:$Q$425</definedName>
    <definedName name="KWHCol10">[8]KWHDistDatabase!$R$5:$R$425</definedName>
    <definedName name="KWHCol11">[8]KWHDistDatabase!$S$5:$S$425</definedName>
    <definedName name="KWHCol12">[8]KWHDistDatabase!$T$5:$T$425</definedName>
    <definedName name="KWHCol13">[8]KWHDistDatabase!$U$5:$U$425</definedName>
    <definedName name="KWHCol14">[8]KWHDistDatabase!$V$5:$V$425</definedName>
    <definedName name="KWHCol15">[8]KWHDistDatabase!$W$5:$W$425</definedName>
    <definedName name="KWHCol16">[8]KWHDistDatabase!$X$5:$X$425</definedName>
    <definedName name="KWHCol17">[8]KWHDistDatabase!$Y$5:$Y$425</definedName>
    <definedName name="KWHCol18">[8]KWHDistDatabase!$Z$5:$Z$425</definedName>
    <definedName name="KWHCol19">[8]KWHDistDatabase!$AA$5:$AA$425</definedName>
    <definedName name="KWHCol20">[8]KWHDistDatabase!$AB$5:$AB$425</definedName>
    <definedName name="KWHCol21">[8]KWHDistDatabase!$AC$5:$AC$425</definedName>
    <definedName name="KWHCol22">[8]KWHDistDatabase!$AD$5:$AD$425</definedName>
    <definedName name="KWHCol23">[8]KWHDistDatabase!$AE$5:$AE$425</definedName>
    <definedName name="KWHCol24">[8]KWHDistDatabase!$AF$5:$AF$425</definedName>
    <definedName name="KWHCol25">[8]KWHDistDatabase!$AG$5:$AG$425</definedName>
    <definedName name="KWHColTmp">[8]KWHDistDatabase!$AI$5:$AI$425</definedName>
    <definedName name="LEC">#REF!</definedName>
    <definedName name="LECBAL">#REF!</definedName>
    <definedName name="LECCASH">#REF!</definedName>
    <definedName name="LES">#REF!</definedName>
    <definedName name="LETTER">#REF!</definedName>
    <definedName name="LGE">#REF!</definedName>
    <definedName name="LNGCL" localSheetId="5">#REF!</definedName>
    <definedName name="LNGCL" localSheetId="34">#REF!</definedName>
    <definedName name="LNGCL" localSheetId="33">#REF!</definedName>
    <definedName name="LNGCL" localSheetId="4">#REF!</definedName>
    <definedName name="LNGCL" localSheetId="32">#REF!</definedName>
    <definedName name="LNGCL" localSheetId="31">#REF!</definedName>
    <definedName name="LNGCL" localSheetId="3">#REF!</definedName>
    <definedName name="LNGCL" localSheetId="30">#REF!</definedName>
    <definedName name="LNGCL" localSheetId="29">#REF!</definedName>
    <definedName name="LNGCL" localSheetId="28">#REF!</definedName>
    <definedName name="LNGCL" localSheetId="27">#REF!</definedName>
    <definedName name="LNGCL" localSheetId="15">#REF!</definedName>
    <definedName name="LNGCL" localSheetId="14">#REF!</definedName>
    <definedName name="LNGCL" localSheetId="13">#REF!</definedName>
    <definedName name="LNGCL" localSheetId="2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 localSheetId="5">#REF!</definedName>
    <definedName name="NET_OP_INC" localSheetId="34">#REF!</definedName>
    <definedName name="NET_OP_INC" localSheetId="33">#REF!</definedName>
    <definedName name="NET_OP_INC" localSheetId="4">#REF!</definedName>
    <definedName name="NET_OP_INC" localSheetId="32">#REF!</definedName>
    <definedName name="NET_OP_INC" localSheetId="31">#REF!</definedName>
    <definedName name="NET_OP_INC" localSheetId="3">#REF!</definedName>
    <definedName name="NET_OP_INC" localSheetId="30">#REF!</definedName>
    <definedName name="NET_OP_INC" localSheetId="29">#REF!</definedName>
    <definedName name="NET_OP_INC" localSheetId="28">#REF!</definedName>
    <definedName name="NET_OP_INC" localSheetId="27">#REF!</definedName>
    <definedName name="NET_OP_INC" localSheetId="20">#REF!</definedName>
    <definedName name="NET_OP_INC" localSheetId="19">#REF!</definedName>
    <definedName name="NET_OP_INC" localSheetId="18">#REF!</definedName>
    <definedName name="NET_OP_INC" localSheetId="17">#REF!</definedName>
    <definedName name="NET_OP_INC" localSheetId="16">#REF!</definedName>
    <definedName name="NET_OP_INC" localSheetId="15">#REF!</definedName>
    <definedName name="NET_OP_INC" localSheetId="14">#REF!</definedName>
    <definedName name="NET_OP_INC" localSheetId="13">#REF!</definedName>
    <definedName name="NET_OP_INC" localSheetId="12">#REF!</definedName>
    <definedName name="NET_OP_INC" localSheetId="2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5">'[6]LGE Gross Margin-Inc.Stmt'!#REF!</definedName>
    <definedName name="netrev_hide_ku_01" localSheetId="34">'[6]LGE Gross Margin-Inc.Stmt'!#REF!</definedName>
    <definedName name="netrev_hide_ku_01" localSheetId="33">'[6]LGE Gross Margin-Inc.Stmt'!#REF!</definedName>
    <definedName name="netrev_hide_ku_01" localSheetId="4">'[6]LGE Gross Margin-Inc.Stmt'!#REF!</definedName>
    <definedName name="netrev_hide_ku_01" localSheetId="32">'[6]LGE Gross Margin-Inc.Stmt'!#REF!</definedName>
    <definedName name="netrev_hide_ku_01" localSheetId="31">'[6]LGE Gross Margin-Inc.Stmt'!#REF!</definedName>
    <definedName name="netrev_hide_ku_01" localSheetId="3">'[6]LGE Gross Margin-Inc.Stmt'!#REF!</definedName>
    <definedName name="netrev_hide_ku_01" localSheetId="30">'[6]LGE Gross Margin-Inc.Stmt'!#REF!</definedName>
    <definedName name="netrev_hide_ku_01" localSheetId="29">'[6]LGE Gross Margin-Inc.Stmt'!#REF!</definedName>
    <definedName name="netrev_hide_ku_01" localSheetId="28">'[6]LGE Gross Margin-Inc.Stmt'!#REF!</definedName>
    <definedName name="netrev_hide_ku_01" localSheetId="27">'[6]LGE Gross Margin-Inc.Stmt'!#REF!</definedName>
    <definedName name="netrev_hide_ku_01" localSheetId="15">'[6]LGE Gross Margin-Inc.Stmt'!#REF!</definedName>
    <definedName name="netrev_hide_ku_01" localSheetId="14">'[6]LGE Gross Margin-Inc.Stmt'!#REF!</definedName>
    <definedName name="netrev_hide_ku_01" localSheetId="13">'[6]LGE Gross Margin-Inc.Stmt'!#REF!</definedName>
    <definedName name="netrev_hide_ku_01" localSheetId="2">'[6]LGE Gross Margin-Inc.Stmt'!#REF!</definedName>
    <definedName name="netrev_hide_ku_01">'[6]LGE Gross Margin-Inc.Stmt'!#REF!</definedName>
    <definedName name="netrev_hide_lge_01" localSheetId="5">'[6]LGE Gross Margin-Inc.Stmt'!#REF!</definedName>
    <definedName name="netrev_hide_lge_01" localSheetId="34">'[6]LGE Gross Margin-Inc.Stmt'!#REF!</definedName>
    <definedName name="netrev_hide_lge_01" localSheetId="33">'[6]LGE Gross Margin-Inc.Stmt'!#REF!</definedName>
    <definedName name="netrev_hide_lge_01" localSheetId="4">'[6]LGE Gross Margin-Inc.Stmt'!#REF!</definedName>
    <definedName name="netrev_hide_lge_01" localSheetId="32">'[6]LGE Gross Margin-Inc.Stmt'!#REF!</definedName>
    <definedName name="netrev_hide_lge_01" localSheetId="31">'[6]LGE Gross Margin-Inc.Stmt'!#REF!</definedName>
    <definedName name="netrev_hide_lge_01" localSheetId="3">'[6]LGE Gross Margin-Inc.Stmt'!#REF!</definedName>
    <definedName name="netrev_hide_lge_01" localSheetId="30">'[6]LGE Gross Margin-Inc.Stmt'!#REF!</definedName>
    <definedName name="netrev_hide_lge_01" localSheetId="29">'[6]LGE Gross Margin-Inc.Stmt'!#REF!</definedName>
    <definedName name="netrev_hide_lge_01" localSheetId="28">'[6]LGE Gross Margin-Inc.Stmt'!#REF!</definedName>
    <definedName name="netrev_hide_lge_01" localSheetId="27">'[6]LGE Gross Margin-Inc.Stmt'!#REF!</definedName>
    <definedName name="netrev_hide_lge_01" localSheetId="15">'[6]LGE Gross Margin-Inc.Stmt'!#REF!</definedName>
    <definedName name="netrev_hide_lge_01" localSheetId="14">'[6]LGE Gross Margin-Inc.Stmt'!#REF!</definedName>
    <definedName name="netrev_hide_lge_01" localSheetId="13">'[6]LGE Gross Margin-Inc.Stmt'!#REF!</definedName>
    <definedName name="netrev_hide_lge_01" localSheetId="2">'[6]LGE Gross Margin-Inc.Stmt'!#REF!</definedName>
    <definedName name="netrev_hide_lge_01">'[6]LGE Gross Margin-Inc.Stmt'!#REF!</definedName>
    <definedName name="netrev_ku_01" localSheetId="5">'[6]LGE Gross Margin-Inc.Stmt'!#REF!</definedName>
    <definedName name="netrev_ku_01" localSheetId="34">'[6]LGE Gross Margin-Inc.Stmt'!#REF!</definedName>
    <definedName name="netrev_ku_01" localSheetId="33">'[6]LGE Gross Margin-Inc.Stmt'!#REF!</definedName>
    <definedName name="netrev_ku_01" localSheetId="4">'[6]LGE Gross Margin-Inc.Stmt'!#REF!</definedName>
    <definedName name="netrev_ku_01" localSheetId="32">'[6]LGE Gross Margin-Inc.Stmt'!#REF!</definedName>
    <definedName name="netrev_ku_01" localSheetId="31">'[6]LGE Gross Margin-Inc.Stmt'!#REF!</definedName>
    <definedName name="netrev_ku_01" localSheetId="3">'[6]LGE Gross Margin-Inc.Stmt'!#REF!</definedName>
    <definedName name="netrev_ku_01" localSheetId="30">'[6]LGE Gross Margin-Inc.Stmt'!#REF!</definedName>
    <definedName name="netrev_ku_01" localSheetId="29">'[6]LGE Gross Margin-Inc.Stmt'!#REF!</definedName>
    <definedName name="netrev_ku_01" localSheetId="28">'[6]LGE Gross Margin-Inc.Stmt'!#REF!</definedName>
    <definedName name="netrev_ku_01" localSheetId="27">'[6]LGE Gross Margin-Inc.Stmt'!#REF!</definedName>
    <definedName name="netrev_ku_01" localSheetId="15">'[6]LGE Gross Margin-Inc.Stmt'!#REF!</definedName>
    <definedName name="netrev_ku_01" localSheetId="14">'[6]LGE Gross Margin-Inc.Stmt'!#REF!</definedName>
    <definedName name="netrev_ku_01" localSheetId="13">'[6]LGE Gross Margin-Inc.Stmt'!#REF!</definedName>
    <definedName name="netrev_ku_01" localSheetId="2">'[6]LGE Gross Margin-Inc.Stmt'!#REF!</definedName>
    <definedName name="netrev_ku_01">'[6]LGE Gross Margin-Inc.Stmt'!#REF!</definedName>
    <definedName name="NetRevenue_Annual_KU" localSheetId="5">'[6]LGE Gross Margin-Inc.Stmt'!#REF!</definedName>
    <definedName name="NetRevenue_Annual_KU" localSheetId="34">'[6]LGE Gross Margin-Inc.Stmt'!#REF!</definedName>
    <definedName name="NetRevenue_Annual_KU" localSheetId="33">'[6]LGE Gross Margin-Inc.Stmt'!#REF!</definedName>
    <definedName name="NetRevenue_Annual_KU" localSheetId="4">'[6]LGE Gross Margin-Inc.Stmt'!#REF!</definedName>
    <definedName name="NetRevenue_Annual_KU" localSheetId="32">'[6]LGE Gross Margin-Inc.Stmt'!#REF!</definedName>
    <definedName name="NetRevenue_Annual_KU" localSheetId="31">'[6]LGE Gross Margin-Inc.Stmt'!#REF!</definedName>
    <definedName name="NetRevenue_Annual_KU" localSheetId="3">'[6]LGE Gross Margin-Inc.Stmt'!#REF!</definedName>
    <definedName name="NetRevenue_Annual_KU" localSheetId="30">'[6]LGE Gross Margin-Inc.Stmt'!#REF!</definedName>
    <definedName name="NetRevenue_Annual_KU" localSheetId="29">'[6]LGE Gross Margin-Inc.Stmt'!#REF!</definedName>
    <definedName name="NetRevenue_Annual_KU" localSheetId="28">'[6]LGE Gross Margin-Inc.Stmt'!#REF!</definedName>
    <definedName name="NetRevenue_Annual_KU" localSheetId="27">'[6]LGE Gross Margin-Inc.Stmt'!#REF!</definedName>
    <definedName name="NetRevenue_Annual_KU" localSheetId="15">'[6]LGE Gross Margin-Inc.Stmt'!#REF!</definedName>
    <definedName name="NetRevenue_Annual_KU" localSheetId="14">'[6]LGE Gross Margin-Inc.Stmt'!#REF!</definedName>
    <definedName name="NetRevenue_Annual_KU" localSheetId="13">'[6]LGE Gross Margin-Inc.Stmt'!#REF!</definedName>
    <definedName name="NetRevenue_Annual_KU" localSheetId="2">'[6]LGE Gross Margin-Inc.Stmt'!#REF!</definedName>
    <definedName name="NetRevenue_Annual_KU">'[6]LGE Gross Margin-Inc.Stmt'!#REF!</definedName>
    <definedName name="NetRevenues">#REF!</definedName>
    <definedName name="NextReptgMo">[8]Input!$AE$19</definedName>
    <definedName name="NextReptgYr">[8]Input!$AE$21</definedName>
    <definedName name="Operating_Revenue_Dollars">#REF!</definedName>
    <definedName name="Operating_Sales__KWh">#REF!</definedName>
    <definedName name="PAGE" localSheetId="44">#REF!</definedName>
    <definedName name="PAGE" localSheetId="55">#REF!</definedName>
    <definedName name="PAGE" localSheetId="43">#REF!</definedName>
    <definedName name="PAGE" localSheetId="42">#REF!</definedName>
    <definedName name="PAGE" localSheetId="54">#REF!</definedName>
    <definedName name="PAGE" localSheetId="41">#REF!</definedName>
    <definedName name="PAGE" localSheetId="40">#REF!</definedName>
    <definedName name="PAGE" localSheetId="53">#REF!</definedName>
    <definedName name="PAGE" localSheetId="39">#REF!</definedName>
    <definedName name="PAGE" localSheetId="38">#REF!</definedName>
    <definedName name="PAGE" localSheetId="52">#REF!</definedName>
    <definedName name="PAGE" localSheetId="37">#REF!</definedName>
    <definedName name="PAGE" localSheetId="36">#REF!</definedName>
    <definedName name="PAGE" localSheetId="35">#REF!</definedName>
    <definedName name="PAGE" localSheetId="34">#REF!</definedName>
    <definedName name="PAGE" localSheetId="33">#REF!</definedName>
    <definedName name="PAGE" localSheetId="32">#REF!</definedName>
    <definedName name="PAGE" localSheetId="31">#REF!</definedName>
    <definedName name="PAGE" localSheetId="30">#REF!</definedName>
    <definedName name="PAGE" localSheetId="29">#REF!</definedName>
    <definedName name="PAGE" localSheetId="28">#REF!</definedName>
    <definedName name="PAGE" localSheetId="27">#REF!</definedName>
    <definedName name="PAGE">#REF!</definedName>
    <definedName name="page1" localSheetId="49">'2004 ECC'!$D$1:$W$110</definedName>
    <definedName name="page1" localSheetId="38">#REF!</definedName>
    <definedName name="page1" localSheetId="52">#REF!</definedName>
    <definedName name="page1" localSheetId="37">#REF!</definedName>
    <definedName name="page1" localSheetId="32">#REF!</definedName>
    <definedName name="page1">#REF!</definedName>
    <definedName name="PAGE10" localSheetId="44">#REF!</definedName>
    <definedName name="PAGE10" localSheetId="55">#REF!</definedName>
    <definedName name="PAGE10" localSheetId="43">#REF!</definedName>
    <definedName name="PAGE10" localSheetId="42">#REF!</definedName>
    <definedName name="PAGE10" localSheetId="54">#REF!</definedName>
    <definedName name="PAGE10" localSheetId="41">#REF!</definedName>
    <definedName name="PAGE10" localSheetId="40">#REF!</definedName>
    <definedName name="PAGE10" localSheetId="53">#REF!</definedName>
    <definedName name="PAGE10" localSheetId="39">#REF!</definedName>
    <definedName name="PAGE10" localSheetId="38">#REF!</definedName>
    <definedName name="PAGE10" localSheetId="52">#REF!</definedName>
    <definedName name="PAGE10" localSheetId="37">#REF!</definedName>
    <definedName name="PAGE10" localSheetId="36">#REF!</definedName>
    <definedName name="PAGE10" localSheetId="35">#REF!</definedName>
    <definedName name="PAGE10" localSheetId="34">#REF!</definedName>
    <definedName name="PAGE10" localSheetId="33">#REF!</definedName>
    <definedName name="PAGE10" localSheetId="32">#REF!</definedName>
    <definedName name="PAGE10" localSheetId="31">#REF!</definedName>
    <definedName name="PAGE10" localSheetId="30">#REF!</definedName>
    <definedName name="PAGE10" localSheetId="29">#REF!</definedName>
    <definedName name="PAGE10" localSheetId="28">#REF!</definedName>
    <definedName name="PAGE10" localSheetId="27">#REF!</definedName>
    <definedName name="PAGE10">#REF!</definedName>
    <definedName name="PAGE1B" localSheetId="5">[4]d20!#REF!</definedName>
    <definedName name="PAGE1B" localSheetId="34">[4]d20!#REF!</definedName>
    <definedName name="PAGE1B" localSheetId="33">[4]d20!#REF!</definedName>
    <definedName name="PAGE1B" localSheetId="4">[4]d20!#REF!</definedName>
    <definedName name="PAGE1B" localSheetId="32">[4]d20!#REF!</definedName>
    <definedName name="PAGE1B" localSheetId="31">[4]d20!#REF!</definedName>
    <definedName name="PAGE1B" localSheetId="3">[4]d20!#REF!</definedName>
    <definedName name="PAGE1B" localSheetId="30">[4]d20!#REF!</definedName>
    <definedName name="PAGE1B" localSheetId="29">[4]d20!#REF!</definedName>
    <definedName name="PAGE1B" localSheetId="28">[4]d20!#REF!</definedName>
    <definedName name="PAGE1B" localSheetId="27">[4]d20!#REF!</definedName>
    <definedName name="PAGE1B" localSheetId="15">[4]d20!#REF!</definedName>
    <definedName name="PAGE1B" localSheetId="14">[4]d20!#REF!</definedName>
    <definedName name="PAGE1B" localSheetId="13">[4]d20!#REF!</definedName>
    <definedName name="PAGE1B" localSheetId="2">[4]d20!#REF!</definedName>
    <definedName name="PAGE1B">[4]d20!#REF!</definedName>
    <definedName name="page2">#REF!</definedName>
    <definedName name="PAGE3">#REF!</definedName>
    <definedName name="PAGE7" localSheetId="44">#REF!</definedName>
    <definedName name="PAGE7" localSheetId="55">#REF!</definedName>
    <definedName name="PAGE7" localSheetId="43">#REF!</definedName>
    <definedName name="PAGE7" localSheetId="42">#REF!</definedName>
    <definedName name="PAGE7" localSheetId="54">#REF!</definedName>
    <definedName name="PAGE7" localSheetId="41">#REF!</definedName>
    <definedName name="PAGE7" localSheetId="40">#REF!</definedName>
    <definedName name="PAGE7" localSheetId="53">#REF!</definedName>
    <definedName name="PAGE7" localSheetId="39">#REF!</definedName>
    <definedName name="PAGE7" localSheetId="38">#REF!</definedName>
    <definedName name="PAGE7" localSheetId="52">#REF!</definedName>
    <definedName name="PAGE7" localSheetId="37">#REF!</definedName>
    <definedName name="PAGE7" localSheetId="36">#REF!</definedName>
    <definedName name="PAGE7" localSheetId="35">#REF!</definedName>
    <definedName name="PAGE7" localSheetId="34">#REF!</definedName>
    <definedName name="PAGE7" localSheetId="33">#REF!</definedName>
    <definedName name="PAGE7" localSheetId="32">#REF!</definedName>
    <definedName name="PAGE7" localSheetId="31">#REF!</definedName>
    <definedName name="PAGE7" localSheetId="30">#REF!</definedName>
    <definedName name="PAGE7" localSheetId="29">#REF!</definedName>
    <definedName name="PAGE7" localSheetId="28">#REF!</definedName>
    <definedName name="PAGE7" localSheetId="27">#REF!</definedName>
    <definedName name="PAGE7">#REF!</definedName>
    <definedName name="page8" localSheetId="44">#REF!</definedName>
    <definedName name="page8" localSheetId="55">#REF!</definedName>
    <definedName name="page8" localSheetId="43">#REF!</definedName>
    <definedName name="page8" localSheetId="42">#REF!</definedName>
    <definedName name="page8" localSheetId="54">#REF!</definedName>
    <definedName name="page8" localSheetId="41">#REF!</definedName>
    <definedName name="page8" localSheetId="40">#REF!</definedName>
    <definedName name="page8" localSheetId="53">#REF!</definedName>
    <definedName name="page8" localSheetId="39">#REF!</definedName>
    <definedName name="page8" localSheetId="38">#REF!</definedName>
    <definedName name="page8" localSheetId="52">#REF!</definedName>
    <definedName name="page8" localSheetId="37">#REF!</definedName>
    <definedName name="page8" localSheetId="36">#REF!</definedName>
    <definedName name="page8" localSheetId="35">#REF!</definedName>
    <definedName name="page8" localSheetId="34">#REF!</definedName>
    <definedName name="page8" localSheetId="33">#REF!</definedName>
    <definedName name="page8" localSheetId="32">#REF!</definedName>
    <definedName name="page8" localSheetId="31">#REF!</definedName>
    <definedName name="page8" localSheetId="30">#REF!</definedName>
    <definedName name="page8" localSheetId="29">#REF!</definedName>
    <definedName name="page8" localSheetId="28">#REF!</definedName>
    <definedName name="page8" localSheetId="27">#REF!</definedName>
    <definedName name="page8">#REF!</definedName>
    <definedName name="PAGE9" localSheetId="44">#REF!</definedName>
    <definedName name="PAGE9" localSheetId="55">#REF!</definedName>
    <definedName name="PAGE9" localSheetId="43">#REF!</definedName>
    <definedName name="PAGE9" localSheetId="42">#REF!</definedName>
    <definedName name="PAGE9" localSheetId="54">#REF!</definedName>
    <definedName name="PAGE9" localSheetId="41">#REF!</definedName>
    <definedName name="PAGE9" localSheetId="40">#REF!</definedName>
    <definedName name="PAGE9" localSheetId="53">#REF!</definedName>
    <definedName name="PAGE9" localSheetId="39">#REF!</definedName>
    <definedName name="PAGE9" localSheetId="38">#REF!</definedName>
    <definedName name="PAGE9" localSheetId="52">#REF!</definedName>
    <definedName name="PAGE9" localSheetId="37">#REF!</definedName>
    <definedName name="PAGE9" localSheetId="36">#REF!</definedName>
    <definedName name="PAGE9" localSheetId="35">#REF!</definedName>
    <definedName name="PAGE9" localSheetId="34">#REF!</definedName>
    <definedName name="PAGE9" localSheetId="33">#REF!</definedName>
    <definedName name="PAGE9" localSheetId="32">#REF!</definedName>
    <definedName name="PAGE9" localSheetId="31">#REF!</definedName>
    <definedName name="PAGE9" localSheetId="30">#REF!</definedName>
    <definedName name="PAGE9" localSheetId="29">#REF!</definedName>
    <definedName name="PAGE9" localSheetId="28">#REF!</definedName>
    <definedName name="PAGE9" localSheetId="27">#REF!</definedName>
    <definedName name="PAGE9">#REF!</definedName>
    <definedName name="PERCENT" localSheetId="36">[7]Ins!#REF!</definedName>
    <definedName name="PERCENT" localSheetId="35">[7]Ins!#REF!</definedName>
    <definedName name="PERCENT" localSheetId="5">#REF!</definedName>
    <definedName name="PERCENT" localSheetId="34">[7]Ins!#REF!</definedName>
    <definedName name="PERCENT" localSheetId="33">[7]Ins!#REF!</definedName>
    <definedName name="PERCENT" localSheetId="4">#REF!</definedName>
    <definedName name="PERCENT" localSheetId="32">#REF!</definedName>
    <definedName name="PERCENT" localSheetId="31">[7]Ins!#REF!</definedName>
    <definedName name="PERCENT" localSheetId="3">#REF!</definedName>
    <definedName name="PERCENT" localSheetId="30">[7]Ins!#REF!</definedName>
    <definedName name="PERCENT" localSheetId="29">[7]Ins!#REF!</definedName>
    <definedName name="PERCENT" localSheetId="28">[7]Ins!#REF!</definedName>
    <definedName name="PERCENT" localSheetId="27">[7]Ins!#REF!</definedName>
    <definedName name="PERCENT" localSheetId="15">#REF!</definedName>
    <definedName name="PERCENT" localSheetId="14">#REF!</definedName>
    <definedName name="PERCENT" localSheetId="13">#REF!</definedName>
    <definedName name="PERCENT" localSheetId="2">#REF!</definedName>
    <definedName name="PERCENT">#REF!</definedName>
    <definedName name="PgFERC_449">#REF!</definedName>
    <definedName name="Plan">#REF!</definedName>
    <definedName name="_xlnm.Print_Area" localSheetId="10">'2004'!$A$1:$G$60</definedName>
    <definedName name="_xlnm.Print_Area" localSheetId="44">'2004 BS'!$A$2:$M$58</definedName>
    <definedName name="_xlnm.Print_Area" localSheetId="49">'2004 ECC'!$D$1:$W$117</definedName>
    <definedName name="_xlnm.Print_Area" localSheetId="55">'2004 Elec'!$A$1:$M$59</definedName>
    <definedName name="_xlnm.Print_Area" localSheetId="43">'2004 IS'!$A$2:$I$64</definedName>
    <definedName name="_xlnm.Print_Area" localSheetId="9">'2005'!$A$1:$G$60</definedName>
    <definedName name="_xlnm.Print_Area" localSheetId="42">'2005 BS'!$A$2:$M$58</definedName>
    <definedName name="_xlnm.Print_Area" localSheetId="54">'2005 Elec'!$A$1:$M$59</definedName>
    <definedName name="_xlnm.Print_Area" localSheetId="41">'2005 IS'!$A$2:$I$62</definedName>
    <definedName name="_xlnm.Print_Area" localSheetId="8">'2006'!$A$1:$G$60</definedName>
    <definedName name="_xlnm.Print_Area" localSheetId="40">'2006 BS'!$A$2:$M$58</definedName>
    <definedName name="_xlnm.Print_Area" localSheetId="53">'2006 Elec'!$A$1:$M$58</definedName>
    <definedName name="_xlnm.Print_Area" localSheetId="39">'2006 IS'!$A$2:$I$64</definedName>
    <definedName name="_xlnm.Print_Area" localSheetId="7">'2007'!$A$1:$G$60</definedName>
    <definedName name="_xlnm.Print_Area" localSheetId="38">'2007 BS'!$A$2:$M$58</definedName>
    <definedName name="_xlnm.Print_Area" localSheetId="46">'2007 ECC'!$D$1:$W$107</definedName>
    <definedName name="_xlnm.Print_Area" localSheetId="52">'2007 Elec'!$A$1:$M$58</definedName>
    <definedName name="_xlnm.Print_Area" localSheetId="37">'2007 IS'!$A$2:$I$64</definedName>
    <definedName name="_xlnm.Print_Area" localSheetId="6">'2008'!$A$1:$G$60</definedName>
    <definedName name="_xlnm.Print_Area" localSheetId="36">'2008 BS'!$A$1:$M$58</definedName>
    <definedName name="_xlnm.Print_Area" localSheetId="45">'2008 ECC'!$D$1:$W$108</definedName>
    <definedName name="_xlnm.Print_Area" localSheetId="35">'2008 IS'!$A$1:$J$53</definedName>
    <definedName name="_xlnm.Print_Area" localSheetId="5">'2009'!$A$1:$G$60</definedName>
    <definedName name="_xlnm.Print_Area" localSheetId="34">'2009 BS'!$A$1:$M$58</definedName>
    <definedName name="_xlnm.Print_Area" localSheetId="33">'2009 IS'!$A$1:$J$53</definedName>
    <definedName name="_xlnm.Print_Area" localSheetId="4">'2010'!$A$1:$G$60</definedName>
    <definedName name="_xlnm.Print_Area" localSheetId="32">'2010 BS'!$A$2:$M$58</definedName>
    <definedName name="_xlnm.Print_Area" localSheetId="31">'2010 IS'!$A$1:$J$53</definedName>
    <definedName name="_xlnm.Print_Area" localSheetId="3">'2011'!$A$1:$G$60</definedName>
    <definedName name="_xlnm.Print_Area" localSheetId="30">'2011 BS'!$A$1:$M$58</definedName>
    <definedName name="_xlnm.Print_Area" localSheetId="29">'2011 IS'!$A$1:$J$53</definedName>
    <definedName name="_xlnm.Print_Area" localSheetId="28">'2012 TY BS'!$A$1:$M$58</definedName>
    <definedName name="_xlnm.Print_Area" localSheetId="27">'2012 TY IS'!$A$1:$J$53</definedName>
    <definedName name="_xlnm.Print_Area" localSheetId="20">'Ex 3 - 2004'!$A$1:$H$82</definedName>
    <definedName name="_xlnm.Print_Area" localSheetId="19">'Ex 3 - 2005'!$A$1:$H$82</definedName>
    <definedName name="_xlnm.Print_Area" localSheetId="18">'Ex 3 - 2006'!$A$1:$H$82</definedName>
    <definedName name="_xlnm.Print_Area" localSheetId="17">'Ex 3 - 2007'!$A$1:$H$83</definedName>
    <definedName name="_xlnm.Print_Area" localSheetId="16">'Ex 3 - 2008'!$A$1:$H$83</definedName>
    <definedName name="_xlnm.Print_Area" localSheetId="15">'Ex 3 - 2009'!$A$1:$H$85</definedName>
    <definedName name="_xlnm.Print_Area" localSheetId="14">'Ex 3 - 2010'!$A$1:$H$85</definedName>
    <definedName name="_xlnm.Print_Area" localSheetId="13">'Ex 3 - 2011'!$A$1:$H$87</definedName>
    <definedName name="_xlnm.Print_Area" localSheetId="12">'Ex 3 - TY 2009'!$A$1:$H$82</definedName>
    <definedName name="_xlnm.Print_Area" localSheetId="11">'Ex 3 - TY 2012'!$A$1:$H$84</definedName>
    <definedName name="_xlnm.Print_Area" localSheetId="0">'KUQ38'!$A$1:$G$31</definedName>
    <definedName name="_xlnm.Print_Area" localSheetId="26">'M&amp;S-Dec04'!$A$1:$J$41</definedName>
    <definedName name="_xlnm.Print_Area" localSheetId="25">'M&amp;S-Dec05'!$A$1:$J$41</definedName>
    <definedName name="_xlnm.Print_Area" localSheetId="24">'M&amp;S-Dec06'!$A$1:$J$41</definedName>
    <definedName name="_xlnm.Print_Area" localSheetId="23">'M&amp;S-Dec07'!$A$1:$J$41</definedName>
    <definedName name="_xlnm.Print_Area" localSheetId="22">'M&amp;S-Dec08'!$A$1:$L$41</definedName>
    <definedName name="_xlnm.Print_Area" localSheetId="21">'M&amp;S-Oct09'!$A$1:$L$42</definedName>
    <definedName name="_xlnm.Print_Area" localSheetId="1">'TY 2009'!$A$1:$G$60</definedName>
    <definedName name="_xlnm.Print_Area" localSheetId="2">'TY 2012'!$A$1:$G$60</definedName>
    <definedName name="PRINT1">#REF!</definedName>
    <definedName name="PUBLIC" localSheetId="36">[7]Ins!#REF!</definedName>
    <definedName name="PUBLIC" localSheetId="35">[7]Ins!#REF!</definedName>
    <definedName name="PUBLIC" localSheetId="5">#REF!</definedName>
    <definedName name="PUBLIC" localSheetId="34">[7]Ins!#REF!</definedName>
    <definedName name="PUBLIC" localSheetId="33">[7]Ins!#REF!</definedName>
    <definedName name="PUBLIC" localSheetId="4">#REF!</definedName>
    <definedName name="PUBLIC" localSheetId="32">#REF!</definedName>
    <definedName name="PUBLIC" localSheetId="31">[7]Ins!#REF!</definedName>
    <definedName name="PUBLIC" localSheetId="3">#REF!</definedName>
    <definedName name="PUBLIC" localSheetId="30">[7]Ins!#REF!</definedName>
    <definedName name="PUBLIC" localSheetId="29">[7]Ins!#REF!</definedName>
    <definedName name="PUBLIC" localSheetId="28">[7]Ins!#REF!</definedName>
    <definedName name="PUBLIC" localSheetId="27">[7]Ins!#REF!</definedName>
    <definedName name="PUBLIC" localSheetId="15">#REF!</definedName>
    <definedName name="PUBLIC" localSheetId="14">#REF!</definedName>
    <definedName name="PUBLIC" localSheetId="13">#REF!</definedName>
    <definedName name="PUBLIC" localSheetId="2">#REF!</definedName>
    <definedName name="PUBLIC">#REF!</definedName>
    <definedName name="PWRGENBAL">#REF!</definedName>
    <definedName name="PWRGENCASH">#REF!</definedName>
    <definedName name="QtrbyMonth">#REF!</definedName>
    <definedName name="RangeRptgMo">[13]Main!$K$11</definedName>
    <definedName name="RangeRptgYr">[14]Main!$G$5</definedName>
    <definedName name="REPORT" localSheetId="44">#REF!</definedName>
    <definedName name="REPORT" localSheetId="55">#REF!</definedName>
    <definedName name="REPORT" localSheetId="43">#REF!</definedName>
    <definedName name="REPORT" localSheetId="42">#REF!</definedName>
    <definedName name="REPORT" localSheetId="54">#REF!</definedName>
    <definedName name="REPORT" localSheetId="41">#REF!</definedName>
    <definedName name="REPORT" localSheetId="40">#REF!</definedName>
    <definedName name="REPORT" localSheetId="53">#REF!</definedName>
    <definedName name="REPORT" localSheetId="39">#REF!</definedName>
    <definedName name="REPORT" localSheetId="38">#REF!</definedName>
    <definedName name="REPORT" localSheetId="52">#REF!</definedName>
    <definedName name="REPORT" localSheetId="37">#REF!</definedName>
    <definedName name="REPORT" localSheetId="36">#REF!</definedName>
    <definedName name="REPORT" localSheetId="35">#REF!</definedName>
    <definedName name="REPORT" localSheetId="34">#REF!</definedName>
    <definedName name="REPORT" localSheetId="33">#REF!</definedName>
    <definedName name="REPORT" localSheetId="32">#REF!</definedName>
    <definedName name="REPORT" localSheetId="31">#REF!</definedName>
    <definedName name="REPORT" localSheetId="30">#REF!</definedName>
    <definedName name="REPORT" localSheetId="29">#REF!</definedName>
    <definedName name="REPORT" localSheetId="28">#REF!</definedName>
    <definedName name="REPORT" localSheetId="27">#REF!</definedName>
    <definedName name="REPORT">#REF!</definedName>
    <definedName name="ReportTitle1">#REF!</definedName>
    <definedName name="require_hide_ku_01" localSheetId="5">'[6]LGE Require &amp; Source'!#REF!</definedName>
    <definedName name="require_hide_ku_01" localSheetId="34">'[6]LGE Require &amp; Source'!#REF!</definedName>
    <definedName name="require_hide_ku_01" localSheetId="33">'[6]LGE Require &amp; Source'!#REF!</definedName>
    <definedName name="require_hide_ku_01" localSheetId="4">'[6]LGE Require &amp; Source'!#REF!</definedName>
    <definedName name="require_hide_ku_01" localSheetId="32">'[6]LGE Require &amp; Source'!#REF!</definedName>
    <definedName name="require_hide_ku_01" localSheetId="31">'[6]LGE Require &amp; Source'!#REF!</definedName>
    <definedName name="require_hide_ku_01" localSheetId="3">'[6]LGE Require &amp; Source'!#REF!</definedName>
    <definedName name="require_hide_ku_01" localSheetId="30">'[6]LGE Require &amp; Source'!#REF!</definedName>
    <definedName name="require_hide_ku_01" localSheetId="29">'[6]LGE Require &amp; Source'!#REF!</definedName>
    <definedName name="require_hide_ku_01" localSheetId="28">'[6]LGE Require &amp; Source'!#REF!</definedName>
    <definedName name="require_hide_ku_01" localSheetId="27">'[6]LGE Require &amp; Source'!#REF!</definedName>
    <definedName name="require_hide_ku_01" localSheetId="15">'[6]LGE Require &amp; Source'!#REF!</definedName>
    <definedName name="require_hide_ku_01" localSheetId="14">'[6]LGE Require &amp; Source'!#REF!</definedName>
    <definedName name="require_hide_ku_01" localSheetId="13">'[6]LGE Require &amp; Source'!#REF!</definedName>
    <definedName name="require_hide_ku_01" localSheetId="2">'[6]LGE Require &amp; Source'!#REF!</definedName>
    <definedName name="require_hide_ku_01">'[6]LGE Require &amp; Source'!#REF!</definedName>
    <definedName name="require_hide_lge_01" localSheetId="5">'[6]LGE Require &amp; Source'!#REF!</definedName>
    <definedName name="require_hide_lge_01" localSheetId="34">'[6]LGE Require &amp; Source'!#REF!</definedName>
    <definedName name="require_hide_lge_01" localSheetId="33">'[6]LGE Require &amp; Source'!#REF!</definedName>
    <definedName name="require_hide_lge_01" localSheetId="4">'[6]LGE Require &amp; Source'!#REF!</definedName>
    <definedName name="require_hide_lge_01" localSheetId="32">'[6]LGE Require &amp; Source'!#REF!</definedName>
    <definedName name="require_hide_lge_01" localSheetId="31">'[6]LGE Require &amp; Source'!#REF!</definedName>
    <definedName name="require_hide_lge_01" localSheetId="3">'[6]LGE Require &amp; Source'!#REF!</definedName>
    <definedName name="require_hide_lge_01" localSheetId="30">'[6]LGE Require &amp; Source'!#REF!</definedName>
    <definedName name="require_hide_lge_01" localSheetId="29">'[6]LGE Require &amp; Source'!#REF!</definedName>
    <definedName name="require_hide_lge_01" localSheetId="28">'[6]LGE Require &amp; Source'!#REF!</definedName>
    <definedName name="require_hide_lge_01" localSheetId="27">'[6]LGE Require &amp; Source'!#REF!</definedName>
    <definedName name="require_hide_lge_01" localSheetId="15">'[6]LGE Require &amp; Source'!#REF!</definedName>
    <definedName name="require_hide_lge_01" localSheetId="14">'[6]LGE Require &amp; Source'!#REF!</definedName>
    <definedName name="require_hide_lge_01" localSheetId="13">'[6]LGE Require &amp; Source'!#REF!</definedName>
    <definedName name="require_hide_lge_01" localSheetId="2">'[6]LGE Require &amp; Source'!#REF!</definedName>
    <definedName name="require_hide_lge_01">'[6]LGE Require &amp; Source'!#REF!</definedName>
    <definedName name="require_ku_01" localSheetId="5">'[6]LGE Require &amp; Source'!#REF!</definedName>
    <definedName name="require_ku_01" localSheetId="34">'[6]LGE Require &amp; Source'!#REF!</definedName>
    <definedName name="require_ku_01" localSheetId="33">'[6]LGE Require &amp; Source'!#REF!</definedName>
    <definedName name="require_ku_01" localSheetId="4">'[6]LGE Require &amp; Source'!#REF!</definedName>
    <definedName name="require_ku_01" localSheetId="32">'[6]LGE Require &amp; Source'!#REF!</definedName>
    <definedName name="require_ku_01" localSheetId="31">'[6]LGE Require &amp; Source'!#REF!</definedName>
    <definedName name="require_ku_01" localSheetId="3">'[6]LGE Require &amp; Source'!#REF!</definedName>
    <definedName name="require_ku_01" localSheetId="30">'[6]LGE Require &amp; Source'!#REF!</definedName>
    <definedName name="require_ku_01" localSheetId="29">'[6]LGE Require &amp; Source'!#REF!</definedName>
    <definedName name="require_ku_01" localSheetId="28">'[6]LGE Require &amp; Source'!#REF!</definedName>
    <definedName name="require_ku_01" localSheetId="27">'[6]LGE Require &amp; Source'!#REF!</definedName>
    <definedName name="require_ku_01" localSheetId="15">'[6]LGE Require &amp; Source'!#REF!</definedName>
    <definedName name="require_ku_01" localSheetId="14">'[6]LGE Require &amp; Source'!#REF!</definedName>
    <definedName name="require_ku_01" localSheetId="13">'[6]LGE Require &amp; Source'!#REF!</definedName>
    <definedName name="require_ku_01" localSheetId="2">'[6]LGE Require &amp; Source'!#REF!</definedName>
    <definedName name="require_ku_01">'[6]LGE Require &amp; Source'!#REF!</definedName>
    <definedName name="Requirements_Annual_KU" localSheetId="5">'[6]LGE Require &amp; Source'!#REF!</definedName>
    <definedName name="Requirements_Annual_KU" localSheetId="34">'[6]LGE Require &amp; Source'!#REF!</definedName>
    <definedName name="Requirements_Annual_KU" localSheetId="33">'[6]LGE Require &amp; Source'!#REF!</definedName>
    <definedName name="Requirements_Annual_KU" localSheetId="4">'[6]LGE Require &amp; Source'!#REF!</definedName>
    <definedName name="Requirements_Annual_KU" localSheetId="32">'[6]LGE Require &amp; Source'!#REF!</definedName>
    <definedName name="Requirements_Annual_KU" localSheetId="31">'[6]LGE Require &amp; Source'!#REF!</definedName>
    <definedName name="Requirements_Annual_KU" localSheetId="3">'[6]LGE Require &amp; Source'!#REF!</definedName>
    <definedName name="Requirements_Annual_KU" localSheetId="30">'[6]LGE Require &amp; Source'!#REF!</definedName>
    <definedName name="Requirements_Annual_KU" localSheetId="29">'[6]LGE Require &amp; Source'!#REF!</definedName>
    <definedName name="Requirements_Annual_KU" localSheetId="28">'[6]LGE Require &amp; Source'!#REF!</definedName>
    <definedName name="Requirements_Annual_KU" localSheetId="27">'[6]LGE Require &amp; Source'!#REF!</definedName>
    <definedName name="Requirements_Annual_KU" localSheetId="15">'[6]LGE Require &amp; Source'!#REF!</definedName>
    <definedName name="Requirements_Annual_KU" localSheetId="14">'[6]LGE Require &amp; Source'!#REF!</definedName>
    <definedName name="Requirements_Annual_KU" localSheetId="13">'[6]LGE Require &amp; Source'!#REF!</definedName>
    <definedName name="Requirements_Annual_KU" localSheetId="2">'[6]LGE Require &amp; Source'!#REF!</definedName>
    <definedName name="Requirements_Annual_KU">'[6]LGE Require &amp; Source'!#REF!</definedName>
    <definedName name="Requirements_Data" localSheetId="5">'[6]LGE Require &amp; Source'!#REF!</definedName>
    <definedName name="Requirements_Data" localSheetId="34">'[6]LGE Require &amp; Source'!#REF!</definedName>
    <definedName name="Requirements_Data" localSheetId="33">'[6]LGE Require &amp; Source'!#REF!</definedName>
    <definedName name="Requirements_Data" localSheetId="4">'[6]LGE Require &amp; Source'!#REF!</definedName>
    <definedName name="Requirements_Data" localSheetId="32">'[6]LGE Require &amp; Source'!#REF!</definedName>
    <definedName name="Requirements_Data" localSheetId="31">'[6]LGE Require &amp; Source'!#REF!</definedName>
    <definedName name="Requirements_Data" localSheetId="3">'[6]LGE Require &amp; Source'!#REF!</definedName>
    <definedName name="Requirements_Data" localSheetId="30">'[6]LGE Require &amp; Source'!#REF!</definedName>
    <definedName name="Requirements_Data" localSheetId="29">'[6]LGE Require &amp; Source'!#REF!</definedName>
    <definedName name="Requirements_Data" localSheetId="28">'[6]LGE Require &amp; Source'!#REF!</definedName>
    <definedName name="Requirements_Data" localSheetId="27">'[6]LGE Require &amp; Source'!#REF!</definedName>
    <definedName name="Requirements_Data" localSheetId="15">'[6]LGE Require &amp; Source'!#REF!</definedName>
    <definedName name="Requirements_Data" localSheetId="14">'[6]LGE Require &amp; Source'!#REF!</definedName>
    <definedName name="Requirements_Data" localSheetId="13">'[6]LGE Require &amp; Source'!#REF!</definedName>
    <definedName name="Requirements_Data" localSheetId="2">'[6]LGE Require &amp; Source'!#REF!</definedName>
    <definedName name="Requirements_Data">'[6]LGE Require &amp; Source'!#REF!</definedName>
    <definedName name="Requirements_KU" localSheetId="5">'[6]LGE Require &amp; Source'!#REF!</definedName>
    <definedName name="Requirements_KU" localSheetId="34">'[6]LGE Require &amp; Source'!#REF!</definedName>
    <definedName name="Requirements_KU" localSheetId="33">'[6]LGE Require &amp; Source'!#REF!</definedName>
    <definedName name="Requirements_KU" localSheetId="4">'[6]LGE Require &amp; Source'!#REF!</definedName>
    <definedName name="Requirements_KU" localSheetId="32">'[6]LGE Require &amp; Source'!#REF!</definedName>
    <definedName name="Requirements_KU" localSheetId="31">'[6]LGE Require &amp; Source'!#REF!</definedName>
    <definedName name="Requirements_KU" localSheetId="3">'[6]LGE Require &amp; Source'!#REF!</definedName>
    <definedName name="Requirements_KU" localSheetId="30">'[6]LGE Require &amp; Source'!#REF!</definedName>
    <definedName name="Requirements_KU" localSheetId="29">'[6]LGE Require &amp; Source'!#REF!</definedName>
    <definedName name="Requirements_KU" localSheetId="28">'[6]LGE Require &amp; Source'!#REF!</definedName>
    <definedName name="Requirements_KU" localSheetId="27">'[6]LGE Require &amp; Source'!#REF!</definedName>
    <definedName name="Requirements_KU" localSheetId="15">'[6]LGE Require &amp; Source'!#REF!</definedName>
    <definedName name="Requirements_KU" localSheetId="14">'[6]LGE Require &amp; Source'!#REF!</definedName>
    <definedName name="Requirements_KU" localSheetId="13">'[6]LGE Require &amp; Source'!#REF!</definedName>
    <definedName name="Requirements_KU" localSheetId="2">'[6]LGE Require &amp; Source'!#REF!</definedName>
    <definedName name="Requirements_KU">'[6]LGE Require &amp; Source'!#REF!</definedName>
    <definedName name="RevCol01">#REF!</definedName>
    <definedName name="RevCol01A">#REF!</definedName>
    <definedName name="RevCol01B" localSheetId="5">[15]RevDatabase!#REF!</definedName>
    <definedName name="RevCol01B" localSheetId="34">[15]RevDatabase!#REF!</definedName>
    <definedName name="RevCol01B" localSheetId="33">[15]RevDatabase!#REF!</definedName>
    <definedName name="RevCol01B" localSheetId="4">[15]RevDatabase!#REF!</definedName>
    <definedName name="RevCol01B" localSheetId="32">[15]RevDatabase!#REF!</definedName>
    <definedName name="RevCol01B" localSheetId="31">[15]RevDatabase!#REF!</definedName>
    <definedName name="RevCol01B" localSheetId="3">[15]RevDatabase!#REF!</definedName>
    <definedName name="RevCol01B" localSheetId="30">[15]RevDatabase!#REF!</definedName>
    <definedName name="RevCol01B" localSheetId="29">[15]RevDatabase!#REF!</definedName>
    <definedName name="RevCol01B" localSheetId="28">[15]RevDatabase!#REF!</definedName>
    <definedName name="RevCol01B" localSheetId="27">[15]RevDatabase!#REF!</definedName>
    <definedName name="RevCol01B" localSheetId="15">[15]RevDatabase!#REF!</definedName>
    <definedName name="RevCol01B" localSheetId="14">[15]RevDatabase!#REF!</definedName>
    <definedName name="RevCol01B" localSheetId="13">[15]RevDatabase!#REF!</definedName>
    <definedName name="RevCol01B" localSheetId="2">[15]RevDatabase!#REF!</definedName>
    <definedName name="RevCol01B">[15]RevDatabase!#REF!</definedName>
    <definedName name="RevCol02">#REF!</definedName>
    <definedName name="RevCol02A">#REF!</definedName>
    <definedName name="RevCol02B" localSheetId="5">[15]RevDatabase!#REF!</definedName>
    <definedName name="RevCol02B" localSheetId="34">[15]RevDatabase!#REF!</definedName>
    <definedName name="RevCol02B" localSheetId="33">[15]RevDatabase!#REF!</definedName>
    <definedName name="RevCol02B" localSheetId="4">[15]RevDatabase!#REF!</definedName>
    <definedName name="RevCol02B" localSheetId="32">[15]RevDatabase!#REF!</definedName>
    <definedName name="RevCol02B" localSheetId="31">[15]RevDatabase!#REF!</definedName>
    <definedName name="RevCol02B" localSheetId="3">[15]RevDatabase!#REF!</definedName>
    <definedName name="RevCol02B" localSheetId="30">[15]RevDatabase!#REF!</definedName>
    <definedName name="RevCol02B" localSheetId="29">[15]RevDatabase!#REF!</definedName>
    <definedName name="RevCol02B" localSheetId="28">[15]RevDatabase!#REF!</definedName>
    <definedName name="RevCol02B" localSheetId="27">[15]RevDatabase!#REF!</definedName>
    <definedName name="RevCol02B" localSheetId="15">[15]RevDatabase!#REF!</definedName>
    <definedName name="RevCol02B" localSheetId="14">[15]RevDatabase!#REF!</definedName>
    <definedName name="RevCol02B" localSheetId="13">[15]RevDatabase!#REF!</definedName>
    <definedName name="RevCol02B" localSheetId="2">[15]RevDatabase!#REF!</definedName>
    <definedName name="RevCol02B">[15]RevDatabase!#REF!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5">[15]RevDatabase!#REF!</definedName>
    <definedName name="RevColTmp" localSheetId="34">[15]RevDatabase!#REF!</definedName>
    <definedName name="RevColTmp" localSheetId="33">[15]RevDatabase!#REF!</definedName>
    <definedName name="RevColTmp" localSheetId="4">[15]RevDatabase!#REF!</definedName>
    <definedName name="RevColTmp" localSheetId="32">[15]RevDatabase!#REF!</definedName>
    <definedName name="RevColTmp" localSheetId="31">[15]RevDatabase!#REF!</definedName>
    <definedName name="RevColTmp" localSheetId="3">[15]RevDatabase!#REF!</definedName>
    <definedName name="RevColTmp" localSheetId="30">[15]RevDatabase!#REF!</definedName>
    <definedName name="RevColTmp" localSheetId="29">[15]RevDatabase!#REF!</definedName>
    <definedName name="RevColTmp" localSheetId="28">[15]RevDatabase!#REF!</definedName>
    <definedName name="RevColTmp" localSheetId="27">[15]RevDatabase!#REF!</definedName>
    <definedName name="RevColTmp" localSheetId="15">[15]RevDatabase!#REF!</definedName>
    <definedName name="RevColTmp" localSheetId="14">[15]RevDatabase!#REF!</definedName>
    <definedName name="RevColTmp" localSheetId="13">[15]RevDatabase!#REF!</definedName>
    <definedName name="RevColTmp" localSheetId="2">[15]RevDatabase!#REF!</definedName>
    <definedName name="RevColTmp">[15]RevDatabase!#REF!</definedName>
    <definedName name="RevColTmpA" localSheetId="5">[15]RevDatabase!#REF!</definedName>
    <definedName name="RevColTmpA" localSheetId="34">[15]RevDatabase!#REF!</definedName>
    <definedName name="RevColTmpA" localSheetId="33">[15]RevDatabase!#REF!</definedName>
    <definedName name="RevColTmpA" localSheetId="4">[15]RevDatabase!#REF!</definedName>
    <definedName name="RevColTmpA" localSheetId="32">[15]RevDatabase!#REF!</definedName>
    <definedName name="RevColTmpA" localSheetId="31">[15]RevDatabase!#REF!</definedName>
    <definedName name="RevColTmpA" localSheetId="3">[15]RevDatabase!#REF!</definedName>
    <definedName name="RevColTmpA" localSheetId="30">[15]RevDatabase!#REF!</definedName>
    <definedName name="RevColTmpA" localSheetId="29">[15]RevDatabase!#REF!</definedName>
    <definedName name="RevColTmpA" localSheetId="28">[15]RevDatabase!#REF!</definedName>
    <definedName name="RevColTmpA" localSheetId="27">[15]RevDatabase!#REF!</definedName>
    <definedName name="RevColTmpA" localSheetId="15">[15]RevDatabase!#REF!</definedName>
    <definedName name="RevColTmpA" localSheetId="14">[15]RevDatabase!#REF!</definedName>
    <definedName name="RevColTmpA" localSheetId="13">[15]RevDatabase!#REF!</definedName>
    <definedName name="RevColTmpA" localSheetId="2">[15]RevDatabase!#REF!</definedName>
    <definedName name="RevColTmpA">[15]RevDatabase!#REF!</definedName>
    <definedName name="RevColTmpB" localSheetId="5">[15]RevDatabase!#REF!</definedName>
    <definedName name="RevColTmpB" localSheetId="34">[15]RevDatabase!#REF!</definedName>
    <definedName name="RevColTmpB" localSheetId="33">[15]RevDatabase!#REF!</definedName>
    <definedName name="RevColTmpB" localSheetId="4">[15]RevDatabase!#REF!</definedName>
    <definedName name="RevColTmpB" localSheetId="32">[15]RevDatabase!#REF!</definedName>
    <definedName name="RevColTmpB" localSheetId="31">[15]RevDatabase!#REF!</definedName>
    <definedName name="RevColTmpB" localSheetId="3">[15]RevDatabase!#REF!</definedName>
    <definedName name="RevColTmpB" localSheetId="30">[15]RevDatabase!#REF!</definedName>
    <definedName name="RevColTmpB" localSheetId="29">[15]RevDatabase!#REF!</definedName>
    <definedName name="RevColTmpB" localSheetId="28">[15]RevDatabase!#REF!</definedName>
    <definedName name="RevColTmpB" localSheetId="27">[15]RevDatabase!#REF!</definedName>
    <definedName name="RevColTmpB" localSheetId="15">[15]RevDatabase!#REF!</definedName>
    <definedName name="RevColTmpB" localSheetId="14">[15]RevDatabase!#REF!</definedName>
    <definedName name="RevColTmpB" localSheetId="13">[15]RevDatabase!#REF!</definedName>
    <definedName name="RevColTmpB" localSheetId="2">[15]RevDatabase!#REF!</definedName>
    <definedName name="RevColTmpB">[15]RevDatabase!#REF!</definedName>
    <definedName name="revenues_hide_ku_01" localSheetId="5">'[6]KU Other Electric Revenues'!#REF!</definedName>
    <definedName name="revenues_hide_ku_01" localSheetId="34">'[6]KU Other Electric Revenues'!#REF!</definedName>
    <definedName name="revenues_hide_ku_01" localSheetId="33">'[6]KU Other Electric Revenues'!#REF!</definedName>
    <definedName name="revenues_hide_ku_01" localSheetId="4">'[6]KU Other Electric Revenues'!#REF!</definedName>
    <definedName name="revenues_hide_ku_01" localSheetId="32">'[6]KU Other Electric Revenues'!#REF!</definedName>
    <definedName name="revenues_hide_ku_01" localSheetId="31">'[6]KU Other Electric Revenues'!#REF!</definedName>
    <definedName name="revenues_hide_ku_01" localSheetId="3">'[6]KU Other Electric Revenues'!#REF!</definedName>
    <definedName name="revenues_hide_ku_01" localSheetId="30">'[6]KU Other Electric Revenues'!#REF!</definedName>
    <definedName name="revenues_hide_ku_01" localSheetId="29">'[6]KU Other Electric Revenues'!#REF!</definedName>
    <definedName name="revenues_hide_ku_01" localSheetId="28">'[6]KU Other Electric Revenues'!#REF!</definedName>
    <definedName name="revenues_hide_ku_01" localSheetId="27">'[6]KU Other Electric Revenues'!#REF!</definedName>
    <definedName name="revenues_hide_ku_01" localSheetId="15">'[6]KU Other Electric Revenues'!#REF!</definedName>
    <definedName name="revenues_hide_ku_01" localSheetId="14">'[6]KU Other Electric Revenues'!#REF!</definedName>
    <definedName name="revenues_hide_ku_01" localSheetId="13">'[6]KU Other Electric Revenues'!#REF!</definedName>
    <definedName name="revenues_hide_ku_01" localSheetId="2">'[6]KU Other Electric Revenues'!#REF!</definedName>
    <definedName name="revenues_hide_ku_01">'[6]KU Other Electric Revenues'!#REF!</definedName>
    <definedName name="revenues_ku_01" localSheetId="5">'[6]KU Other Electric Revenues'!#REF!</definedName>
    <definedName name="revenues_ku_01" localSheetId="34">'[6]KU Other Electric Revenues'!#REF!</definedName>
    <definedName name="revenues_ku_01" localSheetId="33">'[6]KU Other Electric Revenues'!#REF!</definedName>
    <definedName name="revenues_ku_01" localSheetId="4">'[6]KU Other Electric Revenues'!#REF!</definedName>
    <definedName name="revenues_ku_01" localSheetId="32">'[6]KU Other Electric Revenues'!#REF!</definedName>
    <definedName name="revenues_ku_01" localSheetId="31">'[6]KU Other Electric Revenues'!#REF!</definedName>
    <definedName name="revenues_ku_01" localSheetId="3">'[6]KU Other Electric Revenues'!#REF!</definedName>
    <definedName name="revenues_ku_01" localSheetId="30">'[6]KU Other Electric Revenues'!#REF!</definedName>
    <definedName name="revenues_ku_01" localSheetId="29">'[6]KU Other Electric Revenues'!#REF!</definedName>
    <definedName name="revenues_ku_01" localSheetId="28">'[6]KU Other Electric Revenues'!#REF!</definedName>
    <definedName name="revenues_ku_01" localSheetId="27">'[6]KU Other Electric Revenues'!#REF!</definedName>
    <definedName name="revenues_ku_01" localSheetId="15">'[6]KU Other Electric Revenues'!#REF!</definedName>
    <definedName name="revenues_ku_01" localSheetId="14">'[6]KU Other Electric Revenues'!#REF!</definedName>
    <definedName name="revenues_ku_01" localSheetId="13">'[6]KU Other Electric Revenues'!#REF!</definedName>
    <definedName name="revenues_ku_01" localSheetId="2">'[6]KU Other Electric Revenues'!#REF!</definedName>
    <definedName name="revenues_ku_01">'[6]KU Other Electric Revenues'!#REF!</definedName>
    <definedName name="RowDetails1" localSheetId="36">#REF!</definedName>
    <definedName name="RowDetails1" localSheetId="35">#REF!</definedName>
    <definedName name="RowDetails1" localSheetId="34">#REF!</definedName>
    <definedName name="RowDetails1" localSheetId="33">#REF!</definedName>
    <definedName name="RowDetails1" localSheetId="31">#REF!</definedName>
    <definedName name="RowDetails1" localSheetId="30">#REF!</definedName>
    <definedName name="RowDetails1" localSheetId="29">#REF!</definedName>
    <definedName name="RowDetails1" localSheetId="28">#REF!</definedName>
    <definedName name="RowDetails1" localSheetId="27">#REF!</definedName>
    <definedName name="RowDetails1">#REF!</definedName>
    <definedName name="RPTCOL">#REF!</definedName>
    <definedName name="RPTROW">#REF!</definedName>
    <definedName name="Sales" localSheetId="5">'[6]LGE Sales'!#REF!</definedName>
    <definedName name="Sales" localSheetId="34">'[6]LGE Sales'!#REF!</definedName>
    <definedName name="Sales" localSheetId="33">'[6]LGE Sales'!#REF!</definedName>
    <definedName name="Sales" localSheetId="4">'[6]LGE Sales'!#REF!</definedName>
    <definedName name="Sales" localSheetId="32">'[6]LGE Sales'!#REF!</definedName>
    <definedName name="Sales" localSheetId="31">'[6]LGE Sales'!#REF!</definedName>
    <definedName name="Sales" localSheetId="3">'[6]LGE Sales'!#REF!</definedName>
    <definedName name="Sales" localSheetId="30">'[6]LGE Sales'!#REF!</definedName>
    <definedName name="Sales" localSheetId="29">'[6]LGE Sales'!#REF!</definedName>
    <definedName name="Sales" localSheetId="28">'[6]LGE Sales'!#REF!</definedName>
    <definedName name="Sales" localSheetId="27">'[6]LGE Sales'!#REF!</definedName>
    <definedName name="Sales" localSheetId="15">'[6]LGE Sales'!#REF!</definedName>
    <definedName name="Sales" localSheetId="14">'[6]LGE Sales'!#REF!</definedName>
    <definedName name="Sales" localSheetId="13">'[6]LGE Sales'!#REF!</definedName>
    <definedName name="Sales" localSheetId="2">'[6]LGE Sales'!#REF!</definedName>
    <definedName name="Sales">'[6]LGE Sales'!#REF!</definedName>
    <definedName name="sales_hide_ku_01" localSheetId="5">'[6]LGE Sales'!#REF!</definedName>
    <definedName name="sales_hide_ku_01" localSheetId="34">'[6]LGE Sales'!#REF!</definedName>
    <definedName name="sales_hide_ku_01" localSheetId="33">'[6]LGE Sales'!#REF!</definedName>
    <definedName name="sales_hide_ku_01" localSheetId="4">'[6]LGE Sales'!#REF!</definedName>
    <definedName name="sales_hide_ku_01" localSheetId="32">'[6]LGE Sales'!#REF!</definedName>
    <definedName name="sales_hide_ku_01" localSheetId="31">'[6]LGE Sales'!#REF!</definedName>
    <definedName name="sales_hide_ku_01" localSheetId="3">'[6]LGE Sales'!#REF!</definedName>
    <definedName name="sales_hide_ku_01" localSheetId="30">'[6]LGE Sales'!#REF!</definedName>
    <definedName name="sales_hide_ku_01" localSheetId="29">'[6]LGE Sales'!#REF!</definedName>
    <definedName name="sales_hide_ku_01" localSheetId="28">'[6]LGE Sales'!#REF!</definedName>
    <definedName name="sales_hide_ku_01" localSheetId="27">'[6]LGE Sales'!#REF!</definedName>
    <definedName name="sales_hide_ku_01" localSheetId="15">'[6]LGE Sales'!#REF!</definedName>
    <definedName name="sales_hide_ku_01" localSheetId="14">'[6]LGE Sales'!#REF!</definedName>
    <definedName name="sales_hide_ku_01" localSheetId="13">'[6]LGE Sales'!#REF!</definedName>
    <definedName name="sales_hide_ku_01" localSheetId="2">'[6]LGE Sales'!#REF!</definedName>
    <definedName name="sales_hide_ku_01">'[6]LGE Sales'!#REF!</definedName>
    <definedName name="sales_ku_01" localSheetId="5">'[6]LGE Sales'!#REF!</definedName>
    <definedName name="sales_ku_01" localSheetId="34">'[6]LGE Sales'!#REF!</definedName>
    <definedName name="sales_ku_01" localSheetId="33">'[6]LGE Sales'!#REF!</definedName>
    <definedName name="sales_ku_01" localSheetId="4">'[6]LGE Sales'!#REF!</definedName>
    <definedName name="sales_ku_01" localSheetId="32">'[6]LGE Sales'!#REF!</definedName>
    <definedName name="sales_ku_01" localSheetId="31">'[6]LGE Sales'!#REF!</definedName>
    <definedName name="sales_ku_01" localSheetId="3">'[6]LGE Sales'!#REF!</definedName>
    <definedName name="sales_ku_01" localSheetId="30">'[6]LGE Sales'!#REF!</definedName>
    <definedName name="sales_ku_01" localSheetId="29">'[6]LGE Sales'!#REF!</definedName>
    <definedName name="sales_ku_01" localSheetId="28">'[6]LGE Sales'!#REF!</definedName>
    <definedName name="sales_ku_01" localSheetId="27">'[6]LGE Sales'!#REF!</definedName>
    <definedName name="sales_ku_01" localSheetId="15">'[6]LGE Sales'!#REF!</definedName>
    <definedName name="sales_ku_01" localSheetId="14">'[6]LGE Sales'!#REF!</definedName>
    <definedName name="sales_ku_01" localSheetId="13">'[6]LGE Sales'!#REF!</definedName>
    <definedName name="sales_ku_01" localSheetId="2">'[6]LGE Sales'!#REF!</definedName>
    <definedName name="sales_ku_01">'[6]LGE Sales'!#REF!</definedName>
    <definedName name="sales_title_ku" localSheetId="5">'[6]LGE Sales'!#REF!</definedName>
    <definedName name="sales_title_ku" localSheetId="34">'[6]LGE Sales'!#REF!</definedName>
    <definedName name="sales_title_ku" localSheetId="33">'[6]LGE Sales'!#REF!</definedName>
    <definedName name="sales_title_ku" localSheetId="4">'[6]LGE Sales'!#REF!</definedName>
    <definedName name="sales_title_ku" localSheetId="32">'[6]LGE Sales'!#REF!</definedName>
    <definedName name="sales_title_ku" localSheetId="31">'[6]LGE Sales'!#REF!</definedName>
    <definedName name="sales_title_ku" localSheetId="3">'[6]LGE Sales'!#REF!</definedName>
    <definedName name="sales_title_ku" localSheetId="30">'[6]LGE Sales'!#REF!</definedName>
    <definedName name="sales_title_ku" localSheetId="29">'[6]LGE Sales'!#REF!</definedName>
    <definedName name="sales_title_ku" localSheetId="28">'[6]LGE Sales'!#REF!</definedName>
    <definedName name="sales_title_ku" localSheetId="27">'[6]LGE Sales'!#REF!</definedName>
    <definedName name="sales_title_ku" localSheetId="15">'[6]LGE Sales'!#REF!</definedName>
    <definedName name="sales_title_ku" localSheetId="14">'[6]LGE Sales'!#REF!</definedName>
    <definedName name="sales_title_ku" localSheetId="13">'[6]LGE Sales'!#REF!</definedName>
    <definedName name="sales_title_ku" localSheetId="2">'[6]LGE Sales'!#REF!</definedName>
    <definedName name="sales_title_ku">'[6]LGE Sales'!#REF!</definedName>
    <definedName name="SCHEDZ">#REF!</definedName>
    <definedName name="shoot" localSheetId="5">#REF!</definedName>
    <definedName name="shoot" localSheetId="34">#REF!</definedName>
    <definedName name="shoot" localSheetId="33">#REF!</definedName>
    <definedName name="shoot" localSheetId="4">#REF!</definedName>
    <definedName name="shoot" localSheetId="32">#REF!</definedName>
    <definedName name="shoot" localSheetId="31">#REF!</definedName>
    <definedName name="shoot" localSheetId="3">#REF!</definedName>
    <definedName name="shoot" localSheetId="30">#REF!</definedName>
    <definedName name="shoot" localSheetId="29">#REF!</definedName>
    <definedName name="shoot" localSheetId="28">#REF!</definedName>
    <definedName name="shoot" localSheetId="27">#REF!</definedName>
    <definedName name="shoot" localSheetId="15">#REF!</definedName>
    <definedName name="shoot" localSheetId="14">#REF!</definedName>
    <definedName name="shoot" localSheetId="13">#REF!</definedName>
    <definedName name="shoot" localSheetId="2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 localSheetId="5">'[2]M&amp;S'!#REF!</definedName>
    <definedName name="SUPPORT6" localSheetId="34">'[2]M&amp;S'!#REF!</definedName>
    <definedName name="SUPPORT6" localSheetId="33">'[2]M&amp;S'!#REF!</definedName>
    <definedName name="SUPPORT6" localSheetId="4">'[2]M&amp;S'!#REF!</definedName>
    <definedName name="SUPPORT6" localSheetId="32">'[2]M&amp;S'!#REF!</definedName>
    <definedName name="SUPPORT6" localSheetId="31">'[2]M&amp;S'!#REF!</definedName>
    <definedName name="SUPPORT6" localSheetId="3">'[2]M&amp;S'!#REF!</definedName>
    <definedName name="SUPPORT6" localSheetId="30">'[2]M&amp;S'!#REF!</definedName>
    <definedName name="SUPPORT6" localSheetId="29">'[2]M&amp;S'!#REF!</definedName>
    <definedName name="SUPPORT6" localSheetId="28">'[2]M&amp;S'!#REF!</definedName>
    <definedName name="SUPPORT6" localSheetId="27">'[2]M&amp;S'!#REF!</definedName>
    <definedName name="SUPPORT6" localSheetId="15">'[2]M&amp;S'!#REF!</definedName>
    <definedName name="SUPPORT6" localSheetId="14">'[2]M&amp;S'!#REF!</definedName>
    <definedName name="SUPPORT6" localSheetId="13">'[2]M&amp;S'!#REF!</definedName>
    <definedName name="SUPPORT6" localSheetId="2">'[2]M&amp;S'!#REF!</definedName>
    <definedName name="SUPPORT6">'[2]M&amp;S'!#REF!</definedName>
    <definedName name="TableName">"Dummy"</definedName>
    <definedName name="TAX_RATE" localSheetId="5">'[10]#REF'!#REF!</definedName>
    <definedName name="TAX_RATE" localSheetId="34">'[10]#REF'!#REF!</definedName>
    <definedName name="TAX_RATE" localSheetId="33">'[10]#REF'!#REF!</definedName>
    <definedName name="TAX_RATE" localSheetId="4">'[10]#REF'!#REF!</definedName>
    <definedName name="TAX_RATE" localSheetId="32">'[10]#REF'!#REF!</definedName>
    <definedName name="TAX_RATE" localSheetId="31">'[10]#REF'!#REF!</definedName>
    <definedName name="TAX_RATE" localSheetId="3">'[10]#REF'!#REF!</definedName>
    <definedName name="TAX_RATE" localSheetId="30">'[10]#REF'!#REF!</definedName>
    <definedName name="TAX_RATE" localSheetId="29">'[10]#REF'!#REF!</definedName>
    <definedName name="TAX_RATE" localSheetId="28">'[10]#REF'!#REF!</definedName>
    <definedName name="TAX_RATE" localSheetId="27">'[10]#REF'!#REF!</definedName>
    <definedName name="TAX_RATE" localSheetId="15">'[10]#REF'!#REF!</definedName>
    <definedName name="TAX_RATE" localSheetId="14">'[10]#REF'!#REF!</definedName>
    <definedName name="TAX_RATE" localSheetId="13">'[10]#REF'!#REF!</definedName>
    <definedName name="TAX_RATE" localSheetId="2">'[10]#REF'!#REF!</definedName>
    <definedName name="TAX_RATE">'[10]#REF'!#REF!</definedName>
    <definedName name="TempReptgMo">[8]Input!$AG$19</definedName>
    <definedName name="TempReptgYr">[8]Input!$AG$21</definedName>
    <definedName name="TenyrNIAC">#REF!</definedName>
    <definedName name="TenyrRev">#REF!</definedName>
    <definedName name="test" localSheetId="6">'2008'!test</definedName>
    <definedName name="test" localSheetId="5">'2009'!test</definedName>
    <definedName name="test" localSheetId="4">'2010'!test</definedName>
    <definedName name="test" localSheetId="3">'2011'!test</definedName>
    <definedName name="test" localSheetId="20">'Ex 3 - 2004'!test</definedName>
    <definedName name="test" localSheetId="19">'Ex 3 - 2005'!test</definedName>
    <definedName name="test" localSheetId="18">'Ex 3 - 2006'!test</definedName>
    <definedName name="test" localSheetId="17">'Ex 3 - 2007'!test</definedName>
    <definedName name="test" localSheetId="16">'Ex 3 - 2008'!test</definedName>
    <definedName name="test" localSheetId="15">'Ex 3 - 2009'!test</definedName>
    <definedName name="test" localSheetId="14">'Ex 3 - 2010'!test</definedName>
    <definedName name="test" localSheetId="13">'Ex 3 - 2011'!test</definedName>
    <definedName name="test" localSheetId="12">'Ex 3 - TY 2009'!test</definedName>
    <definedName name="test" localSheetId="22">'M&amp;S-Dec08'!test</definedName>
    <definedName name="test" localSheetId="1">'TY 2009'!test</definedName>
    <definedName name="test" localSheetId="2">'TY 2012'!test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 localSheetId="44">#REF!</definedName>
    <definedName name="ttt" localSheetId="55">#REF!</definedName>
    <definedName name="ttt" localSheetId="43">#REF!</definedName>
    <definedName name="ttt" localSheetId="42">#REF!</definedName>
    <definedName name="ttt" localSheetId="54">#REF!</definedName>
    <definedName name="ttt" localSheetId="41">#REF!</definedName>
    <definedName name="ttt" localSheetId="40">#REF!</definedName>
    <definedName name="ttt" localSheetId="53">#REF!</definedName>
    <definedName name="ttt" localSheetId="39">#REF!</definedName>
    <definedName name="ttt" localSheetId="38">#REF!</definedName>
    <definedName name="ttt" localSheetId="52">#REF!</definedName>
    <definedName name="ttt" localSheetId="37">#REF!</definedName>
    <definedName name="ttt" localSheetId="36">#REF!</definedName>
    <definedName name="ttt" localSheetId="35">#REF!</definedName>
    <definedName name="ttt" localSheetId="5">#REF!</definedName>
    <definedName name="ttt" localSheetId="34">#REF!</definedName>
    <definedName name="ttt" localSheetId="33">#REF!</definedName>
    <definedName name="ttt" localSheetId="4">#REF!</definedName>
    <definedName name="ttt" localSheetId="32">#REF!</definedName>
    <definedName name="ttt" localSheetId="31">#REF!</definedName>
    <definedName name="ttt" localSheetId="3">#REF!</definedName>
    <definedName name="ttt" localSheetId="30">#REF!</definedName>
    <definedName name="ttt" localSheetId="29">#REF!</definedName>
    <definedName name="ttt" localSheetId="28">#REF!</definedName>
    <definedName name="ttt" localSheetId="27">#REF!</definedName>
    <definedName name="ttt" localSheetId="15">#REF!</definedName>
    <definedName name="ttt" localSheetId="14">#REF!</definedName>
    <definedName name="ttt" localSheetId="13">#REF!</definedName>
    <definedName name="ttt" localSheetId="2">#REF!</definedName>
    <definedName name="ttt">#REF!</definedName>
    <definedName name="UpdateDate">[8]Input!$M$12</definedName>
    <definedName name="UpdateTime">[8]Input!$O$12</definedName>
    <definedName name="VALLEY" localSheetId="36">[7]Ins!#REF!</definedName>
    <definedName name="VALLEY" localSheetId="35">[7]Ins!#REF!</definedName>
    <definedName name="VALLEY" localSheetId="5">#REF!</definedName>
    <definedName name="VALLEY" localSheetId="34">[7]Ins!#REF!</definedName>
    <definedName name="VALLEY" localSheetId="33">[7]Ins!#REF!</definedName>
    <definedName name="VALLEY" localSheetId="4">#REF!</definedName>
    <definedName name="VALLEY" localSheetId="32">#REF!</definedName>
    <definedName name="VALLEY" localSheetId="31">[7]Ins!#REF!</definedName>
    <definedName name="VALLEY" localSheetId="3">#REF!</definedName>
    <definedName name="VALLEY" localSheetId="30">[7]Ins!#REF!</definedName>
    <definedName name="VALLEY" localSheetId="29">[7]Ins!#REF!</definedName>
    <definedName name="VALLEY" localSheetId="28">[7]Ins!#REF!</definedName>
    <definedName name="VALLEY" localSheetId="27">[7]Ins!#REF!</definedName>
    <definedName name="VALLEY" localSheetId="15">#REF!</definedName>
    <definedName name="VALLEY" localSheetId="14">#REF!</definedName>
    <definedName name="VALLEY" localSheetId="13">#REF!</definedName>
    <definedName name="VALLEY" localSheetId="2">#REF!</definedName>
    <definedName name="VALLEY">#REF!</definedName>
    <definedName name="Variance">#REF!</definedName>
    <definedName name="VIEW1">#REF!</definedName>
    <definedName name="vol_rev_annual_ku" localSheetId="5">'[6]LGE Retail Margin'!#REF!</definedName>
    <definedName name="vol_rev_annual_ku" localSheetId="34">'[6]LGE Retail Margin'!#REF!</definedName>
    <definedName name="vol_rev_annual_ku" localSheetId="33">'[6]LGE Retail Margin'!#REF!</definedName>
    <definedName name="vol_rev_annual_ku" localSheetId="4">'[6]LGE Retail Margin'!#REF!</definedName>
    <definedName name="vol_rev_annual_ku" localSheetId="32">'[6]LGE Retail Margin'!#REF!</definedName>
    <definedName name="vol_rev_annual_ku" localSheetId="31">'[6]LGE Retail Margin'!#REF!</definedName>
    <definedName name="vol_rev_annual_ku" localSheetId="3">'[6]LGE Retail Margin'!#REF!</definedName>
    <definedName name="vol_rev_annual_ku" localSheetId="30">'[6]LGE Retail Margin'!#REF!</definedName>
    <definedName name="vol_rev_annual_ku" localSheetId="29">'[6]LGE Retail Margin'!#REF!</definedName>
    <definedName name="vol_rev_annual_ku" localSheetId="28">'[6]LGE Retail Margin'!#REF!</definedName>
    <definedName name="vol_rev_annual_ku" localSheetId="27">'[6]LGE Retail Margin'!#REF!</definedName>
    <definedName name="vol_rev_annual_ku" localSheetId="15">'[6]LGE Retail Margin'!#REF!</definedName>
    <definedName name="vol_rev_annual_ku" localSheetId="14">'[6]LGE Retail Margin'!#REF!</definedName>
    <definedName name="vol_rev_annual_ku" localSheetId="13">'[6]LGE Retail Margin'!#REF!</definedName>
    <definedName name="vol_rev_annual_ku" localSheetId="2">'[6]LGE Retail Margin'!#REF!</definedName>
    <definedName name="vol_rev_annual_ku">'[6]LGE Retail Margin'!#REF!</definedName>
    <definedName name="vol_rev_hide_ku_monthly" localSheetId="5">'[6]LGE Retail Margin'!#REF!</definedName>
    <definedName name="vol_rev_hide_ku_monthly" localSheetId="34">'[6]LGE Retail Margin'!#REF!</definedName>
    <definedName name="vol_rev_hide_ku_monthly" localSheetId="33">'[6]LGE Retail Margin'!#REF!</definedName>
    <definedName name="vol_rev_hide_ku_monthly" localSheetId="4">'[6]LGE Retail Margin'!#REF!</definedName>
    <definedName name="vol_rev_hide_ku_monthly" localSheetId="32">'[6]LGE Retail Margin'!#REF!</definedName>
    <definedName name="vol_rev_hide_ku_monthly" localSheetId="31">'[6]LGE Retail Margin'!#REF!</definedName>
    <definedName name="vol_rev_hide_ku_monthly" localSheetId="3">'[6]LGE Retail Margin'!#REF!</definedName>
    <definedName name="vol_rev_hide_ku_monthly" localSheetId="30">'[6]LGE Retail Margin'!#REF!</definedName>
    <definedName name="vol_rev_hide_ku_monthly" localSheetId="29">'[6]LGE Retail Margin'!#REF!</definedName>
    <definedName name="vol_rev_hide_ku_monthly" localSheetId="28">'[6]LGE Retail Margin'!#REF!</definedName>
    <definedName name="vol_rev_hide_ku_monthly" localSheetId="27">'[6]LGE Retail Margin'!#REF!</definedName>
    <definedName name="vol_rev_hide_ku_monthly" localSheetId="15">'[6]LGE Retail Margin'!#REF!</definedName>
    <definedName name="vol_rev_hide_ku_monthly" localSheetId="14">'[6]LGE Retail Margin'!#REF!</definedName>
    <definedName name="vol_rev_hide_ku_monthly" localSheetId="13">'[6]LGE Retail Margin'!#REF!</definedName>
    <definedName name="vol_rev_hide_ku_monthly" localSheetId="2">'[6]LGE Retail Margin'!#REF!</definedName>
    <definedName name="vol_rev_hide_ku_monthly">'[6]LGE Retail Margin'!#REF!</definedName>
    <definedName name="vol_rev_hide_lge_01" localSheetId="5">'[6]LGE Retail Margin'!#REF!</definedName>
    <definedName name="vol_rev_hide_lge_01" localSheetId="34">'[6]LGE Retail Margin'!#REF!</definedName>
    <definedName name="vol_rev_hide_lge_01" localSheetId="33">'[6]LGE Retail Margin'!#REF!</definedName>
    <definedName name="vol_rev_hide_lge_01" localSheetId="4">'[6]LGE Retail Margin'!#REF!</definedName>
    <definedName name="vol_rev_hide_lge_01" localSheetId="32">'[6]LGE Retail Margin'!#REF!</definedName>
    <definedName name="vol_rev_hide_lge_01" localSheetId="31">'[6]LGE Retail Margin'!#REF!</definedName>
    <definedName name="vol_rev_hide_lge_01" localSheetId="3">'[6]LGE Retail Margin'!#REF!</definedName>
    <definedName name="vol_rev_hide_lge_01" localSheetId="30">'[6]LGE Retail Margin'!#REF!</definedName>
    <definedName name="vol_rev_hide_lge_01" localSheetId="29">'[6]LGE Retail Margin'!#REF!</definedName>
    <definedName name="vol_rev_hide_lge_01" localSheetId="28">'[6]LGE Retail Margin'!#REF!</definedName>
    <definedName name="vol_rev_hide_lge_01" localSheetId="27">'[6]LGE Retail Margin'!#REF!</definedName>
    <definedName name="vol_rev_hide_lge_01" localSheetId="15">'[6]LGE Retail Margin'!#REF!</definedName>
    <definedName name="vol_rev_hide_lge_01" localSheetId="14">'[6]LGE Retail Margin'!#REF!</definedName>
    <definedName name="vol_rev_hide_lge_01" localSheetId="13">'[6]LGE Retail Margin'!#REF!</definedName>
    <definedName name="vol_rev_hide_lge_01" localSheetId="2">'[6]LGE Retail Margin'!#REF!</definedName>
    <definedName name="vol_rev_hide_lge_01">'[6]LGE Retail Margin'!#REF!</definedName>
    <definedName name="vol_rev_ku_monthly" localSheetId="5">'[6]LGE Retail Margin'!#REF!</definedName>
    <definedName name="vol_rev_ku_monthly" localSheetId="34">'[6]LGE Retail Margin'!#REF!</definedName>
    <definedName name="vol_rev_ku_monthly" localSheetId="33">'[6]LGE Retail Margin'!#REF!</definedName>
    <definedName name="vol_rev_ku_monthly" localSheetId="4">'[6]LGE Retail Margin'!#REF!</definedName>
    <definedName name="vol_rev_ku_monthly" localSheetId="32">'[6]LGE Retail Margin'!#REF!</definedName>
    <definedName name="vol_rev_ku_monthly" localSheetId="31">'[6]LGE Retail Margin'!#REF!</definedName>
    <definedName name="vol_rev_ku_monthly" localSheetId="3">'[6]LGE Retail Margin'!#REF!</definedName>
    <definedName name="vol_rev_ku_monthly" localSheetId="30">'[6]LGE Retail Margin'!#REF!</definedName>
    <definedName name="vol_rev_ku_monthly" localSheetId="29">'[6]LGE Retail Margin'!#REF!</definedName>
    <definedName name="vol_rev_ku_monthly" localSheetId="28">'[6]LGE Retail Margin'!#REF!</definedName>
    <definedName name="vol_rev_ku_monthly" localSheetId="27">'[6]LGE Retail Margin'!#REF!</definedName>
    <definedName name="vol_rev_ku_monthly" localSheetId="15">'[6]LGE Retail Margin'!#REF!</definedName>
    <definedName name="vol_rev_ku_monthly" localSheetId="14">'[6]LGE Retail Margin'!#REF!</definedName>
    <definedName name="vol_rev_ku_monthly" localSheetId="13">'[6]LGE Retail Margin'!#REF!</definedName>
    <definedName name="vol_rev_ku_monthly" localSheetId="2">'[6]LGE Retail Margin'!#REF!</definedName>
    <definedName name="vol_rev_ku_monthly">'[6]LGE Retail Margin'!#REF!</definedName>
    <definedName name="volrev_data" localSheetId="5">'[6]LGE Retail Margin'!#REF!</definedName>
    <definedName name="volrev_data" localSheetId="34">'[6]LGE Retail Margin'!#REF!</definedName>
    <definedName name="volrev_data" localSheetId="33">'[6]LGE Retail Margin'!#REF!</definedName>
    <definedName name="volrev_data" localSheetId="4">'[6]LGE Retail Margin'!#REF!</definedName>
    <definedName name="volrev_data" localSheetId="32">'[6]LGE Retail Margin'!#REF!</definedName>
    <definedName name="volrev_data" localSheetId="31">'[6]LGE Retail Margin'!#REF!</definedName>
    <definedName name="volrev_data" localSheetId="3">'[6]LGE Retail Margin'!#REF!</definedName>
    <definedName name="volrev_data" localSheetId="30">'[6]LGE Retail Margin'!#REF!</definedName>
    <definedName name="volrev_data" localSheetId="29">'[6]LGE Retail Margin'!#REF!</definedName>
    <definedName name="volrev_data" localSheetId="28">'[6]LGE Retail Margin'!#REF!</definedName>
    <definedName name="volrev_data" localSheetId="27">'[6]LGE Retail Margin'!#REF!</definedName>
    <definedName name="volrev_data" localSheetId="15">'[6]LGE Retail Margin'!#REF!</definedName>
    <definedName name="volrev_data" localSheetId="14">'[6]LGE Retail Margin'!#REF!</definedName>
    <definedName name="volrev_data" localSheetId="13">'[6]LGE Retail Margin'!#REF!</definedName>
    <definedName name="volrev_data" localSheetId="2">'[6]LGE Retail Margin'!#REF!</definedName>
    <definedName name="volrev_data">'[6]LGE Retail Margin'!#REF!</definedName>
    <definedName name="WORKERS" localSheetId="36">[7]Ins!#REF!</definedName>
    <definedName name="WORKERS" localSheetId="35">[7]Ins!#REF!</definedName>
    <definedName name="WORKERS" localSheetId="5">#REF!</definedName>
    <definedName name="WORKERS" localSheetId="34">[7]Ins!#REF!</definedName>
    <definedName name="WORKERS" localSheetId="33">[7]Ins!#REF!</definedName>
    <definedName name="WORKERS" localSheetId="4">#REF!</definedName>
    <definedName name="WORKERS" localSheetId="32">#REF!</definedName>
    <definedName name="WORKERS" localSheetId="31">[7]Ins!#REF!</definedName>
    <definedName name="WORKERS" localSheetId="3">#REF!</definedName>
    <definedName name="WORKERS" localSheetId="30">[7]Ins!#REF!</definedName>
    <definedName name="WORKERS" localSheetId="29">[7]Ins!#REF!</definedName>
    <definedName name="WORKERS" localSheetId="28">[7]Ins!#REF!</definedName>
    <definedName name="WORKERS" localSheetId="27">[7]Ins!#REF!</definedName>
    <definedName name="WORKERS" localSheetId="15">#REF!</definedName>
    <definedName name="WORKERS" localSheetId="14">#REF!</definedName>
    <definedName name="WORKERS" localSheetId="13">#REF!</definedName>
    <definedName name="WORKERS" localSheetId="2">#REF!</definedName>
    <definedName name="WORKERS">#REF!</definedName>
    <definedName name="YTD" localSheetId="44">#REF!</definedName>
    <definedName name="YTD" localSheetId="55">#REF!</definedName>
    <definedName name="YTD" localSheetId="43">#REF!</definedName>
    <definedName name="YTD" localSheetId="42">#REF!</definedName>
    <definedName name="YTD" localSheetId="54">#REF!</definedName>
    <definedName name="YTD" localSheetId="41">#REF!</definedName>
    <definedName name="YTD" localSheetId="40">#REF!</definedName>
    <definedName name="YTD" localSheetId="53">#REF!</definedName>
    <definedName name="YTD" localSheetId="39">#REF!</definedName>
    <definedName name="YTD" localSheetId="38">#REF!</definedName>
    <definedName name="YTD" localSheetId="52">#REF!</definedName>
    <definedName name="YTD" localSheetId="37">#REF!</definedName>
    <definedName name="YTD" localSheetId="36">#REF!</definedName>
    <definedName name="YTD" localSheetId="35">#REF!</definedName>
    <definedName name="YTD" localSheetId="34">#REF!</definedName>
    <definedName name="YTD" localSheetId="33">#REF!</definedName>
    <definedName name="YTD" localSheetId="32">#REF!</definedName>
    <definedName name="YTD" localSheetId="31">#REF!</definedName>
    <definedName name="YTD" localSheetId="30">#REF!</definedName>
    <definedName name="YTD" localSheetId="29">#REF!</definedName>
    <definedName name="YTD" localSheetId="28">#REF!</definedName>
    <definedName name="YTD" localSheetId="27">#REF!</definedName>
    <definedName name="YTD">#REF!</definedName>
  </definedNames>
  <calcPr calcId="145621" calcMode="manual"/>
</workbook>
</file>

<file path=xl/calcChain.xml><?xml version="1.0" encoding="utf-8"?>
<calcChain xmlns="http://schemas.openxmlformats.org/spreadsheetml/2006/main">
  <c r="F41" i="116" l="1"/>
  <c r="D41" i="116"/>
  <c r="F31" i="116"/>
  <c r="D31" i="116"/>
  <c r="F22" i="116"/>
  <c r="D22" i="116"/>
  <c r="D33" i="116" s="1"/>
  <c r="H39" i="116"/>
  <c r="H38" i="116"/>
  <c r="H37" i="116"/>
  <c r="H36" i="116"/>
  <c r="H29" i="116"/>
  <c r="H28" i="116"/>
  <c r="H27" i="116"/>
  <c r="H26" i="116"/>
  <c r="H25" i="116"/>
  <c r="H31" i="116"/>
  <c r="H20" i="116"/>
  <c r="H17" i="116"/>
  <c r="H22" i="116"/>
  <c r="F41" i="117"/>
  <c r="D41" i="117"/>
  <c r="F31" i="117"/>
  <c r="D31" i="117"/>
  <c r="F22" i="117"/>
  <c r="F33" i="117" s="1"/>
  <c r="D22" i="117"/>
  <c r="D43" i="117"/>
  <c r="H39" i="117"/>
  <c r="H38" i="117"/>
  <c r="H37" i="117"/>
  <c r="H36" i="117"/>
  <c r="H41" i="117"/>
  <c r="H29" i="117"/>
  <c r="H28" i="117"/>
  <c r="H27" i="117"/>
  <c r="H26" i="117"/>
  <c r="H25" i="117"/>
  <c r="H20" i="117"/>
  <c r="H17" i="117"/>
  <c r="H22" i="117" s="1"/>
  <c r="F39" i="118"/>
  <c r="D39" i="118"/>
  <c r="H37" i="118"/>
  <c r="H36" i="118"/>
  <c r="H35" i="118"/>
  <c r="H34" i="118"/>
  <c r="H39" i="118"/>
  <c r="F31" i="118"/>
  <c r="D31" i="118"/>
  <c r="F22" i="118"/>
  <c r="D22" i="118"/>
  <c r="D41" i="118" s="1"/>
  <c r="D48" i="118" s="1"/>
  <c r="F20" i="4" s="1"/>
  <c r="H29" i="118"/>
  <c r="H28" i="118"/>
  <c r="H27" i="118"/>
  <c r="H26" i="118"/>
  <c r="H25" i="118"/>
  <c r="H20" i="118"/>
  <c r="H17" i="118"/>
  <c r="H22" i="118" s="1"/>
  <c r="F41" i="118"/>
  <c r="G37" i="121"/>
  <c r="G37" i="122"/>
  <c r="I55" i="113"/>
  <c r="E49" i="113"/>
  <c r="C49" i="113"/>
  <c r="G49" i="113" s="1"/>
  <c r="I49" i="113" s="1"/>
  <c r="E48" i="113"/>
  <c r="C48" i="113"/>
  <c r="G48" i="113" s="1"/>
  <c r="I48" i="113" s="1"/>
  <c r="E47" i="113"/>
  <c r="C47" i="113"/>
  <c r="E46" i="113"/>
  <c r="E51" i="113"/>
  <c r="C46" i="113"/>
  <c r="E40" i="113"/>
  <c r="C40" i="113"/>
  <c r="E39" i="113"/>
  <c r="C39" i="113"/>
  <c r="G39" i="113" s="1"/>
  <c r="I39" i="113" s="1"/>
  <c r="E38" i="113"/>
  <c r="E42" i="113"/>
  <c r="C38" i="113"/>
  <c r="E31" i="113"/>
  <c r="C31" i="113"/>
  <c r="E30" i="113"/>
  <c r="C30" i="113"/>
  <c r="G30" i="113" s="1"/>
  <c r="E29" i="113"/>
  <c r="C29" i="113"/>
  <c r="G29" i="113" s="1"/>
  <c r="E28" i="113"/>
  <c r="G28" i="113" s="1"/>
  <c r="I28" i="113" s="1"/>
  <c r="C28" i="113"/>
  <c r="E27" i="113"/>
  <c r="C27" i="113"/>
  <c r="E26" i="113"/>
  <c r="C26" i="113"/>
  <c r="E25" i="113"/>
  <c r="C25" i="113"/>
  <c r="G25" i="113" s="1"/>
  <c r="E24" i="113"/>
  <c r="C24" i="113"/>
  <c r="I24" i="113" s="1"/>
  <c r="G24" i="113"/>
  <c r="E22" i="113"/>
  <c r="C22" i="113"/>
  <c r="G22" i="113"/>
  <c r="I22" i="113" s="1"/>
  <c r="E21" i="113"/>
  <c r="C21" i="113"/>
  <c r="G21" i="113"/>
  <c r="I21" i="113" s="1"/>
  <c r="E20" i="113"/>
  <c r="C20" i="113"/>
  <c r="G20" i="113"/>
  <c r="I20" i="113" s="1"/>
  <c r="E19" i="113"/>
  <c r="C19" i="113"/>
  <c r="G19" i="113"/>
  <c r="I19" i="113" s="1"/>
  <c r="E18" i="113"/>
  <c r="C18" i="113"/>
  <c r="G18" i="113"/>
  <c r="I18" i="113" s="1"/>
  <c r="E17" i="113"/>
  <c r="C17" i="113"/>
  <c r="G17" i="113"/>
  <c r="I17" i="113" s="1"/>
  <c r="E16" i="113"/>
  <c r="E33" i="113" s="1"/>
  <c r="C16" i="113"/>
  <c r="E12" i="113"/>
  <c r="G12" i="113"/>
  <c r="I12" i="113" s="1"/>
  <c r="C12" i="113"/>
  <c r="E11" i="113"/>
  <c r="E14" i="113"/>
  <c r="C11" i="113"/>
  <c r="C14" i="113"/>
  <c r="A3" i="113"/>
  <c r="I30" i="113"/>
  <c r="G31" i="113"/>
  <c r="I31" i="113"/>
  <c r="G46" i="113"/>
  <c r="I46" i="113" s="1"/>
  <c r="H46" i="118"/>
  <c r="F46" i="118" s="1"/>
  <c r="G56" i="119"/>
  <c r="G37" i="119"/>
  <c r="G56" i="120"/>
  <c r="G37" i="120"/>
  <c r="A46" i="118"/>
  <c r="A48" i="118"/>
  <c r="G18" i="119"/>
  <c r="G18" i="120"/>
  <c r="G18" i="121"/>
  <c r="B52" i="122"/>
  <c r="B51" i="122"/>
  <c r="B49" i="122"/>
  <c r="B48" i="122"/>
  <c r="B33" i="122"/>
  <c r="F32" i="122"/>
  <c r="F51" i="122"/>
  <c r="B32" i="122"/>
  <c r="F31" i="122"/>
  <c r="F50" i="122" s="1"/>
  <c r="F30" i="122"/>
  <c r="F49" i="122" s="1"/>
  <c r="B30" i="122"/>
  <c r="F29" i="122"/>
  <c r="F48" i="122"/>
  <c r="B29" i="122"/>
  <c r="B50" i="122"/>
  <c r="B52" i="121"/>
  <c r="B51" i="121"/>
  <c r="B49" i="121"/>
  <c r="B48" i="121"/>
  <c r="B53" i="121" s="1"/>
  <c r="B33" i="121"/>
  <c r="F32" i="121"/>
  <c r="F51" i="121" s="1"/>
  <c r="B32" i="121"/>
  <c r="F31" i="121"/>
  <c r="F50" i="121"/>
  <c r="F30" i="121"/>
  <c r="F49" i="121"/>
  <c r="B30" i="121"/>
  <c r="F29" i="121"/>
  <c r="F48" i="121" s="1"/>
  <c r="B29" i="121"/>
  <c r="B34" i="121" s="1"/>
  <c r="B50" i="121"/>
  <c r="B52" i="120"/>
  <c r="B51" i="120"/>
  <c r="B50" i="120"/>
  <c r="B49" i="120"/>
  <c r="B48" i="120"/>
  <c r="B33" i="120"/>
  <c r="F32" i="120"/>
  <c r="F51" i="120" s="1"/>
  <c r="B32" i="120"/>
  <c r="F31" i="120"/>
  <c r="F50" i="120" s="1"/>
  <c r="B31" i="120"/>
  <c r="F30" i="120"/>
  <c r="F49" i="120"/>
  <c r="B30" i="120"/>
  <c r="F29" i="120"/>
  <c r="F48" i="120" s="1"/>
  <c r="B29" i="120"/>
  <c r="B34" i="120" s="1"/>
  <c r="B15" i="120"/>
  <c r="B52" i="119"/>
  <c r="B51" i="119"/>
  <c r="B49" i="119"/>
  <c r="B53" i="119" s="1"/>
  <c r="B48" i="119"/>
  <c r="B33" i="119"/>
  <c r="F32" i="119"/>
  <c r="F51" i="119"/>
  <c r="B32" i="119"/>
  <c r="F31" i="119"/>
  <c r="F50" i="119" s="1"/>
  <c r="F30" i="119"/>
  <c r="F49" i="119" s="1"/>
  <c r="B30" i="119"/>
  <c r="F29" i="119"/>
  <c r="F48" i="119"/>
  <c r="B29" i="119"/>
  <c r="B50" i="119"/>
  <c r="F79" i="115"/>
  <c r="F74" i="115"/>
  <c r="F75" i="115" s="1"/>
  <c r="D74" i="115"/>
  <c r="F71" i="115"/>
  <c r="D71" i="115"/>
  <c r="H71" i="115" s="1"/>
  <c r="B71" i="115"/>
  <c r="F37" i="115"/>
  <c r="H37" i="115" s="1"/>
  <c r="D37" i="115"/>
  <c r="F36" i="115"/>
  <c r="H36" i="115"/>
  <c r="D36" i="115"/>
  <c r="F35" i="115"/>
  <c r="D35" i="115"/>
  <c r="H35" i="115"/>
  <c r="F34" i="115"/>
  <c r="D34" i="115"/>
  <c r="D39" i="115" s="1"/>
  <c r="F29" i="115"/>
  <c r="F31" i="115" s="1"/>
  <c r="D29" i="115"/>
  <c r="F28" i="115"/>
  <c r="D28" i="115"/>
  <c r="H28" i="115" s="1"/>
  <c r="F27" i="115"/>
  <c r="D27" i="115"/>
  <c r="F26" i="115"/>
  <c r="D26" i="115"/>
  <c r="F25" i="115"/>
  <c r="D25" i="115"/>
  <c r="H25" i="115"/>
  <c r="F20" i="115"/>
  <c r="D20" i="115"/>
  <c r="F17" i="115"/>
  <c r="H17" i="115"/>
  <c r="D17" i="115"/>
  <c r="A17" i="115"/>
  <c r="A19" i="115" s="1"/>
  <c r="A20" i="115" s="1"/>
  <c r="A22" i="115" s="1"/>
  <c r="A24" i="115" s="1"/>
  <c r="A25" i="115" s="1"/>
  <c r="A26" i="115" s="1"/>
  <c r="A27" i="115" s="1"/>
  <c r="A28" i="115" s="1"/>
  <c r="A29" i="115" s="1"/>
  <c r="A31" i="115" s="1"/>
  <c r="A33" i="115" s="1"/>
  <c r="A34" i="115" s="1"/>
  <c r="A35" i="115" s="1"/>
  <c r="A36" i="115" s="1"/>
  <c r="A37" i="115" s="1"/>
  <c r="A39" i="115" s="1"/>
  <c r="A41" i="115" s="1"/>
  <c r="A44" i="115" s="1"/>
  <c r="A46" i="115" s="1"/>
  <c r="A48" i="115" s="1"/>
  <c r="A7" i="115"/>
  <c r="A60" i="115"/>
  <c r="B15" i="122"/>
  <c r="B31" i="122"/>
  <c r="B34" i="122"/>
  <c r="B15" i="121"/>
  <c r="B31" i="121"/>
  <c r="B15" i="119"/>
  <c r="B31" i="119"/>
  <c r="D22" i="115"/>
  <c r="D75" i="115"/>
  <c r="D77" i="115" s="1"/>
  <c r="D79" i="115"/>
  <c r="H79" i="115" s="1"/>
  <c r="B34" i="119"/>
  <c r="D46" i="64"/>
  <c r="G37" i="103"/>
  <c r="G18" i="103" s="1"/>
  <c r="F46" i="64"/>
  <c r="G56" i="103"/>
  <c r="H27" i="64"/>
  <c r="G56" i="9"/>
  <c r="G37" i="9"/>
  <c r="G56" i="8"/>
  <c r="G37" i="8"/>
  <c r="G18" i="8"/>
  <c r="G56" i="7"/>
  <c r="G37" i="7"/>
  <c r="G37" i="6"/>
  <c r="G18" i="6"/>
  <c r="G56" i="6"/>
  <c r="G56" i="104"/>
  <c r="G37" i="104"/>
  <c r="D28" i="58"/>
  <c r="F28" i="58" s="1"/>
  <c r="D27" i="58"/>
  <c r="F27" i="58" s="1"/>
  <c r="D28" i="56"/>
  <c r="F28" i="56" s="1"/>
  <c r="D27" i="56"/>
  <c r="F27" i="56"/>
  <c r="D28" i="54"/>
  <c r="F28" i="54"/>
  <c r="D27" i="54"/>
  <c r="F27" i="54"/>
  <c r="H34" i="64"/>
  <c r="H34" i="65"/>
  <c r="H34" i="58"/>
  <c r="D39" i="58"/>
  <c r="A33" i="58"/>
  <c r="A34" i="58" s="1"/>
  <c r="A35" i="58" s="1"/>
  <c r="A36" i="58" s="1"/>
  <c r="A37" i="58" s="1"/>
  <c r="A39" i="58" s="1"/>
  <c r="A41" i="58" s="1"/>
  <c r="A44" i="58" s="1"/>
  <c r="A46" i="58" s="1"/>
  <c r="A48" i="58" s="1"/>
  <c r="H34" i="56"/>
  <c r="D39" i="56"/>
  <c r="D41" i="56" s="1"/>
  <c r="A33" i="56"/>
  <c r="A34" i="56"/>
  <c r="A35" i="56" s="1"/>
  <c r="A36" i="56" s="1"/>
  <c r="A37" i="56" s="1"/>
  <c r="A39" i="56" s="1"/>
  <c r="A41" i="56" s="1"/>
  <c r="A44" i="56"/>
  <c r="A46" i="56" s="1"/>
  <c r="A48" i="56" s="1"/>
  <c r="H34" i="54"/>
  <c r="D39" i="54"/>
  <c r="D31" i="54"/>
  <c r="A33" i="54"/>
  <c r="A34" i="54" s="1"/>
  <c r="A35" i="54" s="1"/>
  <c r="A36" i="54" s="1"/>
  <c r="A37" i="54" s="1"/>
  <c r="A39" i="54" s="1"/>
  <c r="A41" i="54" s="1"/>
  <c r="A44" i="54" s="1"/>
  <c r="A46" i="54" s="1"/>
  <c r="A48" i="54" s="1"/>
  <c r="A33" i="52"/>
  <c r="A34" i="52" s="1"/>
  <c r="A35" i="52" s="1"/>
  <c r="A36" i="52" s="1"/>
  <c r="A37" i="52"/>
  <c r="A39" i="52" s="1"/>
  <c r="A41" i="52" s="1"/>
  <c r="A44" i="52" s="1"/>
  <c r="A46" i="52" s="1"/>
  <c r="A48" i="52" s="1"/>
  <c r="A33" i="64"/>
  <c r="A34" i="64" s="1"/>
  <c r="A35" i="64" s="1"/>
  <c r="A36" i="64" s="1"/>
  <c r="A37" i="64" s="1"/>
  <c r="A39" i="64" s="1"/>
  <c r="A41" i="64"/>
  <c r="A44" i="64" s="1"/>
  <c r="A46" i="64" s="1"/>
  <c r="A48" i="64" s="1"/>
  <c r="H34" i="52"/>
  <c r="H39" i="52" s="1"/>
  <c r="D39" i="52"/>
  <c r="D39" i="65"/>
  <c r="G18" i="104"/>
  <c r="D74" i="64"/>
  <c r="D76" i="64"/>
  <c r="D78" i="64" s="1"/>
  <c r="H35" i="64"/>
  <c r="F37" i="64"/>
  <c r="H35" i="52"/>
  <c r="H36" i="52"/>
  <c r="H37" i="52"/>
  <c r="H17" i="54"/>
  <c r="H20" i="54"/>
  <c r="H22" i="54" s="1"/>
  <c r="H25" i="54"/>
  <c r="H31" i="54" s="1"/>
  <c r="H26" i="54"/>
  <c r="H29" i="54"/>
  <c r="H35" i="54"/>
  <c r="H39" i="54" s="1"/>
  <c r="H36" i="54"/>
  <c r="H37" i="54"/>
  <c r="H35" i="56"/>
  <c r="H36" i="56"/>
  <c r="H37" i="56"/>
  <c r="H35" i="58"/>
  <c r="H39" i="58" s="1"/>
  <c r="H36" i="58"/>
  <c r="H37" i="58"/>
  <c r="B38" i="105"/>
  <c r="P21" i="105"/>
  <c r="P22" i="105"/>
  <c r="P27" i="105" s="1"/>
  <c r="O21" i="105"/>
  <c r="O22" i="105" s="1"/>
  <c r="O27" i="105" s="1"/>
  <c r="N9" i="105"/>
  <c r="Q9" i="105"/>
  <c r="J9" i="105" s="1"/>
  <c r="N21" i="105"/>
  <c r="N22" i="105" s="1"/>
  <c r="N27" i="105"/>
  <c r="L9" i="105"/>
  <c r="L21" i="105"/>
  <c r="L22" i="105" s="1"/>
  <c r="L27" i="105" s="1"/>
  <c r="Q7" i="105"/>
  <c r="J7" i="105"/>
  <c r="Q8" i="105"/>
  <c r="J8" i="105"/>
  <c r="Q10" i="105"/>
  <c r="J10" i="105"/>
  <c r="Q11" i="105"/>
  <c r="J11" i="105"/>
  <c r="Q12" i="105"/>
  <c r="J12" i="105"/>
  <c r="Q13" i="105"/>
  <c r="J13" i="105"/>
  <c r="Q14" i="105"/>
  <c r="J14" i="105"/>
  <c r="Q15" i="105"/>
  <c r="J15" i="105"/>
  <c r="Q16" i="105"/>
  <c r="J16" i="105"/>
  <c r="Q17" i="105"/>
  <c r="J17" i="105"/>
  <c r="Q18" i="105"/>
  <c r="J18" i="105"/>
  <c r="Q19" i="105"/>
  <c r="J19" i="105"/>
  <c r="H9" i="105"/>
  <c r="H21" i="105"/>
  <c r="H22" i="105" s="1"/>
  <c r="H27" i="105"/>
  <c r="F21" i="105"/>
  <c r="F22" i="105"/>
  <c r="F27" i="105" s="1"/>
  <c r="D9" i="105"/>
  <c r="D21" i="105" s="1"/>
  <c r="D22" i="105" s="1"/>
  <c r="B38" i="96"/>
  <c r="D35" i="96"/>
  <c r="J35" i="96" s="1"/>
  <c r="P21" i="96"/>
  <c r="P22" i="96" s="1"/>
  <c r="P27" i="96" s="1"/>
  <c r="O21" i="96"/>
  <c r="O22" i="96"/>
  <c r="O27" i="96" s="1"/>
  <c r="N7" i="96"/>
  <c r="N21" i="96" s="1"/>
  <c r="N22" i="96" s="1"/>
  <c r="N27" i="96" s="1"/>
  <c r="N19" i="96"/>
  <c r="L19" i="96"/>
  <c r="L21" i="96"/>
  <c r="L22" i="96" s="1"/>
  <c r="Q8" i="96"/>
  <c r="J8" i="96" s="1"/>
  <c r="Q9" i="96"/>
  <c r="J9" i="96" s="1"/>
  <c r="Q10" i="96"/>
  <c r="J10" i="96" s="1"/>
  <c r="Q11" i="96"/>
  <c r="J11" i="96" s="1"/>
  <c r="Q12" i="96"/>
  <c r="J12" i="96" s="1"/>
  <c r="Q13" i="96"/>
  <c r="J13" i="96" s="1"/>
  <c r="Q14" i="96"/>
  <c r="J14" i="96" s="1"/>
  <c r="Q15" i="96"/>
  <c r="J15" i="96" s="1"/>
  <c r="Q16" i="96"/>
  <c r="J16" i="96" s="1"/>
  <c r="Q17" i="96"/>
  <c r="J17" i="96" s="1"/>
  <c r="Q18" i="96"/>
  <c r="J18" i="96" s="1"/>
  <c r="Q19" i="96"/>
  <c r="J19" i="96" s="1"/>
  <c r="H19" i="96"/>
  <c r="H21" i="96" s="1"/>
  <c r="H22" i="96"/>
  <c r="H27" i="96" s="1"/>
  <c r="F21" i="96"/>
  <c r="F22" i="96" s="1"/>
  <c r="F27" i="96"/>
  <c r="D19" i="96"/>
  <c r="D21" i="96"/>
  <c r="D22" i="96" s="1"/>
  <c r="D74" i="58"/>
  <c r="D76" i="58" s="1"/>
  <c r="D78" i="58"/>
  <c r="H78" i="58" s="1"/>
  <c r="D74" i="56"/>
  <c r="D76" i="56" s="1"/>
  <c r="D78" i="56"/>
  <c r="H78" i="56" s="1"/>
  <c r="D74" i="54"/>
  <c r="D76" i="54" s="1"/>
  <c r="D78" i="54"/>
  <c r="H78" i="54" s="1"/>
  <c r="D74" i="52"/>
  <c r="D76" i="52" s="1"/>
  <c r="D78" i="52"/>
  <c r="H78" i="52" s="1"/>
  <c r="F39" i="58"/>
  <c r="F39" i="56"/>
  <c r="F22" i="54"/>
  <c r="F39" i="54"/>
  <c r="D22" i="54"/>
  <c r="D41" i="54" s="1"/>
  <c r="F39" i="52"/>
  <c r="D28" i="52"/>
  <c r="F28" i="52"/>
  <c r="D27" i="52"/>
  <c r="F27" i="52"/>
  <c r="H46" i="65"/>
  <c r="B38" i="92"/>
  <c r="D35" i="92" s="1"/>
  <c r="J35" i="92" s="1"/>
  <c r="J21" i="92"/>
  <c r="J22" i="92"/>
  <c r="J27" i="92" s="1"/>
  <c r="H21" i="92"/>
  <c r="H22" i="92" s="1"/>
  <c r="H27" i="92" s="1"/>
  <c r="F21" i="92"/>
  <c r="F22" i="92"/>
  <c r="F27" i="92" s="1"/>
  <c r="D21" i="92"/>
  <c r="D22" i="92" s="1"/>
  <c r="H70" i="64"/>
  <c r="H73" i="64"/>
  <c r="H28" i="64"/>
  <c r="H17" i="52"/>
  <c r="H22" i="52"/>
  <c r="H20" i="52"/>
  <c r="H25" i="52"/>
  <c r="H26" i="52"/>
  <c r="H29" i="52"/>
  <c r="F22" i="64"/>
  <c r="F74" i="64"/>
  <c r="F76" i="64"/>
  <c r="H17" i="64"/>
  <c r="H20" i="64"/>
  <c r="H25" i="64"/>
  <c r="H26" i="64"/>
  <c r="H29" i="64"/>
  <c r="F66" i="64"/>
  <c r="H74" i="58"/>
  <c r="H76" i="58"/>
  <c r="F74" i="58"/>
  <c r="F76" i="58"/>
  <c r="H17" i="58"/>
  <c r="H20" i="58"/>
  <c r="H25" i="58"/>
  <c r="H31" i="58" s="1"/>
  <c r="H26" i="58"/>
  <c r="H29" i="58"/>
  <c r="F22" i="58"/>
  <c r="D22" i="58"/>
  <c r="H73" i="56"/>
  <c r="H74" i="56" s="1"/>
  <c r="H70" i="56"/>
  <c r="H76" i="56" s="1"/>
  <c r="F74" i="56"/>
  <c r="F76" i="56" s="1"/>
  <c r="H25" i="56"/>
  <c r="H26" i="56"/>
  <c r="H29" i="56"/>
  <c r="H31" i="56" s="1"/>
  <c r="H17" i="56"/>
  <c r="H22" i="56" s="1"/>
  <c r="H20" i="56"/>
  <c r="F22" i="56"/>
  <c r="D22" i="56"/>
  <c r="H73" i="54"/>
  <c r="H74" i="54" s="1"/>
  <c r="H70" i="54"/>
  <c r="H76" i="54" s="1"/>
  <c r="F74" i="54"/>
  <c r="F76" i="54" s="1"/>
  <c r="H73" i="52"/>
  <c r="H74" i="52" s="1"/>
  <c r="H70" i="52"/>
  <c r="F74" i="52"/>
  <c r="F76" i="52" s="1"/>
  <c r="F22" i="52"/>
  <c r="D22" i="52"/>
  <c r="D22" i="64"/>
  <c r="D31" i="64"/>
  <c r="F22" i="65"/>
  <c r="F39" i="65"/>
  <c r="D22" i="65"/>
  <c r="D41" i="65" s="1"/>
  <c r="D48" i="65" s="1"/>
  <c r="D31" i="65"/>
  <c r="H17" i="65"/>
  <c r="H22" i="65" s="1"/>
  <c r="H20" i="65"/>
  <c r="H25" i="65"/>
  <c r="H26" i="65"/>
  <c r="H28" i="65"/>
  <c r="H29" i="65"/>
  <c r="H35" i="65"/>
  <c r="H39" i="65"/>
  <c r="H36" i="65"/>
  <c r="H37" i="65"/>
  <c r="D75" i="65"/>
  <c r="D77" i="65"/>
  <c r="D79" i="65" s="1"/>
  <c r="H79" i="65" s="1"/>
  <c r="H71" i="65"/>
  <c r="H74" i="65"/>
  <c r="H75" i="65" s="1"/>
  <c r="H77" i="65" s="1"/>
  <c r="F75" i="65"/>
  <c r="F77" i="65" s="1"/>
  <c r="D14" i="65"/>
  <c r="H14" i="65" s="1"/>
  <c r="A7" i="65"/>
  <c r="A60" i="65"/>
  <c r="A17" i="65"/>
  <c r="A19" i="65"/>
  <c r="A20" i="65" s="1"/>
  <c r="A22" i="65" s="1"/>
  <c r="A24" i="65" s="1"/>
  <c r="A25" i="65"/>
  <c r="A26" i="65" s="1"/>
  <c r="A27" i="65" s="1"/>
  <c r="A28" i="65" s="1"/>
  <c r="A29" i="65"/>
  <c r="A31" i="65" s="1"/>
  <c r="A33" i="65" s="1"/>
  <c r="A34" i="65" s="1"/>
  <c r="A35" i="65" s="1"/>
  <c r="A36" i="65" s="1"/>
  <c r="A37" i="65" s="1"/>
  <c r="A39" i="65" s="1"/>
  <c r="A41" i="65" s="1"/>
  <c r="A44" i="65" s="1"/>
  <c r="B12" i="104"/>
  <c r="B50" i="104"/>
  <c r="B12" i="103"/>
  <c r="B50" i="103" s="1"/>
  <c r="B31" i="103"/>
  <c r="B52" i="103"/>
  <c r="B48" i="103"/>
  <c r="B49" i="103"/>
  <c r="B51" i="103"/>
  <c r="B52" i="104"/>
  <c r="B48" i="104"/>
  <c r="B49" i="104"/>
  <c r="B51" i="104"/>
  <c r="B29" i="103"/>
  <c r="B34" i="103" s="1"/>
  <c r="B30" i="103"/>
  <c r="B32" i="103"/>
  <c r="B33" i="103"/>
  <c r="F29" i="103"/>
  <c r="F48" i="103"/>
  <c r="F30" i="103"/>
  <c r="F49" i="103"/>
  <c r="F31" i="103"/>
  <c r="F50" i="103"/>
  <c r="F32" i="103"/>
  <c r="F51" i="103"/>
  <c r="B29" i="104"/>
  <c r="B30" i="104"/>
  <c r="B32" i="104"/>
  <c r="B33" i="104"/>
  <c r="F29" i="104"/>
  <c r="F48" i="104" s="1"/>
  <c r="F30" i="104"/>
  <c r="F49" i="104" s="1"/>
  <c r="F31" i="104"/>
  <c r="F32" i="104"/>
  <c r="F51" i="104"/>
  <c r="F50" i="104"/>
  <c r="B15" i="103"/>
  <c r="A3" i="98"/>
  <c r="C11" i="98"/>
  <c r="G11" i="98"/>
  <c r="I11" i="98" s="1"/>
  <c r="E11" i="98"/>
  <c r="C13" i="98"/>
  <c r="C15" i="98"/>
  <c r="E15" i="98"/>
  <c r="G15" i="98" s="1"/>
  <c r="I15" i="98" s="1"/>
  <c r="C16" i="98"/>
  <c r="E16" i="98"/>
  <c r="G16" i="98" s="1"/>
  <c r="I16" i="98" s="1"/>
  <c r="C17" i="98"/>
  <c r="E17" i="98"/>
  <c r="G17" i="98" s="1"/>
  <c r="I17" i="98" s="1"/>
  <c r="C18" i="98"/>
  <c r="E18" i="98"/>
  <c r="G18" i="98" s="1"/>
  <c r="I18" i="98" s="1"/>
  <c r="C19" i="98"/>
  <c r="E19" i="98"/>
  <c r="G19" i="98" s="1"/>
  <c r="I19" i="98" s="1"/>
  <c r="C20" i="98"/>
  <c r="E20" i="98"/>
  <c r="G20" i="98" s="1"/>
  <c r="I20" i="98" s="1"/>
  <c r="C21" i="98"/>
  <c r="E21" i="98"/>
  <c r="G21" i="98" s="1"/>
  <c r="I21" i="98" s="1"/>
  <c r="C23" i="98"/>
  <c r="E23" i="98"/>
  <c r="C24" i="98"/>
  <c r="E24" i="98"/>
  <c r="G24" i="98" s="1"/>
  <c r="C25" i="98"/>
  <c r="E25" i="98"/>
  <c r="C26" i="98"/>
  <c r="G26" i="98"/>
  <c r="E26" i="98"/>
  <c r="C27" i="98"/>
  <c r="E27" i="98"/>
  <c r="C28" i="98"/>
  <c r="E28" i="98"/>
  <c r="G28" i="98" s="1"/>
  <c r="I28" i="98" s="1"/>
  <c r="C29" i="98"/>
  <c r="E29" i="98"/>
  <c r="C30" i="98"/>
  <c r="G30" i="98"/>
  <c r="E30" i="98"/>
  <c r="C37" i="98"/>
  <c r="G37" i="98" s="1"/>
  <c r="I37" i="98" s="1"/>
  <c r="E37" i="98"/>
  <c r="C38" i="98"/>
  <c r="G38" i="98" s="1"/>
  <c r="I38" i="98" s="1"/>
  <c r="E38" i="98"/>
  <c r="C40" i="98"/>
  <c r="C44" i="98"/>
  <c r="E44" i="98"/>
  <c r="G44" i="98" s="1"/>
  <c r="I44" i="98" s="1"/>
  <c r="C45" i="98"/>
  <c r="E45" i="98"/>
  <c r="C46" i="98"/>
  <c r="E46" i="98"/>
  <c r="G46" i="98" s="1"/>
  <c r="I46" i="98" s="1"/>
  <c r="C47" i="98"/>
  <c r="E47" i="98"/>
  <c r="G47" i="98" s="1"/>
  <c r="I47" i="98" s="1"/>
  <c r="C49" i="98"/>
  <c r="A2" i="97"/>
  <c r="D9" i="97"/>
  <c r="F9" i="97"/>
  <c r="F12" i="97" s="1"/>
  <c r="K9" i="97"/>
  <c r="M9" i="97"/>
  <c r="D10" i="97"/>
  <c r="D12" i="97" s="1"/>
  <c r="F10" i="97"/>
  <c r="K10" i="97"/>
  <c r="M10" i="97"/>
  <c r="K11" i="97"/>
  <c r="M11" i="97"/>
  <c r="K12" i="97"/>
  <c r="K15" i="97" s="1"/>
  <c r="M12" i="97"/>
  <c r="K13" i="97"/>
  <c r="M13" i="97"/>
  <c r="D17" i="97"/>
  <c r="F17" i="97"/>
  <c r="D18" i="97"/>
  <c r="F18" i="97"/>
  <c r="F23" i="97" s="1"/>
  <c r="K18" i="97"/>
  <c r="M18" i="97"/>
  <c r="D19" i="97"/>
  <c r="F19" i="97"/>
  <c r="K19" i="97"/>
  <c r="K21" i="97" s="1"/>
  <c r="M19" i="97"/>
  <c r="M21" i="97"/>
  <c r="D20" i="97"/>
  <c r="F20" i="97"/>
  <c r="D21" i="97"/>
  <c r="F21" i="97"/>
  <c r="D27" i="97"/>
  <c r="F27" i="97"/>
  <c r="D28" i="97"/>
  <c r="F28" i="97"/>
  <c r="K28" i="97"/>
  <c r="M28" i="97"/>
  <c r="D29" i="97"/>
  <c r="F29" i="97"/>
  <c r="K29" i="97"/>
  <c r="M29" i="97"/>
  <c r="M36" i="97" s="1"/>
  <c r="D30" i="97"/>
  <c r="F30" i="97"/>
  <c r="K30" i="97"/>
  <c r="M30" i="97"/>
  <c r="D31" i="97"/>
  <c r="F31" i="97"/>
  <c r="K31" i="97"/>
  <c r="M31" i="97"/>
  <c r="K32" i="97"/>
  <c r="M32" i="97"/>
  <c r="D33" i="97"/>
  <c r="F33" i="97"/>
  <c r="M33" i="97"/>
  <c r="D34" i="97"/>
  <c r="F34" i="97"/>
  <c r="K34" i="97"/>
  <c r="M34" i="97"/>
  <c r="D35" i="97"/>
  <c r="F35" i="97"/>
  <c r="D36" i="97"/>
  <c r="F36" i="97"/>
  <c r="D37" i="97"/>
  <c r="F37" i="97"/>
  <c r="D38" i="97"/>
  <c r="F38" i="97"/>
  <c r="K42" i="97"/>
  <c r="K51" i="97" s="1"/>
  <c r="M42" i="97"/>
  <c r="K43" i="97"/>
  <c r="M43" i="97"/>
  <c r="D44" i="97"/>
  <c r="F44" i="97"/>
  <c r="K44" i="97"/>
  <c r="M44" i="97"/>
  <c r="D45" i="97"/>
  <c r="D50" i="97" s="1"/>
  <c r="F45" i="97"/>
  <c r="K45" i="97"/>
  <c r="M45" i="97"/>
  <c r="D46" i="97"/>
  <c r="F46" i="97"/>
  <c r="K46" i="97"/>
  <c r="M46" i="97"/>
  <c r="D47" i="97"/>
  <c r="F47" i="97"/>
  <c r="K47" i="97"/>
  <c r="M47" i="97"/>
  <c r="D48" i="97"/>
  <c r="F48" i="97"/>
  <c r="M48" i="97"/>
  <c r="K49" i="97"/>
  <c r="M49" i="97"/>
  <c r="D7" i="93"/>
  <c r="F7" i="93"/>
  <c r="H7" i="93"/>
  <c r="J7" i="93"/>
  <c r="D21" i="93"/>
  <c r="F21" i="93"/>
  <c r="H21" i="93"/>
  <c r="J21" i="93"/>
  <c r="D22" i="93"/>
  <c r="F22" i="93"/>
  <c r="H22" i="93"/>
  <c r="J22" i="93"/>
  <c r="B38" i="93"/>
  <c r="F27" i="93"/>
  <c r="H27" i="93"/>
  <c r="J27" i="93"/>
  <c r="D7" i="94"/>
  <c r="F7" i="94"/>
  <c r="H7" i="94"/>
  <c r="J7" i="94"/>
  <c r="D21" i="94"/>
  <c r="F21" i="94"/>
  <c r="H21" i="94"/>
  <c r="H22" i="94" s="1"/>
  <c r="H27" i="94" s="1"/>
  <c r="J21" i="94"/>
  <c r="J22" i="94" s="1"/>
  <c r="J27" i="94" s="1"/>
  <c r="D22" i="94"/>
  <c r="F22" i="94"/>
  <c r="F27" i="94" s="1"/>
  <c r="B38" i="94"/>
  <c r="D7" i="95"/>
  <c r="F7" i="95"/>
  <c r="H7" i="95"/>
  <c r="J7" i="95"/>
  <c r="D21" i="95"/>
  <c r="F21" i="95"/>
  <c r="F22" i="95" s="1"/>
  <c r="F27" i="95"/>
  <c r="H21" i="95"/>
  <c r="J21" i="95"/>
  <c r="J22" i="95" s="1"/>
  <c r="J27" i="95"/>
  <c r="D22" i="95"/>
  <c r="H22" i="95"/>
  <c r="H27" i="95" s="1"/>
  <c r="B38" i="95"/>
  <c r="D35" i="95" s="1"/>
  <c r="J35" i="95"/>
  <c r="A4" i="68"/>
  <c r="G12" i="68"/>
  <c r="I12" i="68" s="1"/>
  <c r="G13" i="68"/>
  <c r="I13" i="68" s="1"/>
  <c r="G15" i="68"/>
  <c r="I15" i="68" s="1"/>
  <c r="G18" i="68"/>
  <c r="I18" i="68" s="1"/>
  <c r="G19" i="68"/>
  <c r="I19" i="68" s="1"/>
  <c r="G20" i="68"/>
  <c r="I20" i="68" s="1"/>
  <c r="G21" i="68"/>
  <c r="I21" i="68" s="1"/>
  <c r="G22" i="68"/>
  <c r="I22" i="68" s="1"/>
  <c r="G23" i="68"/>
  <c r="I23" i="68" s="1"/>
  <c r="G24" i="68"/>
  <c r="I24" i="68" s="1"/>
  <c r="G26" i="68"/>
  <c r="I26" i="68" s="1"/>
  <c r="G27" i="68"/>
  <c r="I27" i="68" s="1"/>
  <c r="G28" i="68"/>
  <c r="I28" i="68" s="1"/>
  <c r="G29" i="68"/>
  <c r="I29" i="68" s="1"/>
  <c r="G30" i="68"/>
  <c r="I30" i="68"/>
  <c r="G31" i="68"/>
  <c r="I31" i="68"/>
  <c r="G32" i="68"/>
  <c r="I32" i="68" s="1"/>
  <c r="G33" i="68"/>
  <c r="I33" i="68" s="1"/>
  <c r="G34" i="68"/>
  <c r="I34" i="68" s="1"/>
  <c r="G35" i="68"/>
  <c r="I35" i="68" s="1"/>
  <c r="G37" i="68"/>
  <c r="I37" i="68" s="1"/>
  <c r="G39" i="68"/>
  <c r="I39" i="68" s="1"/>
  <c r="G42" i="68"/>
  <c r="I42" i="68" s="1"/>
  <c r="G43" i="68"/>
  <c r="I43" i="68" s="1"/>
  <c r="G45" i="68"/>
  <c r="I45" i="68" s="1"/>
  <c r="G47" i="68"/>
  <c r="I47" i="68" s="1"/>
  <c r="G49" i="68"/>
  <c r="I49" i="68" s="1"/>
  <c r="G50" i="68"/>
  <c r="I50" i="68" s="1"/>
  <c r="G51" i="68"/>
  <c r="I51" i="68" s="1"/>
  <c r="G52" i="68"/>
  <c r="I52" i="68" s="1"/>
  <c r="G54" i="68"/>
  <c r="I54" i="68" s="1"/>
  <c r="G56" i="68"/>
  <c r="I56" i="68" s="1"/>
  <c r="G58" i="68"/>
  <c r="G60" i="68"/>
  <c r="I60" i="68"/>
  <c r="G62" i="68"/>
  <c r="I62" i="68"/>
  <c r="G64" i="68"/>
  <c r="I64" i="68"/>
  <c r="A4" i="70"/>
  <c r="G12" i="70"/>
  <c r="I12" i="70" s="1"/>
  <c r="G13" i="70"/>
  <c r="I13" i="70" s="1"/>
  <c r="G15" i="70"/>
  <c r="I15" i="70" s="1"/>
  <c r="G18" i="70"/>
  <c r="I18" i="70" s="1"/>
  <c r="G19" i="70"/>
  <c r="I19" i="70" s="1"/>
  <c r="G20" i="70"/>
  <c r="I20" i="70" s="1"/>
  <c r="G21" i="70"/>
  <c r="I21" i="70" s="1"/>
  <c r="G22" i="70"/>
  <c r="I22" i="70" s="1"/>
  <c r="G23" i="70"/>
  <c r="I23" i="70" s="1"/>
  <c r="G24" i="70"/>
  <c r="I24" i="70" s="1"/>
  <c r="G26" i="70"/>
  <c r="I26" i="70" s="1"/>
  <c r="G27" i="70"/>
  <c r="I27" i="70" s="1"/>
  <c r="G28" i="70"/>
  <c r="I28" i="70" s="1"/>
  <c r="G29" i="70"/>
  <c r="I29" i="70" s="1"/>
  <c r="G30" i="70"/>
  <c r="I30" i="70"/>
  <c r="G31" i="70"/>
  <c r="I31" i="70"/>
  <c r="G32" i="70"/>
  <c r="I32" i="70" s="1"/>
  <c r="G34" i="70"/>
  <c r="I34" i="70" s="1"/>
  <c r="G35" i="70"/>
  <c r="I35" i="70" s="1"/>
  <c r="G37" i="70"/>
  <c r="I37" i="70" s="1"/>
  <c r="G39" i="70"/>
  <c r="I39" i="70" s="1"/>
  <c r="G42" i="70"/>
  <c r="I42" i="70" s="1"/>
  <c r="G43" i="70"/>
  <c r="I43" i="70" s="1"/>
  <c r="G45" i="70"/>
  <c r="I45" i="70" s="1"/>
  <c r="G47" i="70"/>
  <c r="I47" i="70" s="1"/>
  <c r="G49" i="70"/>
  <c r="I49" i="70" s="1"/>
  <c r="G50" i="70"/>
  <c r="I50" i="70" s="1"/>
  <c r="G51" i="70"/>
  <c r="I51" i="70" s="1"/>
  <c r="G52" i="70"/>
  <c r="I52" i="70" s="1"/>
  <c r="G54" i="70"/>
  <c r="I54" i="70" s="1"/>
  <c r="G56" i="70"/>
  <c r="I56" i="70" s="1"/>
  <c r="G58" i="70"/>
  <c r="G60" i="70"/>
  <c r="I60" i="70"/>
  <c r="G62" i="70"/>
  <c r="I62" i="70"/>
  <c r="G64" i="70"/>
  <c r="I64" i="70"/>
  <c r="A4" i="72"/>
  <c r="G12" i="72"/>
  <c r="I12" i="72" s="1"/>
  <c r="G13" i="72"/>
  <c r="I13" i="72" s="1"/>
  <c r="G15" i="72"/>
  <c r="I15" i="72" s="1"/>
  <c r="G18" i="72"/>
  <c r="I18" i="72" s="1"/>
  <c r="G19" i="72"/>
  <c r="I19" i="72" s="1"/>
  <c r="G20" i="72"/>
  <c r="I20" i="72" s="1"/>
  <c r="G21" i="72"/>
  <c r="I21" i="72" s="1"/>
  <c r="G22" i="72"/>
  <c r="I22" i="72" s="1"/>
  <c r="G23" i="72"/>
  <c r="I23" i="72" s="1"/>
  <c r="G24" i="72"/>
  <c r="I24" i="72" s="1"/>
  <c r="G26" i="72"/>
  <c r="I26" i="72" s="1"/>
  <c r="G27" i="72"/>
  <c r="I27" i="72" s="1"/>
  <c r="G28" i="72"/>
  <c r="I28" i="72" s="1"/>
  <c r="G29" i="72"/>
  <c r="I29" i="72" s="1"/>
  <c r="G30" i="72"/>
  <c r="G31" i="72"/>
  <c r="G32" i="72"/>
  <c r="I32" i="72" s="1"/>
  <c r="G33" i="72"/>
  <c r="I33" i="72" s="1"/>
  <c r="G34" i="72"/>
  <c r="I34" i="72" s="1"/>
  <c r="G36" i="72"/>
  <c r="I36" i="72" s="1"/>
  <c r="G38" i="72"/>
  <c r="I38" i="72" s="1"/>
  <c r="G40" i="72"/>
  <c r="I40" i="72" s="1"/>
  <c r="G41" i="72"/>
  <c r="I41" i="72" s="1"/>
  <c r="G43" i="72"/>
  <c r="I43" i="72" s="1"/>
  <c r="G45" i="72"/>
  <c r="I45" i="72" s="1"/>
  <c r="G47" i="72"/>
  <c r="I47" i="72" s="1"/>
  <c r="G48" i="72"/>
  <c r="I48" i="72"/>
  <c r="G49" i="72"/>
  <c r="I49" i="72" s="1"/>
  <c r="G50" i="72"/>
  <c r="I50" i="72"/>
  <c r="G52" i="72"/>
  <c r="I52" i="72"/>
  <c r="G54" i="72"/>
  <c r="I54" i="72"/>
  <c r="G56" i="72"/>
  <c r="G58" i="72"/>
  <c r="I58" i="72" s="1"/>
  <c r="G60" i="72"/>
  <c r="I60" i="72"/>
  <c r="G62" i="72"/>
  <c r="I62" i="72" s="1"/>
  <c r="D54" i="73"/>
  <c r="D57" i="73"/>
  <c r="K55" i="73"/>
  <c r="K57" i="73" s="1"/>
  <c r="A4" i="74"/>
  <c r="G12" i="74"/>
  <c r="I12" i="74"/>
  <c r="G13" i="74"/>
  <c r="I13" i="74"/>
  <c r="C15" i="74"/>
  <c r="G15" i="74"/>
  <c r="I15" i="74" s="1"/>
  <c r="G18" i="74"/>
  <c r="I18" i="74"/>
  <c r="G19" i="74"/>
  <c r="I19" i="74" s="1"/>
  <c r="G20" i="74"/>
  <c r="I20" i="74"/>
  <c r="G21" i="74"/>
  <c r="I21" i="74" s="1"/>
  <c r="G22" i="74"/>
  <c r="I22" i="74"/>
  <c r="G23" i="74"/>
  <c r="I23" i="74" s="1"/>
  <c r="G24" i="74"/>
  <c r="I24" i="74"/>
  <c r="G26" i="74"/>
  <c r="I26" i="74" s="1"/>
  <c r="G27" i="74"/>
  <c r="I27" i="74"/>
  <c r="G28" i="74"/>
  <c r="I28" i="74" s="1"/>
  <c r="G29" i="74"/>
  <c r="I29" i="74"/>
  <c r="G30" i="74"/>
  <c r="I30" i="74"/>
  <c r="G31" i="74"/>
  <c r="I31" i="74"/>
  <c r="G32" i="74"/>
  <c r="I32" i="74" s="1"/>
  <c r="G33" i="74"/>
  <c r="G34" i="74"/>
  <c r="I34" i="74"/>
  <c r="G35" i="74"/>
  <c r="I35" i="74"/>
  <c r="C37" i="74"/>
  <c r="G37" i="74"/>
  <c r="I37" i="74" s="1"/>
  <c r="G39" i="74"/>
  <c r="I39" i="74"/>
  <c r="G41" i="74"/>
  <c r="I41" i="74" s="1"/>
  <c r="G42" i="74"/>
  <c r="I42" i="74"/>
  <c r="G43" i="74"/>
  <c r="I43" i="74" s="1"/>
  <c r="G45" i="74"/>
  <c r="I45" i="74"/>
  <c r="G47" i="74"/>
  <c r="I47" i="74" s="1"/>
  <c r="G49" i="74"/>
  <c r="I49" i="74"/>
  <c r="G50" i="74"/>
  <c r="I50" i="74" s="1"/>
  <c r="G51" i="74"/>
  <c r="I51" i="74"/>
  <c r="G52" i="74"/>
  <c r="I52" i="74" s="1"/>
  <c r="G54" i="74"/>
  <c r="I54" i="74"/>
  <c r="G56" i="74"/>
  <c r="I56" i="74" s="1"/>
  <c r="G58" i="74"/>
  <c r="I58" i="74"/>
  <c r="G60" i="74"/>
  <c r="I60" i="74" s="1"/>
  <c r="G62" i="74"/>
  <c r="C64" i="74"/>
  <c r="G64" i="74"/>
  <c r="I64" i="74" s="1"/>
  <c r="K17" i="75"/>
  <c r="D24" i="75"/>
  <c r="F24" i="75"/>
  <c r="K26" i="75"/>
  <c r="K28" i="75"/>
  <c r="K57" i="75"/>
  <c r="D43" i="75"/>
  <c r="D57" i="75" s="1"/>
  <c r="K43" i="75"/>
  <c r="D54" i="75"/>
  <c r="K13" i="78"/>
  <c r="M13" i="78"/>
  <c r="Q13" i="78"/>
  <c r="Q28" i="78" s="1"/>
  <c r="Q48" i="78" s="1"/>
  <c r="K14" i="78"/>
  <c r="M14" i="78"/>
  <c r="Q14" i="78"/>
  <c r="K15" i="78"/>
  <c r="S15" i="78"/>
  <c r="V15" i="78"/>
  <c r="M15" i="78"/>
  <c r="Q15" i="78"/>
  <c r="K16" i="78"/>
  <c r="S16" i="78"/>
  <c r="V16" i="78" s="1"/>
  <c r="M16" i="78"/>
  <c r="Q16" i="78"/>
  <c r="K17" i="78"/>
  <c r="S17" i="78"/>
  <c r="V17" i="78"/>
  <c r="M17" i="78"/>
  <c r="Q17" i="78"/>
  <c r="K18" i="78"/>
  <c r="S18" i="78" s="1"/>
  <c r="V18" i="78" s="1"/>
  <c r="M18" i="78"/>
  <c r="Q18" i="78"/>
  <c r="K19" i="78"/>
  <c r="M19" i="78"/>
  <c r="Q19" i="78"/>
  <c r="K20" i="78"/>
  <c r="M20" i="78"/>
  <c r="S20" i="78" s="1"/>
  <c r="V20" i="78" s="1"/>
  <c r="K21" i="78"/>
  <c r="M21" i="78"/>
  <c r="S21" i="78" s="1"/>
  <c r="V21" i="78" s="1"/>
  <c r="K22" i="78"/>
  <c r="M22" i="78"/>
  <c r="S22" i="78" s="1"/>
  <c r="V22" i="78" s="1"/>
  <c r="K23" i="78"/>
  <c r="M23" i="78"/>
  <c r="S23" i="78" s="1"/>
  <c r="V23" i="78" s="1"/>
  <c r="Q23" i="78"/>
  <c r="K24" i="78"/>
  <c r="S24" i="78"/>
  <c r="V24" i="78"/>
  <c r="M24" i="78"/>
  <c r="K25" i="78"/>
  <c r="S25" i="78"/>
  <c r="V25" i="78"/>
  <c r="M25" i="78"/>
  <c r="K26" i="78"/>
  <c r="S26" i="78"/>
  <c r="V26" i="78"/>
  <c r="M26" i="78"/>
  <c r="Q27" i="78"/>
  <c r="S27" i="78"/>
  <c r="I28" i="78"/>
  <c r="I48" i="78" s="1"/>
  <c r="I45" i="78"/>
  <c r="K31" i="78"/>
  <c r="V31" i="78"/>
  <c r="K32" i="78"/>
  <c r="S32" i="78"/>
  <c r="K33" i="78"/>
  <c r="V33" i="78" s="1"/>
  <c r="S33" i="78"/>
  <c r="K34" i="78"/>
  <c r="S34" i="78"/>
  <c r="K35" i="78"/>
  <c r="K36" i="78"/>
  <c r="S36" i="78"/>
  <c r="K37" i="78"/>
  <c r="K38" i="78"/>
  <c r="V38" i="78" s="1"/>
  <c r="S38" i="78"/>
  <c r="K39" i="78"/>
  <c r="V39" i="78"/>
  <c r="K40" i="78"/>
  <c r="S40" i="78" s="1"/>
  <c r="K41" i="78"/>
  <c r="S41" i="78"/>
  <c r="V41" i="78"/>
  <c r="K42" i="78"/>
  <c r="S42" i="78"/>
  <c r="K43" i="78"/>
  <c r="V43" i="78"/>
  <c r="K44" i="78"/>
  <c r="S44" i="78"/>
  <c r="M45" i="78"/>
  <c r="O45" i="78"/>
  <c r="O48" i="78" s="1"/>
  <c r="Q45" i="78"/>
  <c r="K60" i="78"/>
  <c r="G61" i="78"/>
  <c r="K61" i="78" s="1"/>
  <c r="K62" i="78" s="1"/>
  <c r="I61" i="78"/>
  <c r="M62" i="78"/>
  <c r="O62" i="78"/>
  <c r="Q62" i="78"/>
  <c r="G73" i="78"/>
  <c r="K73" i="78"/>
  <c r="M73" i="78"/>
  <c r="S73" i="78"/>
  <c r="V73" i="78" s="1"/>
  <c r="O73" i="78"/>
  <c r="G74" i="78"/>
  <c r="K74" i="78"/>
  <c r="M74" i="78"/>
  <c r="O74" i="78"/>
  <c r="I76" i="78"/>
  <c r="O76" i="78"/>
  <c r="K13" i="79"/>
  <c r="S13" i="79" s="1"/>
  <c r="M13" i="79"/>
  <c r="Q13" i="79"/>
  <c r="K14" i="79"/>
  <c r="M14" i="79"/>
  <c r="S14" i="79"/>
  <c r="V14" i="79"/>
  <c r="Q14" i="79"/>
  <c r="K15" i="79"/>
  <c r="M15" i="79"/>
  <c r="Q15" i="79"/>
  <c r="K16" i="79"/>
  <c r="M16" i="79"/>
  <c r="S16" i="79" s="1"/>
  <c r="V16" i="79" s="1"/>
  <c r="Q16" i="79"/>
  <c r="K17" i="79"/>
  <c r="S17" i="79"/>
  <c r="V17" i="79"/>
  <c r="M17" i="79"/>
  <c r="Q17" i="79"/>
  <c r="K18" i="79"/>
  <c r="S18" i="79" s="1"/>
  <c r="V18" i="79" s="1"/>
  <c r="M18" i="79"/>
  <c r="Q18" i="79"/>
  <c r="K19" i="79"/>
  <c r="M19" i="79"/>
  <c r="Q19" i="79"/>
  <c r="K20" i="79"/>
  <c r="S20" i="79" s="1"/>
  <c r="V20" i="79" s="1"/>
  <c r="M20" i="79"/>
  <c r="K21" i="79"/>
  <c r="S21" i="79" s="1"/>
  <c r="V21" i="79" s="1"/>
  <c r="M21" i="79"/>
  <c r="K22" i="79"/>
  <c r="S22" i="79" s="1"/>
  <c r="V22" i="79" s="1"/>
  <c r="M22" i="79"/>
  <c r="K23" i="79"/>
  <c r="S23" i="79" s="1"/>
  <c r="V23" i="79" s="1"/>
  <c r="M23" i="79"/>
  <c r="K24" i="79"/>
  <c r="S24" i="79" s="1"/>
  <c r="V24" i="79" s="1"/>
  <c r="M24" i="79"/>
  <c r="K25" i="79"/>
  <c r="S25" i="79" s="1"/>
  <c r="V25" i="79" s="1"/>
  <c r="M25" i="79"/>
  <c r="K26" i="79"/>
  <c r="S26" i="79" s="1"/>
  <c r="V26" i="79" s="1"/>
  <c r="M26" i="79"/>
  <c r="Q27" i="79"/>
  <c r="S27" i="79"/>
  <c r="I28" i="79"/>
  <c r="I45" i="79"/>
  <c r="I48" i="79" s="1"/>
  <c r="K31" i="79"/>
  <c r="K32" i="79"/>
  <c r="V32" i="79"/>
  <c r="S32" i="79"/>
  <c r="K33" i="79"/>
  <c r="K34" i="79"/>
  <c r="V34" i="79"/>
  <c r="K35" i="79"/>
  <c r="K36" i="79"/>
  <c r="S36" i="79"/>
  <c r="K37" i="79"/>
  <c r="K38" i="79"/>
  <c r="V38" i="79"/>
  <c r="K39" i="79"/>
  <c r="V39" i="79" s="1"/>
  <c r="K40" i="79"/>
  <c r="S40" i="79"/>
  <c r="V40" i="79"/>
  <c r="K41" i="79"/>
  <c r="K42" i="79"/>
  <c r="V42" i="79"/>
  <c r="K43" i="79"/>
  <c r="V43" i="79" s="1"/>
  <c r="K44" i="79"/>
  <c r="S44" i="79"/>
  <c r="V44" i="79"/>
  <c r="M45" i="79"/>
  <c r="O45" i="79"/>
  <c r="Q45" i="79"/>
  <c r="O48" i="79"/>
  <c r="K60" i="79"/>
  <c r="V60" i="79" s="1"/>
  <c r="I62" i="79"/>
  <c r="M62" i="79"/>
  <c r="Q62" i="79"/>
  <c r="G73" i="79"/>
  <c r="K73" i="79"/>
  <c r="S73" i="79"/>
  <c r="V73" i="79"/>
  <c r="M73" i="79"/>
  <c r="O73" i="79"/>
  <c r="O76" i="79"/>
  <c r="G74" i="79"/>
  <c r="K74" i="79" s="1"/>
  <c r="M74" i="79"/>
  <c r="M76" i="79"/>
  <c r="O74" i="79"/>
  <c r="I76" i="79"/>
  <c r="K12" i="80"/>
  <c r="S12" i="80"/>
  <c r="M12" i="80"/>
  <c r="Q12" i="80"/>
  <c r="K15" i="80"/>
  <c r="S15" i="80" s="1"/>
  <c r="V15" i="80" s="1"/>
  <c r="M15" i="80"/>
  <c r="K16" i="80"/>
  <c r="M16" i="80"/>
  <c r="Q16" i="80"/>
  <c r="K17" i="80"/>
  <c r="S17" i="80"/>
  <c r="V17" i="80" s="1"/>
  <c r="M17" i="80"/>
  <c r="Q17" i="80"/>
  <c r="K18" i="80"/>
  <c r="M18" i="80"/>
  <c r="Q18" i="80"/>
  <c r="Q43" i="80" s="1"/>
  <c r="K19" i="80"/>
  <c r="M19" i="80"/>
  <c r="Q19" i="80"/>
  <c r="K20" i="80"/>
  <c r="S20" i="80" s="1"/>
  <c r="V20" i="80" s="1"/>
  <c r="M20" i="80"/>
  <c r="Q20" i="80"/>
  <c r="K21" i="80"/>
  <c r="M21" i="80"/>
  <c r="Q21" i="80"/>
  <c r="K22" i="80"/>
  <c r="M22" i="80"/>
  <c r="Q22" i="80"/>
  <c r="K23" i="80"/>
  <c r="S23" i="80"/>
  <c r="V23" i="80"/>
  <c r="M23" i="80"/>
  <c r="K24" i="80"/>
  <c r="S24" i="80"/>
  <c r="V24" i="80"/>
  <c r="M24" i="80"/>
  <c r="K25" i="80"/>
  <c r="S25" i="80"/>
  <c r="V25" i="80"/>
  <c r="M25" i="80"/>
  <c r="K26" i="80"/>
  <c r="M26" i="80"/>
  <c r="Q27" i="80"/>
  <c r="S27" i="80" s="1"/>
  <c r="K30" i="80"/>
  <c r="S30" i="80"/>
  <c r="K34" i="80"/>
  <c r="K35" i="80"/>
  <c r="K36" i="80"/>
  <c r="K37" i="80"/>
  <c r="S37" i="80"/>
  <c r="K38" i="80"/>
  <c r="S38" i="80" s="1"/>
  <c r="K39" i="80"/>
  <c r="K40" i="80"/>
  <c r="S40" i="80"/>
  <c r="K41" i="80"/>
  <c r="S41" i="80" s="1"/>
  <c r="I43" i="80"/>
  <c r="K55" i="80"/>
  <c r="S55" i="80"/>
  <c r="S57" i="80"/>
  <c r="V57" i="80" s="1"/>
  <c r="I57" i="80"/>
  <c r="M57" i="80"/>
  <c r="Q57" i="80"/>
  <c r="G68" i="80"/>
  <c r="K68" i="80"/>
  <c r="M68" i="80"/>
  <c r="M71" i="80" s="1"/>
  <c r="O68" i="80"/>
  <c r="O71" i="80" s="1"/>
  <c r="G69" i="80"/>
  <c r="K69" i="80"/>
  <c r="S69" i="80"/>
  <c r="V69" i="80" s="1"/>
  <c r="M69" i="80"/>
  <c r="O69" i="80"/>
  <c r="I71" i="80"/>
  <c r="K12" i="81"/>
  <c r="M12" i="81"/>
  <c r="Q12" i="81"/>
  <c r="K13" i="81"/>
  <c r="M13" i="81"/>
  <c r="Q13" i="81"/>
  <c r="K16" i="81"/>
  <c r="S16" i="81"/>
  <c r="V16" i="81"/>
  <c r="M16" i="81"/>
  <c r="K17" i="81"/>
  <c r="S17" i="81" s="1"/>
  <c r="V17" i="81"/>
  <c r="M17" i="81"/>
  <c r="Q17" i="81"/>
  <c r="K18" i="81"/>
  <c r="M18" i="81"/>
  <c r="S18" i="81" s="1"/>
  <c r="V18" i="81" s="1"/>
  <c r="Q18" i="81"/>
  <c r="K19" i="81"/>
  <c r="M19" i="81"/>
  <c r="Q19" i="81"/>
  <c r="S19" i="81" s="1"/>
  <c r="V19" i="81" s="1"/>
  <c r="K20" i="81"/>
  <c r="M20" i="81"/>
  <c r="Q20" i="81"/>
  <c r="K21" i="81"/>
  <c r="S21" i="81" s="1"/>
  <c r="V21" i="81" s="1"/>
  <c r="M21" i="81"/>
  <c r="Q21" i="81"/>
  <c r="K22" i="81"/>
  <c r="M22" i="81"/>
  <c r="Q22" i="81"/>
  <c r="K23" i="81"/>
  <c r="M23" i="81"/>
  <c r="Q23" i="81"/>
  <c r="K24" i="81"/>
  <c r="M24" i="81"/>
  <c r="S24" i="81" s="1"/>
  <c r="V24" i="81" s="1"/>
  <c r="K25" i="81"/>
  <c r="M25" i="81"/>
  <c r="S25" i="81" s="1"/>
  <c r="V25" i="81" s="1"/>
  <c r="Q26" i="81"/>
  <c r="S26" i="81"/>
  <c r="K29" i="81"/>
  <c r="S29" i="81"/>
  <c r="K33" i="81"/>
  <c r="K34" i="81"/>
  <c r="S34" i="81" s="1"/>
  <c r="K35" i="81"/>
  <c r="S35" i="81" s="1"/>
  <c r="K36" i="81"/>
  <c r="V36" i="81"/>
  <c r="K37" i="81"/>
  <c r="S37" i="81" s="1"/>
  <c r="V37" i="81"/>
  <c r="K38" i="81"/>
  <c r="I40" i="81"/>
  <c r="K52" i="81"/>
  <c r="I54" i="81"/>
  <c r="M54" i="81"/>
  <c r="Q54" i="81"/>
  <c r="G65" i="81"/>
  <c r="K65" i="81" s="1"/>
  <c r="M65" i="81"/>
  <c r="M68" i="81" s="1"/>
  <c r="O65" i="81"/>
  <c r="O68" i="81" s="1"/>
  <c r="G66" i="81"/>
  <c r="K66" i="81"/>
  <c r="S66" i="81" s="1"/>
  <c r="V66" i="81" s="1"/>
  <c r="M66" i="81"/>
  <c r="O66" i="81"/>
  <c r="I68" i="81"/>
  <c r="K12" i="82"/>
  <c r="M12" i="82"/>
  <c r="S12" i="82" s="1"/>
  <c r="Q12" i="82"/>
  <c r="K13" i="82"/>
  <c r="M13" i="82"/>
  <c r="K14" i="82"/>
  <c r="M14" i="82"/>
  <c r="S14" i="82" s="1"/>
  <c r="V14" i="82" s="1"/>
  <c r="Q14" i="82"/>
  <c r="K17" i="82"/>
  <c r="S17" i="82" s="1"/>
  <c r="V17" i="82"/>
  <c r="M17" i="82"/>
  <c r="K18" i="82"/>
  <c r="M18" i="82"/>
  <c r="Q18" i="82"/>
  <c r="Q41" i="82" s="1"/>
  <c r="K19" i="82"/>
  <c r="M19" i="82"/>
  <c r="S19" i="82" s="1"/>
  <c r="V19" i="82" s="1"/>
  <c r="Q19" i="82"/>
  <c r="K20" i="82"/>
  <c r="S20" i="82" s="1"/>
  <c r="V20" i="82" s="1"/>
  <c r="M20" i="82"/>
  <c r="Q20" i="82"/>
  <c r="K21" i="82"/>
  <c r="S21" i="82" s="1"/>
  <c r="V21" i="82" s="1"/>
  <c r="M21" i="82"/>
  <c r="Q21" i="82"/>
  <c r="K22" i="82"/>
  <c r="M22" i="82"/>
  <c r="Q22" i="82"/>
  <c r="K23" i="82"/>
  <c r="M23" i="82"/>
  <c r="Q23" i="82"/>
  <c r="K24" i="82"/>
  <c r="M24" i="82"/>
  <c r="Q24" i="82"/>
  <c r="Q26" i="82"/>
  <c r="S26" i="82"/>
  <c r="K29" i="82"/>
  <c r="S29" i="82"/>
  <c r="K30" i="82"/>
  <c r="S30" i="82"/>
  <c r="K35" i="82"/>
  <c r="V35" i="82"/>
  <c r="S35" i="82"/>
  <c r="K36" i="82"/>
  <c r="V36" i="82" s="1"/>
  <c r="K37" i="82"/>
  <c r="K38" i="82"/>
  <c r="S38" i="82" s="1"/>
  <c r="K39" i="82"/>
  <c r="V39" i="82" s="1"/>
  <c r="I41" i="82"/>
  <c r="O41" i="82"/>
  <c r="I44" i="82"/>
  <c r="Q51" i="82"/>
  <c r="S51" i="82"/>
  <c r="V51" i="82" s="1"/>
  <c r="Q52" i="82"/>
  <c r="Q54" i="82" s="1"/>
  <c r="S52" i="82"/>
  <c r="I54" i="82"/>
  <c r="K54" i="82"/>
  <c r="O54" i="82"/>
  <c r="K64" i="82"/>
  <c r="S64" i="82" s="1"/>
  <c r="S67" i="82"/>
  <c r="S65" i="82"/>
  <c r="V65" i="82" s="1"/>
  <c r="I67" i="82"/>
  <c r="Q67" i="82"/>
  <c r="G78" i="82"/>
  <c r="K78" i="82"/>
  <c r="M78" i="82"/>
  <c r="O78" i="82"/>
  <c r="G79" i="82"/>
  <c r="K79" i="82"/>
  <c r="S79" i="82" s="1"/>
  <c r="M79" i="82"/>
  <c r="M81" i="82"/>
  <c r="O79" i="82"/>
  <c r="O81" i="82"/>
  <c r="I81" i="82"/>
  <c r="K91" i="82"/>
  <c r="A3" i="87"/>
  <c r="C18" i="87"/>
  <c r="C30" i="87" s="1"/>
  <c r="G18" i="87"/>
  <c r="G30" i="87" s="1"/>
  <c r="K18" i="87"/>
  <c r="K30" i="87" s="1"/>
  <c r="A3" i="88"/>
  <c r="A3" i="89"/>
  <c r="A3" i="90"/>
  <c r="H66" i="64"/>
  <c r="D66" i="64"/>
  <c r="H74" i="64"/>
  <c r="H76" i="64"/>
  <c r="F31" i="52"/>
  <c r="F41" i="52"/>
  <c r="F48" i="52" s="1"/>
  <c r="G16" i="4" s="1"/>
  <c r="F31" i="58"/>
  <c r="F41" i="58"/>
  <c r="F48" i="58" s="1"/>
  <c r="F31" i="56"/>
  <c r="F41" i="56" s="1"/>
  <c r="F48" i="56" s="1"/>
  <c r="F31" i="54"/>
  <c r="F41" i="54" s="1"/>
  <c r="F48" i="54" s="1"/>
  <c r="F31" i="64"/>
  <c r="H27" i="65"/>
  <c r="H31" i="65"/>
  <c r="H41" i="65" s="1"/>
  <c r="H48" i="65" s="1"/>
  <c r="F31" i="65"/>
  <c r="F41" i="65" s="1"/>
  <c r="F48" i="65" s="1"/>
  <c r="V34" i="81"/>
  <c r="K76" i="78"/>
  <c r="V38" i="82"/>
  <c r="K57" i="80"/>
  <c r="V55" i="80"/>
  <c r="V40" i="80"/>
  <c r="D67" i="65"/>
  <c r="F14" i="65"/>
  <c r="L27" i="96"/>
  <c r="F36" i="64"/>
  <c r="F39" i="64" s="1"/>
  <c r="D35" i="93"/>
  <c r="J35" i="93"/>
  <c r="J38" i="93" s="1"/>
  <c r="D25" i="93" s="1"/>
  <c r="D27" i="93" s="1"/>
  <c r="D36" i="93"/>
  <c r="J36" i="93"/>
  <c r="D37" i="93"/>
  <c r="J37" i="93"/>
  <c r="D48" i="54"/>
  <c r="D37" i="64"/>
  <c r="D39" i="64"/>
  <c r="D41" i="64" s="1"/>
  <c r="D48" i="64" s="1"/>
  <c r="F17" i="4" s="1"/>
  <c r="H78" i="64"/>
  <c r="K45" i="78"/>
  <c r="D37" i="95"/>
  <c r="J37" i="95"/>
  <c r="D36" i="95"/>
  <c r="J36" i="95"/>
  <c r="J38" i="95" s="1"/>
  <c r="D25" i="95" s="1"/>
  <c r="D27" i="95" s="1"/>
  <c r="F50" i="97"/>
  <c r="M51" i="97"/>
  <c r="K36" i="97"/>
  <c r="D40" i="97"/>
  <c r="E40" i="98"/>
  <c r="I30" i="98"/>
  <c r="I26" i="98"/>
  <c r="I24" i="98"/>
  <c r="E13" i="98"/>
  <c r="G13" i="98"/>
  <c r="I13" i="98" s="1"/>
  <c r="B53" i="103"/>
  <c r="H41" i="54"/>
  <c r="H48" i="54" s="1"/>
  <c r="D31" i="52"/>
  <c r="D41" i="52" s="1"/>
  <c r="D37" i="92"/>
  <c r="J37" i="92" s="1"/>
  <c r="D36" i="92"/>
  <c r="J36" i="92" s="1"/>
  <c r="J38" i="92"/>
  <c r="D25" i="92" s="1"/>
  <c r="D27" i="92" s="1"/>
  <c r="D37" i="96"/>
  <c r="J37" i="96"/>
  <c r="D36" i="96"/>
  <c r="J36" i="96"/>
  <c r="D31" i="56"/>
  <c r="G18" i="7"/>
  <c r="H37" i="64"/>
  <c r="F67" i="65"/>
  <c r="H67" i="65"/>
  <c r="D31" i="115"/>
  <c r="D41" i="115" s="1"/>
  <c r="D48" i="115"/>
  <c r="F21" i="4" s="1"/>
  <c r="H26" i="115"/>
  <c r="H27" i="115"/>
  <c r="F39" i="115"/>
  <c r="F77" i="115"/>
  <c r="H20" i="115"/>
  <c r="H22" i="115" s="1"/>
  <c r="H29" i="115"/>
  <c r="B53" i="120"/>
  <c r="V33" i="81"/>
  <c r="S33" i="81"/>
  <c r="V39" i="80"/>
  <c r="S39" i="80"/>
  <c r="S60" i="78"/>
  <c r="V60" i="78"/>
  <c r="S18" i="82"/>
  <c r="V18" i="82" s="1"/>
  <c r="K40" i="81"/>
  <c r="V37" i="82"/>
  <c r="S37" i="82"/>
  <c r="S38" i="81"/>
  <c r="V38" i="81"/>
  <c r="S20" i="81"/>
  <c r="V20" i="81"/>
  <c r="K71" i="80"/>
  <c r="V41" i="80"/>
  <c r="S16" i="80"/>
  <c r="V16" i="80" s="1"/>
  <c r="S19" i="79"/>
  <c r="V19" i="79" s="1"/>
  <c r="K28" i="79"/>
  <c r="D44" i="54"/>
  <c r="C29" i="7" s="1"/>
  <c r="H44" i="54"/>
  <c r="V35" i="81"/>
  <c r="S36" i="82"/>
  <c r="S22" i="81"/>
  <c r="V22" i="81" s="1"/>
  <c r="S12" i="81"/>
  <c r="F44" i="54"/>
  <c r="C48" i="7" s="1"/>
  <c r="D48" i="7" s="1"/>
  <c r="V38" i="80"/>
  <c r="S15" i="79"/>
  <c r="V15" i="79" s="1"/>
  <c r="S74" i="78"/>
  <c r="V74" i="78" s="1"/>
  <c r="I62" i="78"/>
  <c r="S61" i="78"/>
  <c r="V35" i="80"/>
  <c r="S35" i="80"/>
  <c r="S26" i="80"/>
  <c r="V26" i="80" s="1"/>
  <c r="S19" i="80"/>
  <c r="V19" i="80" s="1"/>
  <c r="S43" i="79"/>
  <c r="S39" i="79"/>
  <c r="S35" i="79"/>
  <c r="V35" i="79"/>
  <c r="S31" i="79"/>
  <c r="Q28" i="79"/>
  <c r="Q48" i="79" s="1"/>
  <c r="K23" i="97"/>
  <c r="B53" i="104"/>
  <c r="S42" i="79"/>
  <c r="S38" i="79"/>
  <c r="S34" i="79"/>
  <c r="V44" i="78"/>
  <c r="S43" i="78"/>
  <c r="V40" i="78"/>
  <c r="S39" i="78"/>
  <c r="V36" i="78"/>
  <c r="V32" i="78"/>
  <c r="S31" i="78"/>
  <c r="G29" i="98"/>
  <c r="G27" i="98"/>
  <c r="I27" i="98" s="1"/>
  <c r="B31" i="104"/>
  <c r="B34" i="104" s="1"/>
  <c r="B15" i="104"/>
  <c r="G14" i="113"/>
  <c r="I14" i="113"/>
  <c r="J21" i="105"/>
  <c r="J22" i="105"/>
  <c r="J27" i="105" s="1"/>
  <c r="E35" i="113"/>
  <c r="E44" i="113" s="1"/>
  <c r="E53" i="113" s="1"/>
  <c r="H34" i="115"/>
  <c r="H39" i="115"/>
  <c r="G38" i="113"/>
  <c r="I38" i="113" s="1"/>
  <c r="F22" i="115"/>
  <c r="F41" i="115" s="1"/>
  <c r="V79" i="82"/>
  <c r="C49" i="7"/>
  <c r="C50" i="7" s="1"/>
  <c r="D50" i="7" s="1"/>
  <c r="V12" i="81"/>
  <c r="D49" i="7"/>
  <c r="C51" i="7"/>
  <c r="C10" i="7"/>
  <c r="S23" i="82"/>
  <c r="V23" i="82" s="1"/>
  <c r="S24" i="82"/>
  <c r="V24" i="82" s="1"/>
  <c r="H36" i="64"/>
  <c r="S54" i="82"/>
  <c r="J38" i="96"/>
  <c r="D25" i="96" s="1"/>
  <c r="D27" i="96" s="1"/>
  <c r="S36" i="81"/>
  <c r="V37" i="80"/>
  <c r="S21" i="80"/>
  <c r="V36" i="79"/>
  <c r="V42" i="78"/>
  <c r="V34" i="78"/>
  <c r="S14" i="78"/>
  <c r="V14" i="78" s="1"/>
  <c r="M76" i="78"/>
  <c r="M15" i="97"/>
  <c r="M23" i="97"/>
  <c r="M53" i="97" s="1"/>
  <c r="D35" i="94"/>
  <c r="J35" i="94" s="1"/>
  <c r="F40" i="97"/>
  <c r="F53" i="97"/>
  <c r="D50" i="117"/>
  <c r="F19" i="4"/>
  <c r="H33" i="116"/>
  <c r="G11" i="113"/>
  <c r="I11" i="113"/>
  <c r="F43" i="117"/>
  <c r="F33" i="116"/>
  <c r="D33" i="117"/>
  <c r="D43" i="116"/>
  <c r="D37" i="105"/>
  <c r="J37" i="105"/>
  <c r="I25" i="113"/>
  <c r="V21" i="80"/>
  <c r="V13" i="79"/>
  <c r="F50" i="117"/>
  <c r="G19" i="4"/>
  <c r="D48" i="56" l="1"/>
  <c r="V36" i="80"/>
  <c r="S36" i="80"/>
  <c r="K76" i="79"/>
  <c r="S74" i="79"/>
  <c r="K45" i="79"/>
  <c r="K48" i="79" s="1"/>
  <c r="V31" i="79"/>
  <c r="V12" i="82"/>
  <c r="S76" i="78"/>
  <c r="V76" i="78" s="1"/>
  <c r="C30" i="7"/>
  <c r="D29" i="7"/>
  <c r="F44" i="65"/>
  <c r="C48" i="104" s="1"/>
  <c r="H44" i="65"/>
  <c r="D48" i="52"/>
  <c r="F16" i="4" s="1"/>
  <c r="D44" i="65"/>
  <c r="C29" i="104" s="1"/>
  <c r="K81" i="82"/>
  <c r="S78" i="82"/>
  <c r="S13" i="81"/>
  <c r="V13" i="81" s="1"/>
  <c r="M40" i="81"/>
  <c r="S41" i="79"/>
  <c r="V41" i="79"/>
  <c r="M28" i="79"/>
  <c r="M48" i="79" s="1"/>
  <c r="S28" i="79"/>
  <c r="M28" i="78"/>
  <c r="M48" i="78" s="1"/>
  <c r="G45" i="98"/>
  <c r="I45" i="98" s="1"/>
  <c r="E49" i="98"/>
  <c r="G49" i="98" s="1"/>
  <c r="I49" i="98" s="1"/>
  <c r="G40" i="98"/>
  <c r="I40" i="98" s="1"/>
  <c r="E32" i="98"/>
  <c r="E34" i="98" s="1"/>
  <c r="E42" i="98" s="1"/>
  <c r="I29" i="98"/>
  <c r="K62" i="79"/>
  <c r="S60" i="79"/>
  <c r="S62" i="79" s="1"/>
  <c r="V62" i="79" s="1"/>
  <c r="G40" i="113"/>
  <c r="C42" i="113"/>
  <c r="V54" i="82"/>
  <c r="D51" i="7"/>
  <c r="C52" i="7"/>
  <c r="D52" i="7" s="1"/>
  <c r="K53" i="97"/>
  <c r="S68" i="80"/>
  <c r="S39" i="82"/>
  <c r="H31" i="115"/>
  <c r="H41" i="115" s="1"/>
  <c r="H44" i="115" s="1"/>
  <c r="V52" i="82"/>
  <c r="S22" i="82"/>
  <c r="V22" i="82" s="1"/>
  <c r="K41" i="82"/>
  <c r="S13" i="82"/>
  <c r="V13" i="82" s="1"/>
  <c r="M41" i="82"/>
  <c r="Q40" i="81"/>
  <c r="S22" i="80"/>
  <c r="V22" i="80" s="1"/>
  <c r="M43" i="80"/>
  <c r="V35" i="78"/>
  <c r="S35" i="78"/>
  <c r="S45" i="78" s="1"/>
  <c r="V45" i="78" s="1"/>
  <c r="S19" i="78"/>
  <c r="V19" i="78" s="1"/>
  <c r="D37" i="94"/>
  <c r="J37" i="94" s="1"/>
  <c r="D36" i="94"/>
  <c r="J36" i="94" s="1"/>
  <c r="V33" i="79"/>
  <c r="S33" i="79"/>
  <c r="S45" i="79" s="1"/>
  <c r="V45" i="79" s="1"/>
  <c r="D50" i="116"/>
  <c r="F18" i="4" s="1"/>
  <c r="F44" i="115"/>
  <c r="C48" i="122" s="1"/>
  <c r="V61" i="78"/>
  <c r="S62" i="78"/>
  <c r="V62" i="78" s="1"/>
  <c r="K43" i="80"/>
  <c r="K68" i="81"/>
  <c r="S65" i="81"/>
  <c r="V52" i="81"/>
  <c r="S52" i="81"/>
  <c r="S54" i="81" s="1"/>
  <c r="V54" i="81" s="1"/>
  <c r="K54" i="81"/>
  <c r="S23" i="81"/>
  <c r="V23" i="81" s="1"/>
  <c r="V34" i="80"/>
  <c r="S34" i="80"/>
  <c r="S43" i="80" s="1"/>
  <c r="V43" i="80" s="1"/>
  <c r="S18" i="80"/>
  <c r="V18" i="80" s="1"/>
  <c r="V12" i="80"/>
  <c r="V37" i="79"/>
  <c r="S37" i="79"/>
  <c r="S37" i="78"/>
  <c r="V37" i="78"/>
  <c r="K28" i="78"/>
  <c r="K48" i="78" s="1"/>
  <c r="S13" i="78"/>
  <c r="K67" i="82"/>
  <c r="V67" i="82" s="1"/>
  <c r="V64" i="82"/>
  <c r="D23" i="97"/>
  <c r="D53" i="97" s="1"/>
  <c r="H76" i="52"/>
  <c r="H39" i="64"/>
  <c r="H41" i="64" s="1"/>
  <c r="I23" i="98"/>
  <c r="G23" i="98"/>
  <c r="F41" i="64"/>
  <c r="G25" i="98"/>
  <c r="I25" i="98" s="1"/>
  <c r="C32" i="98"/>
  <c r="H22" i="64"/>
  <c r="H31" i="117"/>
  <c r="H22" i="58"/>
  <c r="H41" i="58" s="1"/>
  <c r="H31" i="64"/>
  <c r="H31" i="52"/>
  <c r="H41" i="52" s="1"/>
  <c r="Q7" i="96"/>
  <c r="J7" i="96" s="1"/>
  <c r="J21" i="96" s="1"/>
  <c r="J22" i="96" s="1"/>
  <c r="J27" i="96" s="1"/>
  <c r="H39" i="56"/>
  <c r="H41" i="56" s="1"/>
  <c r="H74" i="115"/>
  <c r="H75" i="115" s="1"/>
  <c r="H77" i="115" s="1"/>
  <c r="C33" i="113"/>
  <c r="G16" i="113"/>
  <c r="I16" i="113" s="1"/>
  <c r="G27" i="113"/>
  <c r="I27" i="113" s="1"/>
  <c r="C51" i="113"/>
  <c r="G51" i="113" s="1"/>
  <c r="I51" i="113" s="1"/>
  <c r="G47" i="113"/>
  <c r="I47" i="113" s="1"/>
  <c r="H31" i="118"/>
  <c r="H41" i="118" s="1"/>
  <c r="H41" i="116"/>
  <c r="H43" i="116" s="1"/>
  <c r="D35" i="105"/>
  <c r="J35" i="105" s="1"/>
  <c r="D36" i="105"/>
  <c r="J36" i="105" s="1"/>
  <c r="B53" i="122"/>
  <c r="G26" i="113"/>
  <c r="I26" i="113" s="1"/>
  <c r="F43" i="116"/>
  <c r="G18" i="9"/>
  <c r="D31" i="58"/>
  <c r="D41" i="58" s="1"/>
  <c r="H48" i="64"/>
  <c r="E17" i="4" s="1"/>
  <c r="C17" i="4" s="1"/>
  <c r="H44" i="64"/>
  <c r="D44" i="64"/>
  <c r="C29" i="103" s="1"/>
  <c r="G56" i="121"/>
  <c r="F48" i="118"/>
  <c r="G20" i="4" s="1"/>
  <c r="D53" i="7"/>
  <c r="F48" i="64"/>
  <c r="G17" i="4" s="1"/>
  <c r="F44" i="64"/>
  <c r="C48" i="103" s="1"/>
  <c r="H44" i="118" l="1"/>
  <c r="H48" i="118"/>
  <c r="E20" i="4" s="1"/>
  <c r="C20" i="4" s="1"/>
  <c r="F44" i="118"/>
  <c r="C48" i="121" s="1"/>
  <c r="D44" i="118"/>
  <c r="C29" i="121" s="1"/>
  <c r="H44" i="56"/>
  <c r="H48" i="56"/>
  <c r="F44" i="56"/>
  <c r="C48" i="8" s="1"/>
  <c r="D44" i="56"/>
  <c r="C29" i="8" s="1"/>
  <c r="H48" i="58"/>
  <c r="F44" i="58"/>
  <c r="C48" i="9" s="1"/>
  <c r="H44" i="58"/>
  <c r="V68" i="80"/>
  <c r="S71" i="80"/>
  <c r="V71" i="80" s="1"/>
  <c r="C30" i="104"/>
  <c r="D29" i="104"/>
  <c r="D10" i="104" s="1"/>
  <c r="C10" i="104"/>
  <c r="D48" i="58"/>
  <c r="D44" i="58"/>
  <c r="C29" i="9" s="1"/>
  <c r="H50" i="116"/>
  <c r="E18" i="4" s="1"/>
  <c r="C18" i="4" s="1"/>
  <c r="H46" i="116"/>
  <c r="V13" i="78"/>
  <c r="S28" i="78"/>
  <c r="E51" i="98"/>
  <c r="D44" i="115"/>
  <c r="C29" i="122" s="1"/>
  <c r="C31" i="7"/>
  <c r="D30" i="7"/>
  <c r="C11" i="7"/>
  <c r="C34" i="98"/>
  <c r="G32" i="98"/>
  <c r="I32" i="98" s="1"/>
  <c r="D48" i="122"/>
  <c r="C49" i="122"/>
  <c r="S48" i="79"/>
  <c r="V28" i="79"/>
  <c r="F50" i="116"/>
  <c r="G18" i="4" s="1"/>
  <c r="F46" i="116"/>
  <c r="C48" i="119" s="1"/>
  <c r="H33" i="117"/>
  <c r="H43" i="117"/>
  <c r="S40" i="81"/>
  <c r="V40" i="81" s="1"/>
  <c r="J38" i="94"/>
  <c r="D25" i="94" s="1"/>
  <c r="D27" i="94" s="1"/>
  <c r="C49" i="104"/>
  <c r="D48" i="104"/>
  <c r="S76" i="79"/>
  <c r="V76" i="79" s="1"/>
  <c r="V74" i="79"/>
  <c r="J38" i="105"/>
  <c r="D25" i="105" s="1"/>
  <c r="D27" i="105" s="1"/>
  <c r="G33" i="113"/>
  <c r="I33" i="113" s="1"/>
  <c r="C35" i="113"/>
  <c r="H44" i="52"/>
  <c r="F44" i="52"/>
  <c r="C48" i="6" s="1"/>
  <c r="H48" i="52"/>
  <c r="E16" i="4" s="1"/>
  <c r="C16" i="4" s="1"/>
  <c r="V65" i="81"/>
  <c r="S68" i="81"/>
  <c r="V68" i="81" s="1"/>
  <c r="D46" i="116"/>
  <c r="C29" i="119" s="1"/>
  <c r="I40" i="113"/>
  <c r="G42" i="113"/>
  <c r="I42" i="113" s="1"/>
  <c r="V78" i="82"/>
  <c r="S81" i="82"/>
  <c r="V81" i="82" s="1"/>
  <c r="D44" i="52"/>
  <c r="C29" i="6" s="1"/>
  <c r="D10" i="7"/>
  <c r="S41" i="82"/>
  <c r="V41" i="82" s="1"/>
  <c r="E52" i="7"/>
  <c r="G57" i="7"/>
  <c r="E51" i="7"/>
  <c r="G51" i="7" s="1"/>
  <c r="E48" i="7"/>
  <c r="E49" i="7"/>
  <c r="G49" i="7" s="1"/>
  <c r="D48" i="103"/>
  <c r="C49" i="103"/>
  <c r="C30" i="103"/>
  <c r="C10" i="103"/>
  <c r="D29" i="103"/>
  <c r="E50" i="7"/>
  <c r="G50" i="7" s="1"/>
  <c r="C44" i="113" l="1"/>
  <c r="H46" i="115"/>
  <c r="G35" i="113"/>
  <c r="I35" i="113" s="1"/>
  <c r="G18" i="122"/>
  <c r="C50" i="122"/>
  <c r="D49" i="122"/>
  <c r="C49" i="121"/>
  <c r="D48" i="121"/>
  <c r="D49" i="104"/>
  <c r="C50" i="104"/>
  <c r="V48" i="79"/>
  <c r="S78" i="79"/>
  <c r="V78" i="79" s="1"/>
  <c r="C42" i="98"/>
  <c r="G34" i="98"/>
  <c r="I34" i="98" s="1"/>
  <c r="D29" i="122"/>
  <c r="C10" i="122"/>
  <c r="C30" i="122"/>
  <c r="D29" i="8"/>
  <c r="C30" i="8"/>
  <c r="C10" i="8"/>
  <c r="C30" i="121"/>
  <c r="C10" i="121"/>
  <c r="D29" i="121"/>
  <c r="C49" i="8"/>
  <c r="D48" i="8"/>
  <c r="C30" i="6"/>
  <c r="D29" i="6"/>
  <c r="C10" i="6"/>
  <c r="D11" i="7"/>
  <c r="S48" i="78"/>
  <c r="V28" i="78"/>
  <c r="C30" i="9"/>
  <c r="D29" i="9"/>
  <c r="C10" i="9"/>
  <c r="C31" i="104"/>
  <c r="C11" i="104"/>
  <c r="D30" i="104"/>
  <c r="D11" i="104" s="1"/>
  <c r="C49" i="9"/>
  <c r="D48" i="9"/>
  <c r="D48" i="119"/>
  <c r="C49" i="119"/>
  <c r="C30" i="119"/>
  <c r="D29" i="119"/>
  <c r="C10" i="119"/>
  <c r="D48" i="6"/>
  <c r="C49" i="6"/>
  <c r="D46" i="117"/>
  <c r="C29" i="120" s="1"/>
  <c r="H46" i="117"/>
  <c r="F46" i="117"/>
  <c r="C48" i="120" s="1"/>
  <c r="H50" i="117"/>
  <c r="E19" i="4" s="1"/>
  <c r="C19" i="4" s="1"/>
  <c r="C12" i="7"/>
  <c r="D31" i="7"/>
  <c r="C32" i="7"/>
  <c r="C50" i="103"/>
  <c r="D49" i="103"/>
  <c r="E53" i="7"/>
  <c r="G48" i="7"/>
  <c r="G52" i="7" s="1"/>
  <c r="F52" i="7" s="1"/>
  <c r="C31" i="103"/>
  <c r="D30" i="103"/>
  <c r="C11" i="103"/>
  <c r="D10" i="103"/>
  <c r="D10" i="8" l="1"/>
  <c r="C30" i="120"/>
  <c r="D29" i="120"/>
  <c r="C50" i="119"/>
  <c r="D49" i="119"/>
  <c r="D10" i="9"/>
  <c r="D10" i="6"/>
  <c r="D10" i="121"/>
  <c r="C31" i="8"/>
  <c r="D30" i="8"/>
  <c r="C11" i="8"/>
  <c r="D10" i="122"/>
  <c r="D49" i="121"/>
  <c r="C50" i="121"/>
  <c r="D30" i="6"/>
  <c r="C31" i="6"/>
  <c r="C11" i="6"/>
  <c r="C51" i="104"/>
  <c r="D50" i="104"/>
  <c r="F46" i="115"/>
  <c r="H48" i="115"/>
  <c r="E21" i="4" s="1"/>
  <c r="C21" i="4" s="1"/>
  <c r="D32" i="7"/>
  <c r="C13" i="7"/>
  <c r="C33" i="7"/>
  <c r="C10" i="120"/>
  <c r="C49" i="120"/>
  <c r="D48" i="120"/>
  <c r="D10" i="119"/>
  <c r="C32" i="104"/>
  <c r="C12" i="104"/>
  <c r="D31" i="104"/>
  <c r="C31" i="121"/>
  <c r="C11" i="121"/>
  <c r="D30" i="121"/>
  <c r="C31" i="122"/>
  <c r="D30" i="122"/>
  <c r="C11" i="122"/>
  <c r="C51" i="98"/>
  <c r="G51" i="98" s="1"/>
  <c r="I51" i="98" s="1"/>
  <c r="G42" i="98"/>
  <c r="I42" i="98" s="1"/>
  <c r="C51" i="122"/>
  <c r="D50" i="122"/>
  <c r="G44" i="113"/>
  <c r="I44" i="113" s="1"/>
  <c r="C53" i="113"/>
  <c r="G53" i="113" s="1"/>
  <c r="I53" i="113" s="1"/>
  <c r="C31" i="9"/>
  <c r="C11" i="9"/>
  <c r="D30" i="9"/>
  <c r="D12" i="7"/>
  <c r="D49" i="6"/>
  <c r="C50" i="6"/>
  <c r="C11" i="119"/>
  <c r="C31" i="119"/>
  <c r="D30" i="119"/>
  <c r="C50" i="9"/>
  <c r="D49" i="9"/>
  <c r="V48" i="78"/>
  <c r="S78" i="78"/>
  <c r="V78" i="78" s="1"/>
  <c r="D49" i="8"/>
  <c r="C50" i="8"/>
  <c r="D11" i="103"/>
  <c r="C51" i="103"/>
  <c r="D50" i="103"/>
  <c r="G53" i="7"/>
  <c r="H57" i="7" s="1"/>
  <c r="D31" i="103"/>
  <c r="C12" i="103"/>
  <c r="C32" i="103"/>
  <c r="D53" i="122" l="1"/>
  <c r="E50" i="122" s="1"/>
  <c r="G50" i="122" s="1"/>
  <c r="C13" i="104"/>
  <c r="D32" i="104"/>
  <c r="C33" i="104"/>
  <c r="D11" i="121"/>
  <c r="D50" i="8"/>
  <c r="C51" i="8"/>
  <c r="C12" i="9"/>
  <c r="D31" i="9"/>
  <c r="C32" i="9"/>
  <c r="C52" i="122"/>
  <c r="D52" i="122" s="1"/>
  <c r="D51" i="122"/>
  <c r="C50" i="120"/>
  <c r="D49" i="120"/>
  <c r="D13" i="7"/>
  <c r="D11" i="6"/>
  <c r="D31" i="8"/>
  <c r="C32" i="8"/>
  <c r="C12" i="8"/>
  <c r="C31" i="120"/>
  <c r="C11" i="120"/>
  <c r="D30" i="120"/>
  <c r="C51" i="6"/>
  <c r="D50" i="6"/>
  <c r="C32" i="121"/>
  <c r="D31" i="121"/>
  <c r="D51" i="104"/>
  <c r="D53" i="104" s="1"/>
  <c r="C52" i="104"/>
  <c r="D52" i="104" s="1"/>
  <c r="C12" i="121"/>
  <c r="D50" i="121"/>
  <c r="C51" i="121"/>
  <c r="D50" i="119"/>
  <c r="C51" i="119"/>
  <c r="D11" i="119"/>
  <c r="D11" i="9"/>
  <c r="D31" i="122"/>
  <c r="C32" i="122"/>
  <c r="C12" i="122"/>
  <c r="D33" i="7"/>
  <c r="C14" i="7"/>
  <c r="F48" i="115"/>
  <c r="G21" i="4" s="1"/>
  <c r="G56" i="122"/>
  <c r="D50" i="9"/>
  <c r="C51" i="9"/>
  <c r="D11" i="122"/>
  <c r="D31" i="119"/>
  <c r="C12" i="119"/>
  <c r="C32" i="119"/>
  <c r="D12" i="104"/>
  <c r="D10" i="120"/>
  <c r="C12" i="6"/>
  <c r="D31" i="6"/>
  <c r="C32" i="6"/>
  <c r="D11" i="8"/>
  <c r="D12" i="103"/>
  <c r="D51" i="103"/>
  <c r="C52" i="103"/>
  <c r="D52" i="103" s="1"/>
  <c r="D32" i="103"/>
  <c r="C33" i="103"/>
  <c r="C13" i="103"/>
  <c r="G57" i="104" l="1"/>
  <c r="E48" i="104"/>
  <c r="G48" i="104" s="1"/>
  <c r="E49" i="104"/>
  <c r="G49" i="104" s="1"/>
  <c r="E50" i="104"/>
  <c r="G50" i="104" s="1"/>
  <c r="D12" i="6"/>
  <c r="C52" i="121"/>
  <c r="D52" i="121" s="1"/>
  <c r="D51" i="121"/>
  <c r="C33" i="6"/>
  <c r="D32" i="6"/>
  <c r="C13" i="6"/>
  <c r="C33" i="122"/>
  <c r="D32" i="122"/>
  <c r="C13" i="122"/>
  <c r="C52" i="119"/>
  <c r="D52" i="119" s="1"/>
  <c r="D51" i="119"/>
  <c r="E52" i="104"/>
  <c r="D12" i="121"/>
  <c r="D11" i="120"/>
  <c r="E52" i="122"/>
  <c r="D32" i="119"/>
  <c r="C33" i="119"/>
  <c r="C13" i="119"/>
  <c r="D12" i="122"/>
  <c r="E51" i="104"/>
  <c r="G51" i="104" s="1"/>
  <c r="C33" i="121"/>
  <c r="C13" i="121"/>
  <c r="D32" i="121"/>
  <c r="C33" i="9"/>
  <c r="D32" i="9"/>
  <c r="C13" i="9"/>
  <c r="E48" i="122"/>
  <c r="G48" i="122" s="1"/>
  <c r="E49" i="122"/>
  <c r="G49" i="122" s="1"/>
  <c r="D53" i="103"/>
  <c r="C52" i="9"/>
  <c r="D52" i="9" s="1"/>
  <c r="D51" i="9"/>
  <c r="G57" i="122"/>
  <c r="D31" i="120"/>
  <c r="C32" i="120"/>
  <c r="C12" i="120"/>
  <c r="D12" i="8"/>
  <c r="C51" i="120"/>
  <c r="D50" i="120"/>
  <c r="D12" i="9"/>
  <c r="C52" i="8"/>
  <c r="D52" i="8" s="1"/>
  <c r="D51" i="8"/>
  <c r="C14" i="104"/>
  <c r="D33" i="104"/>
  <c r="D14" i="7"/>
  <c r="D34" i="7"/>
  <c r="D32" i="8"/>
  <c r="C33" i="8"/>
  <c r="C13" i="8"/>
  <c r="D12" i="119"/>
  <c r="D51" i="6"/>
  <c r="C52" i="6"/>
  <c r="D52" i="6" s="1"/>
  <c r="E51" i="122"/>
  <c r="G51" i="122" s="1"/>
  <c r="D53" i="8"/>
  <c r="D13" i="104"/>
  <c r="G57" i="103"/>
  <c r="E48" i="103"/>
  <c r="G48" i="103" s="1"/>
  <c r="E49" i="103"/>
  <c r="G49" i="103" s="1"/>
  <c r="E50" i="103"/>
  <c r="G50" i="103" s="1"/>
  <c r="E52" i="103"/>
  <c r="D13" i="103"/>
  <c r="C14" i="103"/>
  <c r="D33" i="103"/>
  <c r="E51" i="103"/>
  <c r="G51" i="103" s="1"/>
  <c r="D34" i="8" l="1"/>
  <c r="E32" i="8" s="1"/>
  <c r="G32" i="8" s="1"/>
  <c r="G38" i="7"/>
  <c r="E29" i="7"/>
  <c r="E30" i="7"/>
  <c r="G30" i="7" s="1"/>
  <c r="E31" i="7"/>
  <c r="G31" i="7" s="1"/>
  <c r="E32" i="7"/>
  <c r="G32" i="7" s="1"/>
  <c r="D12" i="120"/>
  <c r="C14" i="119"/>
  <c r="D33" i="119"/>
  <c r="E52" i="8"/>
  <c r="D51" i="120"/>
  <c r="C52" i="120"/>
  <c r="D52" i="120" s="1"/>
  <c r="D32" i="120"/>
  <c r="C13" i="120"/>
  <c r="C33" i="120"/>
  <c r="C14" i="9"/>
  <c r="D33" i="9"/>
  <c r="C14" i="121"/>
  <c r="D33" i="121"/>
  <c r="D13" i="122"/>
  <c r="D13" i="6"/>
  <c r="E52" i="121"/>
  <c r="D14" i="104"/>
  <c r="D34" i="104"/>
  <c r="E33" i="104" s="1"/>
  <c r="C14" i="122"/>
  <c r="D33" i="122"/>
  <c r="D14" i="122" s="1"/>
  <c r="G52" i="104"/>
  <c r="F52" i="104" s="1"/>
  <c r="D33" i="8"/>
  <c r="C14" i="8"/>
  <c r="E33" i="7"/>
  <c r="E32" i="121"/>
  <c r="G32" i="121" s="1"/>
  <c r="D13" i="121"/>
  <c r="D34" i="121"/>
  <c r="D13" i="119"/>
  <c r="D53" i="119"/>
  <c r="E51" i="119" s="1"/>
  <c r="G51" i="119" s="1"/>
  <c r="D34" i="122"/>
  <c r="G52" i="122"/>
  <c r="F52" i="122" s="1"/>
  <c r="G28" i="4" s="1"/>
  <c r="D33" i="6"/>
  <c r="C14" i="6"/>
  <c r="E51" i="8"/>
  <c r="G51" i="8" s="1"/>
  <c r="G57" i="8"/>
  <c r="E49" i="8"/>
  <c r="G49" i="8" s="1"/>
  <c r="E50" i="8"/>
  <c r="G50" i="8" s="1"/>
  <c r="E48" i="8"/>
  <c r="D53" i="6"/>
  <c r="D13" i="8"/>
  <c r="D15" i="7"/>
  <c r="D13" i="9"/>
  <c r="D34" i="9"/>
  <c r="E32" i="9" s="1"/>
  <c r="G32" i="9" s="1"/>
  <c r="D53" i="121"/>
  <c r="E51" i="121"/>
  <c r="G51" i="121" s="1"/>
  <c r="D53" i="9"/>
  <c r="G52" i="103"/>
  <c r="F52" i="103" s="1"/>
  <c r="G24" i="4" s="1"/>
  <c r="D14" i="103"/>
  <c r="D34" i="103"/>
  <c r="E33" i="103" s="1"/>
  <c r="D15" i="103"/>
  <c r="E33" i="122" l="1"/>
  <c r="G38" i="122"/>
  <c r="G33" i="122" s="1"/>
  <c r="F33" i="122" s="1"/>
  <c r="F28" i="4" s="1"/>
  <c r="E29" i="122"/>
  <c r="G29" i="122" s="1"/>
  <c r="E30" i="122"/>
  <c r="G30" i="122" s="1"/>
  <c r="E31" i="122"/>
  <c r="G31" i="122" s="1"/>
  <c r="E32" i="122"/>
  <c r="G32" i="122" s="1"/>
  <c r="G53" i="103"/>
  <c r="H57" i="103" s="1"/>
  <c r="E52" i="9"/>
  <c r="G57" i="9"/>
  <c r="E48" i="9"/>
  <c r="G48" i="9" s="1"/>
  <c r="E49" i="9"/>
  <c r="G49" i="9" s="1"/>
  <c r="E50" i="9"/>
  <c r="G50" i="9" s="1"/>
  <c r="E52" i="119"/>
  <c r="G19" i="7"/>
  <c r="E10" i="7"/>
  <c r="E11" i="7"/>
  <c r="G11" i="7" s="1"/>
  <c r="E12" i="7"/>
  <c r="G12" i="7" s="1"/>
  <c r="E13" i="7"/>
  <c r="G13" i="7" s="1"/>
  <c r="G57" i="6"/>
  <c r="H57" i="6" s="1"/>
  <c r="E48" i="6"/>
  <c r="E49" i="6"/>
  <c r="E50" i="6"/>
  <c r="D13" i="120"/>
  <c r="G38" i="8"/>
  <c r="E29" i="8"/>
  <c r="E30" i="8"/>
  <c r="G30" i="8" s="1"/>
  <c r="E31" i="8"/>
  <c r="G31" i="8" s="1"/>
  <c r="G57" i="121"/>
  <c r="E48" i="121"/>
  <c r="G48" i="121" s="1"/>
  <c r="E49" i="121"/>
  <c r="G49" i="121" s="1"/>
  <c r="E50" i="121"/>
  <c r="G50" i="121" s="1"/>
  <c r="E14" i="7"/>
  <c r="E51" i="6"/>
  <c r="G53" i="122"/>
  <c r="H57" i="122" s="1"/>
  <c r="D15" i="104"/>
  <c r="D15" i="9"/>
  <c r="E33" i="8"/>
  <c r="D14" i="8"/>
  <c r="E51" i="9"/>
  <c r="G51" i="9" s="1"/>
  <c r="G53" i="104"/>
  <c r="H57" i="104" s="1"/>
  <c r="E52" i="120"/>
  <c r="G38" i="9"/>
  <c r="E29" i="9"/>
  <c r="E30" i="9"/>
  <c r="G30" i="9" s="1"/>
  <c r="E31" i="9"/>
  <c r="G31" i="9" s="1"/>
  <c r="D34" i="6"/>
  <c r="E33" i="6"/>
  <c r="D14" i="6"/>
  <c r="D14" i="9"/>
  <c r="E33" i="9"/>
  <c r="G48" i="8"/>
  <c r="E53" i="8"/>
  <c r="G57" i="119"/>
  <c r="E48" i="119"/>
  <c r="G48" i="119" s="1"/>
  <c r="E49" i="119"/>
  <c r="G49" i="119" s="1"/>
  <c r="E50" i="119"/>
  <c r="G50" i="119" s="1"/>
  <c r="G38" i="121"/>
  <c r="E29" i="121"/>
  <c r="G29" i="121" s="1"/>
  <c r="E30" i="121"/>
  <c r="G30" i="121" s="1"/>
  <c r="E31" i="121"/>
  <c r="G31" i="121" s="1"/>
  <c r="E52" i="6"/>
  <c r="F52" i="6" s="1"/>
  <c r="G23" i="4" s="1"/>
  <c r="E32" i="104"/>
  <c r="G32" i="104" s="1"/>
  <c r="G38" i="104"/>
  <c r="G33" i="104" s="1"/>
  <c r="F33" i="104" s="1"/>
  <c r="E29" i="104"/>
  <c r="G29" i="104" s="1"/>
  <c r="E30" i="104"/>
  <c r="G30" i="104" s="1"/>
  <c r="E31" i="104"/>
  <c r="G31" i="104" s="1"/>
  <c r="E33" i="121"/>
  <c r="D14" i="121"/>
  <c r="D33" i="120"/>
  <c r="C14" i="120"/>
  <c r="E51" i="120"/>
  <c r="G51" i="120" s="1"/>
  <c r="D53" i="120"/>
  <c r="D14" i="119"/>
  <c r="D15" i="119" s="1"/>
  <c r="D34" i="119"/>
  <c r="G29" i="7"/>
  <c r="E34" i="7"/>
  <c r="D15" i="122"/>
  <c r="G19" i="103"/>
  <c r="E10" i="103"/>
  <c r="E11" i="103"/>
  <c r="G11" i="103" s="1"/>
  <c r="E12" i="103"/>
  <c r="G12" i="103" s="1"/>
  <c r="E13" i="103"/>
  <c r="G13" i="103" s="1"/>
  <c r="G38" i="103"/>
  <c r="E29" i="103"/>
  <c r="G29" i="103" s="1"/>
  <c r="E30" i="103"/>
  <c r="G30" i="103" s="1"/>
  <c r="E31" i="103"/>
  <c r="G31" i="103" s="1"/>
  <c r="E32" i="103"/>
  <c r="G32" i="103" s="1"/>
  <c r="E14" i="103"/>
  <c r="G19" i="119" l="1"/>
  <c r="E10" i="119"/>
  <c r="E11" i="119"/>
  <c r="G11" i="119" s="1"/>
  <c r="E12" i="119"/>
  <c r="G12" i="119" s="1"/>
  <c r="E13" i="119"/>
  <c r="G13" i="119" s="1"/>
  <c r="E10" i="9"/>
  <c r="G19" i="9"/>
  <c r="E11" i="9"/>
  <c r="G11" i="9" s="1"/>
  <c r="E12" i="9"/>
  <c r="G12" i="9" s="1"/>
  <c r="G29" i="8"/>
  <c r="E34" i="8"/>
  <c r="G10" i="7"/>
  <c r="E15" i="7"/>
  <c r="G33" i="7"/>
  <c r="F33" i="7" s="1"/>
  <c r="G33" i="121"/>
  <c r="F33" i="121" s="1"/>
  <c r="F27" i="4" s="1"/>
  <c r="G57" i="120"/>
  <c r="E48" i="120"/>
  <c r="G48" i="120" s="1"/>
  <c r="E49" i="120"/>
  <c r="G49" i="120" s="1"/>
  <c r="E50" i="120"/>
  <c r="G50" i="120" s="1"/>
  <c r="G34" i="104"/>
  <c r="H38" i="104" s="1"/>
  <c r="D15" i="6"/>
  <c r="G52" i="8"/>
  <c r="F52" i="8" s="1"/>
  <c r="E53" i="6"/>
  <c r="D15" i="121"/>
  <c r="E14" i="121" s="1"/>
  <c r="E13" i="9"/>
  <c r="G13" i="9" s="1"/>
  <c r="G34" i="122"/>
  <c r="H38" i="122" s="1"/>
  <c r="E14" i="122"/>
  <c r="G19" i="122"/>
  <c r="E10" i="122"/>
  <c r="E11" i="122"/>
  <c r="G11" i="122" s="1"/>
  <c r="E12" i="122"/>
  <c r="G12" i="122" s="1"/>
  <c r="E14" i="119"/>
  <c r="G38" i="6"/>
  <c r="E29" i="6"/>
  <c r="E30" i="6"/>
  <c r="G30" i="6" s="1"/>
  <c r="E31" i="6"/>
  <c r="G31" i="6" s="1"/>
  <c r="E32" i="6"/>
  <c r="G32" i="6" s="1"/>
  <c r="G19" i="104"/>
  <c r="E11" i="104"/>
  <c r="G11" i="104" s="1"/>
  <c r="E10" i="104"/>
  <c r="E12" i="104"/>
  <c r="G12" i="104" s="1"/>
  <c r="E13" i="104"/>
  <c r="G13" i="104" s="1"/>
  <c r="G52" i="121"/>
  <c r="F52" i="121" s="1"/>
  <c r="G27" i="4" s="1"/>
  <c r="G33" i="8"/>
  <c r="F33" i="8" s="1"/>
  <c r="G52" i="9"/>
  <c r="F52" i="9" s="1"/>
  <c r="G38" i="119"/>
  <c r="E29" i="119"/>
  <c r="G29" i="119" s="1"/>
  <c r="E30" i="119"/>
  <c r="G30" i="119" s="1"/>
  <c r="E31" i="119"/>
  <c r="G31" i="119" s="1"/>
  <c r="E32" i="119"/>
  <c r="G32" i="119" s="1"/>
  <c r="G29" i="9"/>
  <c r="E34" i="9"/>
  <c r="G53" i="9"/>
  <c r="H57" i="9" s="1"/>
  <c r="E33" i="119"/>
  <c r="D14" i="120"/>
  <c r="D15" i="120" s="1"/>
  <c r="G52" i="119"/>
  <c r="F52" i="119" s="1"/>
  <c r="G25" i="4" s="1"/>
  <c r="E14" i="9"/>
  <c r="E14" i="8"/>
  <c r="D34" i="120"/>
  <c r="E13" i="122"/>
  <c r="G13" i="122" s="1"/>
  <c r="E53" i="9"/>
  <c r="E14" i="104"/>
  <c r="D15" i="8"/>
  <c r="E15" i="103"/>
  <c r="G10" i="103"/>
  <c r="G14" i="103" s="1"/>
  <c r="F14" i="103" s="1"/>
  <c r="E24" i="4" s="1"/>
  <c r="C24" i="4" s="1"/>
  <c r="G33" i="103"/>
  <c r="F33" i="103" s="1"/>
  <c r="F24" i="4" s="1"/>
  <c r="E14" i="120" l="1"/>
  <c r="G19" i="120"/>
  <c r="E10" i="120"/>
  <c r="E11" i="120"/>
  <c r="G11" i="120" s="1"/>
  <c r="E12" i="120"/>
  <c r="G12" i="120" s="1"/>
  <c r="E13" i="120"/>
  <c r="G13" i="120" s="1"/>
  <c r="G33" i="9"/>
  <c r="F33" i="9" s="1"/>
  <c r="G33" i="119"/>
  <c r="F33" i="119" s="1"/>
  <c r="F25" i="4" s="1"/>
  <c r="G34" i="121"/>
  <c r="H38" i="121" s="1"/>
  <c r="G52" i="120"/>
  <c r="F52" i="120" s="1"/>
  <c r="G26" i="4" s="1"/>
  <c r="G19" i="6"/>
  <c r="E10" i="6"/>
  <c r="E11" i="6"/>
  <c r="G11" i="6" s="1"/>
  <c r="E12" i="6"/>
  <c r="G12" i="6" s="1"/>
  <c r="E13" i="6"/>
  <c r="G13" i="6" s="1"/>
  <c r="G34" i="8"/>
  <c r="H38" i="8" s="1"/>
  <c r="G10" i="9"/>
  <c r="E15" i="9"/>
  <c r="G34" i="103"/>
  <c r="H38" i="103" s="1"/>
  <c r="E13" i="8"/>
  <c r="G13" i="8" s="1"/>
  <c r="E11" i="8"/>
  <c r="G11" i="8" s="1"/>
  <c r="E10" i="8"/>
  <c r="G19" i="8"/>
  <c r="E12" i="8"/>
  <c r="G12" i="8" s="1"/>
  <c r="E29" i="120"/>
  <c r="G29" i="120" s="1"/>
  <c r="G38" i="120"/>
  <c r="E30" i="120"/>
  <c r="G30" i="120" s="1"/>
  <c r="E31" i="120"/>
  <c r="G31" i="120" s="1"/>
  <c r="E32" i="120"/>
  <c r="G32" i="120" s="1"/>
  <c r="E33" i="120"/>
  <c r="G14" i="7"/>
  <c r="F14" i="7" s="1"/>
  <c r="G33" i="6"/>
  <c r="F33" i="6" s="1"/>
  <c r="F23" i="4" s="1"/>
  <c r="G53" i="121"/>
  <c r="H57" i="121" s="1"/>
  <c r="G19" i="121"/>
  <c r="E10" i="121"/>
  <c r="E11" i="121"/>
  <c r="G11" i="121" s="1"/>
  <c r="E12" i="121"/>
  <c r="G12" i="121" s="1"/>
  <c r="E13" i="121"/>
  <c r="G13" i="121" s="1"/>
  <c r="E14" i="6"/>
  <c r="G34" i="7"/>
  <c r="H38" i="7" s="1"/>
  <c r="G53" i="8"/>
  <c r="H57" i="8" s="1"/>
  <c r="E15" i="119"/>
  <c r="G10" i="119"/>
  <c r="E34" i="6"/>
  <c r="G29" i="6"/>
  <c r="E15" i="122"/>
  <c r="G10" i="122"/>
  <c r="G34" i="119"/>
  <c r="H38" i="119" s="1"/>
  <c r="E15" i="104"/>
  <c r="G10" i="104"/>
  <c r="G53" i="119"/>
  <c r="H57" i="119" s="1"/>
  <c r="G15" i="103"/>
  <c r="H19" i="103" s="1"/>
  <c r="G14" i="119" l="1"/>
  <c r="F14" i="119" s="1"/>
  <c r="E25" i="4" s="1"/>
  <c r="C25" i="4" s="1"/>
  <c r="G34" i="6"/>
  <c r="H38" i="6" s="1"/>
  <c r="G53" i="120"/>
  <c r="H57" i="120" s="1"/>
  <c r="G14" i="9"/>
  <c r="F14" i="9" s="1"/>
  <c r="G34" i="9"/>
  <c r="H38" i="9" s="1"/>
  <c r="E15" i="120"/>
  <c r="G10" i="120"/>
  <c r="G14" i="104"/>
  <c r="F14" i="104" s="1"/>
  <c r="G14" i="8"/>
  <c r="F14" i="8" s="1"/>
  <c r="G15" i="7"/>
  <c r="H19" i="7" s="1"/>
  <c r="G10" i="6"/>
  <c r="E15" i="6"/>
  <c r="G14" i="120"/>
  <c r="F14" i="120" s="1"/>
  <c r="E26" i="4" s="1"/>
  <c r="C26" i="4" s="1"/>
  <c r="E15" i="121"/>
  <c r="G10" i="121"/>
  <c r="G14" i="121" s="1"/>
  <c r="F14" i="121" s="1"/>
  <c r="E27" i="4" s="1"/>
  <c r="C27" i="4" s="1"/>
  <c r="G14" i="122"/>
  <c r="F14" i="122" s="1"/>
  <c r="E28" i="4" s="1"/>
  <c r="C28" i="4" s="1"/>
  <c r="G33" i="120"/>
  <c r="F33" i="120" s="1"/>
  <c r="F26" i="4" s="1"/>
  <c r="G10" i="8"/>
  <c r="E15" i="8"/>
  <c r="G14" i="6"/>
  <c r="F14" i="6" s="1"/>
  <c r="E23" i="4" s="1"/>
  <c r="C23" i="4" s="1"/>
  <c r="G15" i="8" l="1"/>
  <c r="H19" i="8" s="1"/>
  <c r="G15" i="9"/>
  <c r="H19" i="9" s="1"/>
  <c r="G15" i="120"/>
  <c r="H19" i="120" s="1"/>
  <c r="G15" i="121"/>
  <c r="H19" i="121" s="1"/>
  <c r="G15" i="6"/>
  <c r="H19" i="6" s="1"/>
  <c r="G15" i="104"/>
  <c r="H19" i="104" s="1"/>
  <c r="G15" i="122"/>
  <c r="H19" i="122" s="1"/>
  <c r="G34" i="120"/>
  <c r="H38" i="120" s="1"/>
  <c r="G15" i="119"/>
  <c r="H19" i="119" s="1"/>
</calcChain>
</file>

<file path=xl/sharedStrings.xml><?xml version="1.0" encoding="utf-8"?>
<sst xmlns="http://schemas.openxmlformats.org/spreadsheetml/2006/main" count="5170" uniqueCount="747">
  <si>
    <t>Average Rates of Return</t>
  </si>
  <si>
    <t>Line</t>
  </si>
  <si>
    <t>No.</t>
  </si>
  <si>
    <t>(a)</t>
  </si>
  <si>
    <t>Item</t>
  </si>
  <si>
    <t>Kentucky</t>
  </si>
  <si>
    <t>Other</t>
  </si>
  <si>
    <t>(d)</t>
  </si>
  <si>
    <t>Jurisdiction</t>
  </si>
  <si>
    <t>Original cost net investment:</t>
  </si>
  <si>
    <t>5th Year</t>
  </si>
  <si>
    <t>3rd Year</t>
  </si>
  <si>
    <t>2nd Year</t>
  </si>
  <si>
    <t>1st Year</t>
  </si>
  <si>
    <t>Test Year</t>
  </si>
  <si>
    <t>Original cost common equity:</t>
  </si>
  <si>
    <t>Total</t>
  </si>
  <si>
    <t>Company</t>
  </si>
  <si>
    <t>(e)</t>
  </si>
  <si>
    <t xml:space="preserve">4th Year </t>
  </si>
  <si>
    <t>(f)</t>
  </si>
  <si>
    <t>Kentucky Utilities Company</t>
  </si>
  <si>
    <t>Unadjusted Rate of Return on Common Equity</t>
  </si>
  <si>
    <t>Weighted Average Cost Of Capital</t>
  </si>
  <si>
    <t>Total Company</t>
  </si>
  <si>
    <t xml:space="preserve">Annual </t>
  </si>
  <si>
    <t xml:space="preserve">Weighted </t>
  </si>
  <si>
    <t>Capitalization</t>
  </si>
  <si>
    <t>Rate Base</t>
  </si>
  <si>
    <t>Electric</t>
  </si>
  <si>
    <t>Percent</t>
  </si>
  <si>
    <t>Cost</t>
  </si>
  <si>
    <t>Cost Of</t>
  </si>
  <si>
    <t>Per Books</t>
  </si>
  <si>
    <t>Percentage</t>
  </si>
  <si>
    <t>Of Total</t>
  </si>
  <si>
    <t>Rate</t>
  </si>
  <si>
    <t>Capital</t>
  </si>
  <si>
    <t>Short Term Debt</t>
  </si>
  <si>
    <t>A/R Securitization</t>
  </si>
  <si>
    <t>Long Term Debt</t>
  </si>
  <si>
    <t>Preferred Stock</t>
  </si>
  <si>
    <t>Common Equity</t>
  </si>
  <si>
    <t>Net Operating Income</t>
  </si>
  <si>
    <t>Net Operating Income / Total Capitalization</t>
  </si>
  <si>
    <t>Jurisdictional</t>
  </si>
  <si>
    <t>Rate Base at</t>
  </si>
  <si>
    <t>13-Month Average Calculations</t>
  </si>
  <si>
    <t>Materials &amp;</t>
  </si>
  <si>
    <t>Undistributed</t>
  </si>
  <si>
    <t>Fuel</t>
  </si>
  <si>
    <t>Prepaid</t>
  </si>
  <si>
    <t>Supplies</t>
  </si>
  <si>
    <t>Stores Expense</t>
  </si>
  <si>
    <t>Inventory</t>
  </si>
  <si>
    <t>Insurance</t>
  </si>
  <si>
    <t>13-Month Totals</t>
  </si>
  <si>
    <t>13-Month Averages</t>
  </si>
  <si>
    <t>Calculated</t>
  </si>
  <si>
    <t>M&amp;S</t>
  </si>
  <si>
    <t>ENERGY</t>
  </si>
  <si>
    <t>EXP9245</t>
  </si>
  <si>
    <t>Kentucky Juridictional Allocation Factors</t>
  </si>
  <si>
    <t>Kentucky Juridictional Balances</t>
  </si>
  <si>
    <t xml:space="preserve">There are 3 allocation factors applicable to Materials &amp; Supplies. </t>
  </si>
  <si>
    <t xml:space="preserve"> A weighted average of the 3 factors has been used to determine that allocation factor.</t>
  </si>
  <si>
    <t>Allocation</t>
  </si>
  <si>
    <t>Weighted Avg.</t>
  </si>
  <si>
    <t>Account Bal.</t>
  </si>
  <si>
    <t>of Total</t>
  </si>
  <si>
    <t>Title</t>
  </si>
  <si>
    <t>Factor</t>
  </si>
  <si>
    <t>Alloc. Factor</t>
  </si>
  <si>
    <t>M&amp;S - Production</t>
  </si>
  <si>
    <t>PRODPLT</t>
  </si>
  <si>
    <t>M&amp;S - Transmission</t>
  </si>
  <si>
    <t>TRANPLT</t>
  </si>
  <si>
    <t>M&amp;S - Distribution</t>
  </si>
  <si>
    <t>DISTPLT</t>
  </si>
  <si>
    <t>Calculated Factor</t>
  </si>
  <si>
    <t xml:space="preserve">               </t>
  </si>
  <si>
    <t>Net Operating Income / Net Original Cost Rate Base</t>
  </si>
  <si>
    <t>KENTUCKY UTILITIES COMPANY</t>
  </si>
  <si>
    <t>December, 2006</t>
  </si>
  <si>
    <t>January, 2006</t>
  </si>
  <si>
    <t>February, 2006</t>
  </si>
  <si>
    <t>March, 2006</t>
  </si>
  <si>
    <t>April, 2006</t>
  </si>
  <si>
    <t>May, 2006</t>
  </si>
  <si>
    <t>June, 2006</t>
  </si>
  <si>
    <t>July, 2006</t>
  </si>
  <si>
    <t>August, 2006</t>
  </si>
  <si>
    <t>September, 2006</t>
  </si>
  <si>
    <t>October, 2006</t>
  </si>
  <si>
    <t>November, 2006</t>
  </si>
  <si>
    <t>12/2006</t>
  </si>
  <si>
    <t>12/2007</t>
  </si>
  <si>
    <t>December, 2005</t>
  </si>
  <si>
    <t>January, 2005</t>
  </si>
  <si>
    <t>February, 2005</t>
  </si>
  <si>
    <t>March, 2005</t>
  </si>
  <si>
    <t>April, 2005</t>
  </si>
  <si>
    <t>May, 2005</t>
  </si>
  <si>
    <t>June, 2005</t>
  </si>
  <si>
    <t>July, 2005</t>
  </si>
  <si>
    <t>August, 2005</t>
  </si>
  <si>
    <t>September, 2005</t>
  </si>
  <si>
    <t>October, 2005</t>
  </si>
  <si>
    <t>November, 2005</t>
  </si>
  <si>
    <t>12/2005</t>
  </si>
  <si>
    <t>December, 2004</t>
  </si>
  <si>
    <t>January, 2004</t>
  </si>
  <si>
    <t>February, 2004</t>
  </si>
  <si>
    <t>March, 2004</t>
  </si>
  <si>
    <t>April, 2004</t>
  </si>
  <si>
    <t>May, 2004</t>
  </si>
  <si>
    <t>June, 2004</t>
  </si>
  <si>
    <t>July, 2004</t>
  </si>
  <si>
    <t>August, 2004</t>
  </si>
  <si>
    <t>September, 2004</t>
  </si>
  <si>
    <t>October, 2004</t>
  </si>
  <si>
    <t>November, 2004</t>
  </si>
  <si>
    <t>12/2004</t>
  </si>
  <si>
    <t>December, 2003</t>
  </si>
  <si>
    <t>Deduct:</t>
  </si>
  <si>
    <t>Total Deductions</t>
  </si>
  <si>
    <t>KENTUCKY UTILITIES</t>
  </si>
  <si>
    <t>Net Original Cost Kentucky Jurisdictional Rate Base</t>
  </si>
  <si>
    <t>Title of Account</t>
  </si>
  <si>
    <t>Utility Plant at Original Cost</t>
  </si>
  <si>
    <t xml:space="preserve">  Reserve for Depreciation</t>
  </si>
  <si>
    <t>Net Utility Plant</t>
  </si>
  <si>
    <t xml:space="preserve">  Customer Advances for Construction</t>
  </si>
  <si>
    <t xml:space="preserve">  Accumulated Deferred Income Taxes</t>
  </si>
  <si>
    <t xml:space="preserve">  Investment Tax Credit (a)</t>
  </si>
  <si>
    <t>Add:</t>
  </si>
  <si>
    <t xml:space="preserve">  Materials and Supplies (b) </t>
  </si>
  <si>
    <t xml:space="preserve">  Prepayments (b)(c)</t>
  </si>
  <si>
    <t xml:space="preserve">  Emission Allowances</t>
  </si>
  <si>
    <t xml:space="preserve">  Cash Working Capital (page 2)</t>
  </si>
  <si>
    <t xml:space="preserve">     Total Additions</t>
  </si>
  <si>
    <t>Total Net Original Cost Rate Base</t>
  </si>
  <si>
    <t>Percentage of Rate Base to Total Company Rate Base</t>
  </si>
  <si>
    <t>Reflects investment tax credit treatment per Case No. 2007-00178.</t>
  </si>
  <si>
    <t>(b)</t>
  </si>
  <si>
    <t>Average for 13 months.</t>
  </si>
  <si>
    <t>(c)</t>
  </si>
  <si>
    <t>Includes prepayments for property insurance only.</t>
  </si>
  <si>
    <t>Calculation of Cash Working Capital</t>
  </si>
  <si>
    <t>1.</t>
  </si>
  <si>
    <t>Operating and maintenance expense for the</t>
  </si>
  <si>
    <t>2.</t>
  </si>
  <si>
    <t>3.</t>
  </si>
  <si>
    <t xml:space="preserve">  Electric Power Purchased</t>
  </si>
  <si>
    <t>4.</t>
  </si>
  <si>
    <t xml:space="preserve">     Total Deductions</t>
  </si>
  <si>
    <t>5.</t>
  </si>
  <si>
    <t>Remainder (Line 1 - Line 4)</t>
  </si>
  <si>
    <t>6.</t>
  </si>
  <si>
    <t>Cash Working Capital</t>
  </si>
  <si>
    <t>Kentucky Jurisdictional (12 1/2% of Line 5)</t>
  </si>
  <si>
    <t>Other Jurisdictional comprised of FERC, Tennessee,</t>
  </si>
  <si>
    <t>and Virginia Jurisdictional methodologies.</t>
  </si>
  <si>
    <t>At December 31, 2007</t>
  </si>
  <si>
    <t>12 months ended December 31, 2007</t>
  </si>
  <si>
    <t>At December 31, 2006</t>
  </si>
  <si>
    <t>12 months ended December 31, 2006</t>
  </si>
  <si>
    <t>At December 31, 2005</t>
  </si>
  <si>
    <t>12 months ended December 31, 2005</t>
  </si>
  <si>
    <t>At December 31, 2004</t>
  </si>
  <si>
    <t>12 months ended December 31, 2004</t>
  </si>
  <si>
    <t>Note: Monthly materials &amp; supplies, undistributed stores expense, fuel inventory and prepaid insurance data is from the Monthly Financial Reports, pages 5 and 8. The functional M&amp;S balances and allocation factors are from the KU Jurisdictional Cost of Service Study.</t>
  </si>
  <si>
    <t>December 31, 2007 Total Company</t>
  </si>
  <si>
    <t>December 31, 2007 Kentucky Retail Jurisdiction</t>
  </si>
  <si>
    <t>December 31, 2007 Other Jurisdiction</t>
  </si>
  <si>
    <t>Net Operating Income for the 12 months ended December 31, 2007</t>
  </si>
  <si>
    <t>Net Operating Income for the 12 months ended December 31, 2006</t>
  </si>
  <si>
    <t>December 31, 2006 Total Company</t>
  </si>
  <si>
    <t>December 31, 2006 Kentucky Retail Jurisdiction</t>
  </si>
  <si>
    <t>December 31, 2006 Other Jurisdiction</t>
  </si>
  <si>
    <t>December 31, 2005 Total Company</t>
  </si>
  <si>
    <t>December 31, 2005 Kentucky Retail Jurisdiction</t>
  </si>
  <si>
    <t>December 31, 2005 Other Jurisdiction</t>
  </si>
  <si>
    <t>Net Operating Income for the 12 months ended December 31, 2005</t>
  </si>
  <si>
    <t>December 31, 2004 Total Company</t>
  </si>
  <si>
    <t>December 31, 2004 Kentucky Retail Jurisdiction</t>
  </si>
  <si>
    <t>December 31, 2004 Other Jurisdiction</t>
  </si>
  <si>
    <t>Net Operating Income for the 12 months ended December 31, 2004</t>
  </si>
  <si>
    <t>At December 31, 2008</t>
  </si>
  <si>
    <t>From Monthly Financial Reports prepared by Regulatory Accounting &amp; Reporting</t>
  </si>
  <si>
    <t>Comparative Statement of Income</t>
  </si>
  <si>
    <t>Year Ended Current Month</t>
  </si>
  <si>
    <t>This Year</t>
  </si>
  <si>
    <t>Last Year</t>
  </si>
  <si>
    <t>Increase or Decrease</t>
  </si>
  <si>
    <t>Amount</t>
  </si>
  <si>
    <t>%</t>
  </si>
  <si>
    <t>Electric Operating Revenues.....…………..………..............</t>
  </si>
  <si>
    <t/>
  </si>
  <si>
    <t>Rate Refunds………………………………...……….</t>
  </si>
  <si>
    <t xml:space="preserve">   Total Operating Revenues....…….....………...........………</t>
  </si>
  <si>
    <t>Fuel ..…………………………….....………..........………</t>
  </si>
  <si>
    <t>Power Purchased...........……………....................…………</t>
  </si>
  <si>
    <t>Other Operation Expenses....………................………..</t>
  </si>
  <si>
    <t>Maintenance.........………........................……………</t>
  </si>
  <si>
    <t>Depreciation.................……................……………..</t>
  </si>
  <si>
    <t>Amortization Expense.......................………...………….</t>
  </si>
  <si>
    <t>Regulatory Credits………………………………………</t>
  </si>
  <si>
    <t>Taxes</t>
  </si>
  <si>
    <t xml:space="preserve">   Federal Income.........................…………...…………….</t>
  </si>
  <si>
    <t xml:space="preserve">   State Income...........…….....................…………………</t>
  </si>
  <si>
    <t xml:space="preserve">   Deferred Federal Income - Net……………….….................</t>
  </si>
  <si>
    <t xml:space="preserve">   Deferred State Income - Net...……………...…...............</t>
  </si>
  <si>
    <t xml:space="preserve">   Property and Other..………....……….................……….</t>
  </si>
  <si>
    <t xml:space="preserve">   Investment Tax Credit.………....……….................……….</t>
  </si>
  <si>
    <t>xxxx</t>
  </si>
  <si>
    <t>Loss (Gain) from Disposition of Allowances.................</t>
  </si>
  <si>
    <t>Accretion Expense……………………………………….</t>
  </si>
  <si>
    <t xml:space="preserve">   Total Operating Expenses.....……………................</t>
  </si>
  <si>
    <t xml:space="preserve">  Net Operating Income........…………..............…….</t>
  </si>
  <si>
    <t xml:space="preserve">   Other Income Less Deductions</t>
  </si>
  <si>
    <t xml:space="preserve">      Other Income Less Deductions.......…………..........</t>
  </si>
  <si>
    <t xml:space="preserve">      AFUDC - Equity...……………….…...…..…………..........</t>
  </si>
  <si>
    <t xml:space="preserve">   Total Other Income Less Deductions.....……………................</t>
  </si>
  <si>
    <t xml:space="preserve">   Income Before Interest Charges………….................</t>
  </si>
  <si>
    <t>Interest on Long-term Debt.......…………...............................................</t>
  </si>
  <si>
    <t>Amortization of Debt Expense - Net......…………….......</t>
  </si>
  <si>
    <t>Other Interest Expenses..............……...…….........……..</t>
  </si>
  <si>
    <t>AFUDC - Borrowed Funds……………………………….</t>
  </si>
  <si>
    <t xml:space="preserve">   Total Interest Charges.…………...................…………</t>
  </si>
  <si>
    <t xml:space="preserve">   Net Inc Before Cumulative Effect of Acctg Chg...........……......................……………..</t>
  </si>
  <si>
    <t>Cumulative Effect of Accounting Chg Net of Tax….</t>
  </si>
  <si>
    <t>Net Income...........……......................…………………………….</t>
  </si>
  <si>
    <t>Assets and Other Debits</t>
  </si>
  <si>
    <t>Liabilities and Other Credits</t>
  </si>
  <si>
    <t>Utility Plant</t>
  </si>
  <si>
    <t>Utility Plant at Original Cost.............……………………</t>
  </si>
  <si>
    <t>Common Stock...............................………………………</t>
  </si>
  <si>
    <t>Less Reserves for Depreciation and Amortization………</t>
  </si>
  <si>
    <t>Common Stock Expense.......................…………………..</t>
  </si>
  <si>
    <t>Paid-In Capital…………………………………………..</t>
  </si>
  <si>
    <t>Total....................................……………………………</t>
  </si>
  <si>
    <t>Other Comprehensive Income………….……………..</t>
  </si>
  <si>
    <t>Retained Earnings..........................……………………….</t>
  </si>
  <si>
    <t>Unappropriated Undistributed Subsidiary Earnings..........................……………………….</t>
  </si>
  <si>
    <t>Total Common Equity......................……………………</t>
  </si>
  <si>
    <t>Ohio Valley Electric Corporation………………………..</t>
  </si>
  <si>
    <t>Nonutility Property-Less Reserve...........………………..</t>
  </si>
  <si>
    <t>Preferred Stock............................………………………….</t>
  </si>
  <si>
    <t>Investments in Subsidiary Companies...........………………..</t>
  </si>
  <si>
    <t>Special Funds......................................…………………………..</t>
  </si>
  <si>
    <t>Other......................................…………………………..</t>
  </si>
  <si>
    <t>LT Notes Payable to Associated Companies……………….</t>
  </si>
  <si>
    <t>Total....................................……………………………..</t>
  </si>
  <si>
    <t>Total Long-term Debt........…………..……………….</t>
  </si>
  <si>
    <t>Total Capitalization.....................…………………………</t>
  </si>
  <si>
    <t>Current and Accrued Assets</t>
  </si>
  <si>
    <t>Cash.......................................……………………………</t>
  </si>
  <si>
    <t>Current and Accrued Liabilities</t>
  </si>
  <si>
    <t>Special Deposits...........................……………………….</t>
  </si>
  <si>
    <t>Temporary Cash Investments.........................……………………….</t>
  </si>
  <si>
    <t xml:space="preserve"> ST Notes Payable to Associated Companies………......</t>
  </si>
  <si>
    <t>Accounts Receivable-Less Reserve...........……………….</t>
  </si>
  <si>
    <t>Notes Payable ……………..………….........………..</t>
  </si>
  <si>
    <t>Notes Payable to Associated Companies……………….</t>
  </si>
  <si>
    <t>Accounts Receivable from Associated Companies...……………..</t>
  </si>
  <si>
    <t>Accounts Payable...........................………………….</t>
  </si>
  <si>
    <t>Materials and Supplies-At Average Cost</t>
  </si>
  <si>
    <t>Accounts Payable to Associated Companies..............…………………….</t>
  </si>
  <si>
    <t xml:space="preserve">   Fuel.....................................………………………………</t>
  </si>
  <si>
    <t>Customer Deposits..........................………………………</t>
  </si>
  <si>
    <t xml:space="preserve">   Plant Materials and Operating Supplies.....………………..</t>
  </si>
  <si>
    <t>Taxes Accrued..............................…………………………</t>
  </si>
  <si>
    <t xml:space="preserve">   Stores Expense...........................…………………………</t>
  </si>
  <si>
    <t>Interest Accrued...........................………………………..</t>
  </si>
  <si>
    <t>Allowance Inventory.....................................………………………………</t>
  </si>
  <si>
    <t>Dividends Declared.........................…………………………</t>
  </si>
  <si>
    <t>Prepayments................................………………………..</t>
  </si>
  <si>
    <t>Miscellaneous Current and Accrued Liabilities........…………………..</t>
  </si>
  <si>
    <t>Miscellaneous Current and Accrued Assets…………..</t>
  </si>
  <si>
    <t>Total....................................………………………………</t>
  </si>
  <si>
    <t>Deferred Credits and Other</t>
  </si>
  <si>
    <t>Accumulated Deferred Income Taxes..........……………….</t>
  </si>
  <si>
    <t>Deferred Debits and Other</t>
  </si>
  <si>
    <t>Investment Tax Credit......................……………………..</t>
  </si>
  <si>
    <t>Unamortized Debt Expense...................…………………</t>
  </si>
  <si>
    <t>Regulatory Liabilities...............………………………..</t>
  </si>
  <si>
    <t>Unamortized Loss on Bonds..................…………………</t>
  </si>
  <si>
    <t>Customer Advances for Construction........………………...</t>
  </si>
  <si>
    <t>Asset Retirement Obligations…………………………….</t>
  </si>
  <si>
    <t>Deferred Regulatory Assets.................…………………..</t>
  </si>
  <si>
    <t>Other Deferred Credits.....................……………………….</t>
  </si>
  <si>
    <t>Other Deferred Debits......................……………………..</t>
  </si>
  <si>
    <t>Miscellaneous Long-term Liabilities................……………………..</t>
  </si>
  <si>
    <t>Accum Provision for Postretirement Benefits…………….</t>
  </si>
  <si>
    <t>Total....................................………………………………….</t>
  </si>
  <si>
    <t>Total Assets and Other Debits................………………..</t>
  </si>
  <si>
    <t>Total Liabilities and Other Credits..........…………………</t>
  </si>
  <si>
    <t>COMPARATIVE STATEMENT OF INCOME</t>
  </si>
  <si>
    <t>YEAR ENDED CURRENT MONTH</t>
  </si>
  <si>
    <t>THIS YEAR</t>
  </si>
  <si>
    <t>LAST YEAR</t>
  </si>
  <si>
    <t>INCREASE OR DECREASE</t>
  </si>
  <si>
    <t>AMOUNT</t>
  </si>
  <si>
    <t>Operating Expenses</t>
  </si>
  <si>
    <t xml:space="preserve">   Federal Income - Estimated...……………….……..................</t>
  </si>
  <si>
    <t xml:space="preserve">   State Income - Estimated........………...........………</t>
  </si>
  <si>
    <t xml:space="preserve">   Investment Tax Credit………....……….................……….</t>
  </si>
  <si>
    <t>Interest on Long Term Debt.......…………................</t>
  </si>
  <si>
    <t xml:space="preserve">   Net Income...........……......................……………..</t>
  </si>
  <si>
    <t>Preferred Dividend Requirements..……………...............</t>
  </si>
  <si>
    <t>Earnings Available for Common......……………..............</t>
  </si>
  <si>
    <t>COMPARATIVE BALANCE SHEETS AS OF DECEMBER 31, 2007 AND 2006</t>
  </si>
  <si>
    <t>ASSETS AND OTHER DEBITS</t>
  </si>
  <si>
    <t>LIABILITIES AND OTHER CREDITS</t>
  </si>
  <si>
    <t>Less Reserves for Depreciation &amp; Amortization………</t>
  </si>
  <si>
    <t>Investments - At Cost</t>
  </si>
  <si>
    <t>Pollution Control Bonds......................………………………</t>
  </si>
  <si>
    <t>Other Long-Term Debt………………………………….</t>
  </si>
  <si>
    <t>Long-Term Debt Marked to Market……………………</t>
  </si>
  <si>
    <t>Total Long-Term Debt........…………..……………….</t>
  </si>
  <si>
    <t>Long-Term Debt Due in 1 Year.....................................</t>
  </si>
  <si>
    <t>Notes Receivable from Assoc. Companies................</t>
  </si>
  <si>
    <t>Accounts Receivable from Assoc Companies...……………..</t>
  </si>
  <si>
    <t>Materials &amp; Supplies-At Average Cost</t>
  </si>
  <si>
    <t xml:space="preserve">   Plant Materials &amp; Operating Supplies.....………………..</t>
  </si>
  <si>
    <t>Miscellaneous Current &amp; Accrued Assets…………..</t>
  </si>
  <si>
    <t>Misc. Current &amp; Accrued Liabilities........…………………..</t>
  </si>
  <si>
    <t>Misc. Long-Term Liabilities................……………………..</t>
  </si>
  <si>
    <t>Accum Provision for Post-Retirement Benefits…………….</t>
  </si>
  <si>
    <t>xxx</t>
  </si>
  <si>
    <t>COMPARATIVE BALANCE SHEETS AS OF DECEMBER 31, 2006 AND 2005</t>
  </si>
  <si>
    <t>First Mortgage Bonds.......................………………………</t>
  </si>
  <si>
    <t>Advances from Associated Companies…………………</t>
  </si>
  <si>
    <t>Long-Term Debt Due in 1 Year...............………………….</t>
  </si>
  <si>
    <t>COMPARATIVE BALANCE SHEETS AS OF DECEMBER 31, 2005 AND 2004</t>
  </si>
  <si>
    <t>Loss (Gain) from Disposition of Utility Plant.................</t>
  </si>
  <si>
    <t xml:space="preserve">      Interest and Dividend Income.......…………..........</t>
  </si>
  <si>
    <t>COMPARATIVE BALANCE SHEETS AS OF DECEMBER 31, 2004 AND 2003</t>
  </si>
  <si>
    <t>Investments in KU-R…………………………………</t>
  </si>
  <si>
    <t>Notes Receivable from KU-R…………………………</t>
  </si>
  <si>
    <t>ANALYSIS OF THE EMBEDDED COST OF CAPITAL AT</t>
  </si>
  <si>
    <t>LONG-TERM DEBT</t>
  </si>
  <si>
    <t>Annualized Cost</t>
  </si>
  <si>
    <t>Amortized Debt</t>
  </si>
  <si>
    <t>Amortized Loss-</t>
  </si>
  <si>
    <t>Embedded</t>
  </si>
  <si>
    <t>Due</t>
  </si>
  <si>
    <t>Principal</t>
  </si>
  <si>
    <t>Interest(income)</t>
  </si>
  <si>
    <t xml:space="preserve"> Issuance Expense</t>
  </si>
  <si>
    <t>Premium</t>
  </si>
  <si>
    <t>Reaquired Debt</t>
  </si>
  <si>
    <t xml:space="preserve">  Cost  </t>
  </si>
  <si>
    <t xml:space="preserve">Pollution Control Bonds - </t>
  </si>
  <si>
    <t>Series 11 - Series A</t>
  </si>
  <si>
    <t>*</t>
  </si>
  <si>
    <t>-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</si>
  <si>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</si>
  <si>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</si>
  <si>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</si>
  <si>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</si>
  <si>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</si>
  <si>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</si>
  <si>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</si>
  <si>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</si>
  <si>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</si>
  <si>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</si>
  <si>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</si>
  <si>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CC 2007A $17.8M</t>
  </si>
  <si>
    <t>TC 2007A $8.9M</t>
  </si>
  <si>
    <t>Called Bonds</t>
  </si>
  <si>
    <t xml:space="preserve">          -</t>
  </si>
  <si>
    <t>Total External Debt</t>
  </si>
  <si>
    <t>Notes Payable to Fidelia Corp.</t>
  </si>
  <si>
    <t>Total Internal Debt</t>
  </si>
  <si>
    <t>SHORT TERM DEBT</t>
  </si>
  <si>
    <t>Interest</t>
  </si>
  <si>
    <t>Expense</t>
  </si>
  <si>
    <t>Loss</t>
  </si>
  <si>
    <t>Notes Payable to Associated Company</t>
  </si>
  <si>
    <t>Reacquired Bonds</t>
  </si>
  <si>
    <t>Accounts Receivable Securitization</t>
  </si>
  <si>
    <t>(as of month-end)</t>
  </si>
  <si>
    <t>Facility</t>
  </si>
  <si>
    <t>Program</t>
  </si>
  <si>
    <t>PNC/Marketing Street</t>
  </si>
  <si>
    <t>Fee</t>
  </si>
  <si>
    <t>12/16-01/15</t>
  </si>
  <si>
    <t xml:space="preserve">     PNC/Market Street Funding</t>
  </si>
  <si>
    <t>Mellon/Three Rivers</t>
  </si>
  <si>
    <t xml:space="preserve">     Mellon/Three Rivers Funding</t>
  </si>
  <si>
    <t>11/17-12/15</t>
  </si>
  <si>
    <t>Embedded Cost of Total Debt</t>
  </si>
  <si>
    <t>* Composite rate at end of current month.</t>
  </si>
  <si>
    <t xml:space="preserve">1  Series  P and R bonds were redeemed in  2003, and 2005, respectively .  They were not replaced with other bond series.  The remaining unamortized expense is </t>
  </si>
  <si>
    <t xml:space="preserve">    being amortized over the remainder of the original lives (due 5/15/07 and 6/1/25 respectively) of the bonds as loss on reaquired debt.</t>
  </si>
  <si>
    <t>2   Reacquired bonds.</t>
  </si>
  <si>
    <t>Distribution:</t>
  </si>
  <si>
    <t>____Pam White</t>
  </si>
  <si>
    <t>____Elliott Horne</t>
  </si>
  <si>
    <t>____Scott Williams</t>
  </si>
  <si>
    <t>____Natalie Kessinger</t>
  </si>
  <si>
    <t>____Don Harris</t>
  </si>
  <si>
    <t>____Doug Leichty</t>
  </si>
  <si>
    <t>____David Cummings</t>
  </si>
  <si>
    <t>____Kim Withers</t>
  </si>
  <si>
    <t>____Dan Arbough</t>
  </si>
  <si>
    <t>____Sharon Bloat</t>
  </si>
  <si>
    <t>____John Bland</t>
  </si>
  <si>
    <t>____Jay Fister</t>
  </si>
  <si>
    <t>____Stephanie Pryor</t>
  </si>
  <si>
    <t>____Rhonda Anderson</t>
  </si>
  <si>
    <t>____Mimi Kelly</t>
  </si>
  <si>
    <t xml:space="preserve">PREPARED BY: </t>
  </si>
  <si>
    <t>DATE:</t>
  </si>
  <si>
    <t xml:space="preserve">REVIEWED BY: </t>
  </si>
  <si>
    <t>____Sara Wiseman</t>
  </si>
  <si>
    <t>____Angela Crescente</t>
  </si>
  <si>
    <t>____Bruce Rose</t>
  </si>
  <si>
    <t>PREPARED BY: ______________________  Date: __________</t>
  </si>
  <si>
    <t>REVIEWED BY: _______________________  Date: __________</t>
  </si>
  <si>
    <t>First Mortgage Bonds:</t>
  </si>
  <si>
    <t>Series P</t>
  </si>
  <si>
    <t>Pollution Control Bonds - SECURED:</t>
  </si>
  <si>
    <t>Series 10</t>
  </si>
  <si>
    <t>Interest Rate Swaps:</t>
  </si>
  <si>
    <t>JP Morgan Chase Bank-Series P</t>
  </si>
  <si>
    <t>Marked-to-Market Liability Series P</t>
  </si>
  <si>
    <t>1   Additional interest due to Swap Agreements:</t>
  </si>
  <si>
    <t>Variable</t>
  </si>
  <si>
    <t>Fixed</t>
  </si>
  <si>
    <t>KU Swap</t>
  </si>
  <si>
    <t>Counterparty</t>
  </si>
  <si>
    <t>Underlying Debt Being Hedged</t>
  </si>
  <si>
    <t>Notional Amount</t>
  </si>
  <si>
    <t>Expiration of Swap Agreement</t>
  </si>
  <si>
    <t>Position</t>
  </si>
  <si>
    <t>Swap Position</t>
  </si>
  <si>
    <t>Series P - FMB</t>
  </si>
  <si>
    <t>May 15, 2007</t>
  </si>
  <si>
    <t>To Pay:</t>
  </si>
  <si>
    <t>3 mo. LIBOR +207 bps</t>
  </si>
  <si>
    <t xml:space="preserve">2  Series  P and R bonds were redeemed in  2003, and 2005, respectiively .  They were not replaced with other bond series.  The remaining unamortized expense is </t>
  </si>
  <si>
    <t xml:space="preserve">    being amortized over the remainder of the original lives (due 5/15/27 and 6/1/25 respectively) of the bonds as loss on reaquired debt.</t>
  </si>
  <si>
    <t>____Susan Emery</t>
  </si>
  <si>
    <t>____Buddy Ray</t>
  </si>
  <si>
    <t>____Gene Skiles</t>
  </si>
  <si>
    <t>____Diana Wacker</t>
  </si>
  <si>
    <t>____Tom Bush</t>
  </si>
  <si>
    <t>Series S</t>
  </si>
  <si>
    <t xml:space="preserve">2  Series  M, P and R bonds were redeemed in 1993,  2003, and 2005, respectiively .  They were not replaced with other bond series.  The remaining unamortized expense is </t>
  </si>
  <si>
    <t xml:space="preserve">    being amortized over the remainder of the original lives (due 6/1/2006, 5/15/27 and 6/1/25 respectively) of the bonds as loss on reaquired debt.</t>
  </si>
  <si>
    <t>____Frank Mazza</t>
  </si>
  <si>
    <t>____Chris Garrett</t>
  </si>
  <si>
    <t>____Lynda Clark</t>
  </si>
  <si>
    <t>Series R</t>
  </si>
  <si>
    <t>Bank of Monteal-Series R</t>
  </si>
  <si>
    <t>Marked-to-Market Liability Series R</t>
  </si>
  <si>
    <t>PREFERRED STOCK</t>
  </si>
  <si>
    <t>Premium/</t>
  </si>
  <si>
    <t>Adjusted</t>
  </si>
  <si>
    <t>Discount</t>
  </si>
  <si>
    <t>Gain</t>
  </si>
  <si>
    <t>Dividends</t>
  </si>
  <si>
    <t>Series - 4.75%</t>
  </si>
  <si>
    <t>Series - 6.53%</t>
  </si>
  <si>
    <t>Commercial Paper</t>
  </si>
  <si>
    <t>Series R - FMB</t>
  </si>
  <si>
    <t>June 1, 2025</t>
  </si>
  <si>
    <t>3 mo LIBOR -24 bps</t>
  </si>
  <si>
    <t xml:space="preserve">2  Series L and M FMB bonds were redeemed in 1993 and series P was redeemed in 2003.  They were not replaced with other bond series.  The remaining unamortized expense is </t>
  </si>
  <si>
    <t xml:space="preserve">    being amortized over the remainder of the original life (due 4/1/2004, 6/1/2006 and 5/15/27, respectively) of the bonds as loss on reaqucired debt.</t>
  </si>
  <si>
    <t>Electronic Distribution:</t>
  </si>
  <si>
    <t>____Sean Purser</t>
  </si>
  <si>
    <t>____Robert McGonnell</t>
  </si>
  <si>
    <t>____Kevin Hitchcock</t>
  </si>
  <si>
    <t>Actual</t>
  </si>
  <si>
    <t xml:space="preserve">Balances for PSC 1st Data Request 2003 Q38 </t>
  </si>
  <si>
    <t xml:space="preserve">Period Name : 'JAN-2005, FEB-2005, MAR-2005, APR-2005, MAY-2005, JUN-2005, JUL-2005, AUG-2005, SEP-2005, OCT-2005, NOV-2005, DEC-2005, JAN-2006, FEB-2006, MAR-2006, APR-2006, MAY-2006, JUN-2006, JUL-2006, AUG-2006, SEP-2006, OCT-2006, NOV-2006, DEC-2006, </t>
  </si>
  <si>
    <t>Company:0110</t>
  </si>
  <si>
    <t>Balance</t>
  </si>
  <si>
    <t xml:space="preserve"> </t>
  </si>
  <si>
    <t>Balance Sheet Line Item</t>
  </si>
  <si>
    <t>A. Materials &amp; Supplies</t>
  </si>
  <si>
    <t>B. Stores Expense</t>
  </si>
  <si>
    <t>C. Fuel</t>
  </si>
  <si>
    <t>D. Prepaid Insurance</t>
  </si>
  <si>
    <t>31-JAN-05</t>
  </si>
  <si>
    <t>28-FEB-05</t>
  </si>
  <si>
    <t>31-MAR-05</t>
  </si>
  <si>
    <t>30-APR-05</t>
  </si>
  <si>
    <t>31-MAY-05</t>
  </si>
  <si>
    <t>30-JUN-05</t>
  </si>
  <si>
    <t>31-JUL-05</t>
  </si>
  <si>
    <t>31-AUG-05</t>
  </si>
  <si>
    <t>30-SEP-05</t>
  </si>
  <si>
    <t>31-OCT-05</t>
  </si>
  <si>
    <t>30-NOV-05</t>
  </si>
  <si>
    <t>31-DEC-05</t>
  </si>
  <si>
    <t>31-JAN-06</t>
  </si>
  <si>
    <t>28-FEB-06</t>
  </si>
  <si>
    <t>31-MAR-06</t>
  </si>
  <si>
    <t>30-APR-06</t>
  </si>
  <si>
    <t>31-MAY-06</t>
  </si>
  <si>
    <t>30-JUN-06</t>
  </si>
  <si>
    <t>31-JUL-06</t>
  </si>
  <si>
    <t>31-AUG-06</t>
  </si>
  <si>
    <t>30-SEP-06</t>
  </si>
  <si>
    <t>31-OCT-06</t>
  </si>
  <si>
    <t>30-NOV-06</t>
  </si>
  <si>
    <t>31-DEC-06</t>
  </si>
  <si>
    <t>31-JAN-07</t>
  </si>
  <si>
    <t>28-FEB-07</t>
  </si>
  <si>
    <t>31-MAR-07</t>
  </si>
  <si>
    <t>30-APR-07</t>
  </si>
  <si>
    <t>31-MAY-07</t>
  </si>
  <si>
    <t>30-JUN-07</t>
  </si>
  <si>
    <t>31-JUL-07</t>
  </si>
  <si>
    <t>31-AUG-07</t>
  </si>
  <si>
    <t>30-SEP-07</t>
  </si>
  <si>
    <t>31-OCT-07</t>
  </si>
  <si>
    <t>30-NOV-07</t>
  </si>
  <si>
    <t>31-DEC-07</t>
  </si>
  <si>
    <t>Discoverer Query:  Fuel-M&amp;S-Stores Acct Balances for Rate Case.DIS</t>
  </si>
  <si>
    <t>ELECTRIC UTILITY REVENUES AND EXPENSES</t>
  </si>
  <si>
    <t>CURRENT MONTH</t>
  </si>
  <si>
    <t>YEAR TO DATE</t>
  </si>
  <si>
    <t>Residential Sales ...................................……………………….</t>
  </si>
  <si>
    <t>Commercial Sales ..............................……………………</t>
  </si>
  <si>
    <t>Industrial Sales .............................………………………</t>
  </si>
  <si>
    <t>Mine Power .....................………………………………..</t>
  </si>
  <si>
    <t>Public Street and Highway Lighting ..................……………….</t>
  </si>
  <si>
    <t>Other Sales to Public Authorities ...................……………….</t>
  </si>
  <si>
    <t>Municipal Pumping .....................………………………………..</t>
  </si>
  <si>
    <t>Rate Refunds .....................………………………………..</t>
  </si>
  <si>
    <t xml:space="preserve">   Total Electric Revenue - Ultimate Consumers ....…………………</t>
  </si>
  <si>
    <t>Sales for Resale ....................................…………………….</t>
  </si>
  <si>
    <t>Wholesale Sales ………………………………………………..</t>
  </si>
  <si>
    <t>Brokered Revenues ………………………………………………..</t>
  </si>
  <si>
    <t>Brokered Purchases ………………………………………………..</t>
  </si>
  <si>
    <t>Miscellaneous Service Revenue .......................……………….</t>
  </si>
  <si>
    <t>Rent from Electric Property .........................………………</t>
  </si>
  <si>
    <t>Other Electric Revenue ..............................……………………</t>
  </si>
  <si>
    <t xml:space="preserve">   Total Electric Operating Revenue ...............………………………</t>
  </si>
  <si>
    <t>Fuel ................................................…………………………………</t>
  </si>
  <si>
    <t>Operation Expenses ..................................………………….</t>
  </si>
  <si>
    <t>Maintenance .........................................…………………..</t>
  </si>
  <si>
    <t>Rents ...............................................………………………</t>
  </si>
  <si>
    <t xml:space="preserve">   Total Steam Power Generation Expenses ..........…………………</t>
  </si>
  <si>
    <t>Operation Expenses ..................................………………………..</t>
  </si>
  <si>
    <t>Maintenance ........................................……………………..</t>
  </si>
  <si>
    <t>Rents ...............................................………………………………</t>
  </si>
  <si>
    <t xml:space="preserve">   Total Hydraulic Generation Expenses ............……………….</t>
  </si>
  <si>
    <t>Fuel ................................................……………………..</t>
  </si>
  <si>
    <t>Maintenance .........................................……………………..</t>
  </si>
  <si>
    <t>Rents…………………………………………………………</t>
  </si>
  <si>
    <t xml:space="preserve">   Total Other Power Generation Expenses ..........…………………..</t>
  </si>
  <si>
    <t>Purchased Power .....................................……………………..</t>
  </si>
  <si>
    <t>Brokered Purchases ………………………………………….</t>
  </si>
  <si>
    <t>System Control and Load Dispatch ....................……………………</t>
  </si>
  <si>
    <t>Other Expenses ......................................………………………..</t>
  </si>
  <si>
    <t xml:space="preserve">   Total Other Power Supply Expenses ..............……………….</t>
  </si>
  <si>
    <t xml:space="preserve">   Total Power Production Expenses ................…………………..</t>
  </si>
  <si>
    <t>Intercompany Sales for Resale ……………………………..</t>
  </si>
  <si>
    <t>Intercompany Brokered Revenues ……………………………</t>
  </si>
  <si>
    <t>Settled Swap Revenue…………………....................................</t>
  </si>
  <si>
    <t>Settled Swap Expense.................................................................</t>
  </si>
  <si>
    <t>31-JAN-08</t>
  </si>
  <si>
    <t>29-FEB-08</t>
  </si>
  <si>
    <t>31-MAR-08</t>
  </si>
  <si>
    <t>30-APR-08</t>
  </si>
  <si>
    <t>31-MAY-08</t>
  </si>
  <si>
    <t>30-JUN-08</t>
  </si>
  <si>
    <t>31-JUL-08</t>
  </si>
  <si>
    <t>31-AUG-08</t>
  </si>
  <si>
    <t>30-SEP-08</t>
  </si>
  <si>
    <t>31-OCT-08</t>
  </si>
  <si>
    <t>30-NOV-08</t>
  </si>
  <si>
    <t>31-DEC-08</t>
  </si>
  <si>
    <t>Investments</t>
  </si>
  <si>
    <t>Pollution Control Bonds...........………………………………</t>
  </si>
  <si>
    <t>March 26, 2009</t>
  </si>
  <si>
    <t>Fuel for Electric Generation………………………………………...…………………………….....………..........………</t>
  </si>
  <si>
    <t>12/2008</t>
  </si>
  <si>
    <t>December 31, 2008 Total Company</t>
  </si>
  <si>
    <t>December 31, 2008 Kentucky Retail Jurisdiction</t>
  </si>
  <si>
    <t>December 31, 2008 Other Jurisdiction</t>
  </si>
  <si>
    <t>Net Operating Income for the 12 months ended December 31, 2008</t>
  </si>
  <si>
    <t>Allowances</t>
  </si>
  <si>
    <t>DEMPROD</t>
  </si>
  <si>
    <t>October 31, 2009 Total Company</t>
  </si>
  <si>
    <t>October 31, 2009 Kentucky Retail Jurisdiction</t>
  </si>
  <si>
    <t>October 31, 2009 Other Jurisdiction</t>
  </si>
  <si>
    <t>Net Operating Income for the 12 months ended October 31, 2009</t>
  </si>
  <si>
    <t>MEMO</t>
  </si>
  <si>
    <t>Prepayments</t>
  </si>
  <si>
    <t>excluding Taxes</t>
  </si>
  <si>
    <t>10/2009</t>
  </si>
  <si>
    <t xml:space="preserve">  Asset Retirement Obligation-Net Assets</t>
  </si>
  <si>
    <t xml:space="preserve">  Asset Retirement Obligation-Regulatory Liabilities</t>
  </si>
  <si>
    <t xml:space="preserve">  Emission Allowances (b)</t>
  </si>
  <si>
    <t>Excludes PSC fees.</t>
  </si>
  <si>
    <t>12 months ended October 31, 2009</t>
  </si>
  <si>
    <t>(1)</t>
  </si>
  <si>
    <t>(2)</t>
  </si>
  <si>
    <t>(3)</t>
  </si>
  <si>
    <t>(4)</t>
  </si>
  <si>
    <t>12 months ended December 31, 2008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</si>
  <si>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</si>
  <si>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</si>
  <si>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</si>
  <si>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</si>
  <si>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</si>
  <si>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</si>
  <si>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</si>
  <si>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</si>
  <si>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</si>
  <si>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</si>
  <si>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</si>
  <si>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</si>
  <si>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Note: Monthly data source is Financial Reports, Page 5 and 8. Functional M&amp;S and allocation factors from COS.</t>
  </si>
  <si>
    <t>And the Test Year</t>
  </si>
  <si>
    <t>Operations</t>
  </si>
  <si>
    <t>Gas</t>
  </si>
  <si>
    <t xml:space="preserve">(c) </t>
  </si>
  <si>
    <t>December 31, 2009</t>
  </si>
  <si>
    <t>Rate Refunds..............................................................................</t>
  </si>
  <si>
    <t>January 25, 2010</t>
  </si>
  <si>
    <t>Comparative Balance Sheets as of December 31, 2009 and 2008</t>
  </si>
  <si>
    <t>December 31, 2010</t>
  </si>
  <si>
    <t>Electric Operating Revenues</t>
  </si>
  <si>
    <t>Rate Refunds</t>
  </si>
  <si>
    <t xml:space="preserve">   Total Operating Revenues</t>
  </si>
  <si>
    <t>Fuel for Electric Generation</t>
  </si>
  <si>
    <t>Power Purchased</t>
  </si>
  <si>
    <t>Other Operation Expenses</t>
  </si>
  <si>
    <t>Maintenance</t>
  </si>
  <si>
    <t>Depreciation</t>
  </si>
  <si>
    <t>Amortization Expense</t>
  </si>
  <si>
    <t>Regulatory Credits</t>
  </si>
  <si>
    <t xml:space="preserve">   Federal Income</t>
  </si>
  <si>
    <t xml:space="preserve">   State Income</t>
  </si>
  <si>
    <t xml:space="preserve">   Deferred Federal Income - Net</t>
  </si>
  <si>
    <t xml:space="preserve">   Deferred State Income - Net</t>
  </si>
  <si>
    <t xml:space="preserve">   Property and Other</t>
  </si>
  <si>
    <t xml:space="preserve">   Investment Tax Credit</t>
  </si>
  <si>
    <t>Loss (Gain) from Disposition of Allowances</t>
  </si>
  <si>
    <t>Accretion Expense</t>
  </si>
  <si>
    <t xml:space="preserve">   Total Operating Expenses</t>
  </si>
  <si>
    <t xml:space="preserve">  Net Operating Income</t>
  </si>
  <si>
    <t xml:space="preserve">      Other Income Less Deductions</t>
  </si>
  <si>
    <t xml:space="preserve">      AFUDC - Equity</t>
  </si>
  <si>
    <t xml:space="preserve">   Total Other Income Less Deductions</t>
  </si>
  <si>
    <t xml:space="preserve">   Income Before Interest Charges</t>
  </si>
  <si>
    <t>Interest on Long-Term Debt</t>
  </si>
  <si>
    <t>Amortization of Debt Expense - Net</t>
  </si>
  <si>
    <t>Other Interest Expenses</t>
  </si>
  <si>
    <t>AFUDC - Borrowed Funds</t>
  </si>
  <si>
    <t xml:space="preserve">   Total Interest Charges</t>
  </si>
  <si>
    <t>Net Income</t>
  </si>
  <si>
    <t>January 31, 2011</t>
  </si>
  <si>
    <t>Comparative Balance Sheets as of December 31, 2010 and 2009</t>
  </si>
  <si>
    <t>Assets</t>
  </si>
  <si>
    <t>Liabilities and Proprietary Capital</t>
  </si>
  <si>
    <t>Proprietary Capital</t>
  </si>
  <si>
    <t>Common Stock</t>
  </si>
  <si>
    <t>Less Reserves for Depreciation and Amortization</t>
  </si>
  <si>
    <t>Less: Common Stock Expense</t>
  </si>
  <si>
    <t>Paid-In Capital</t>
  </si>
  <si>
    <t>Other Comprehensive Income</t>
  </si>
  <si>
    <t>Retained Earnings</t>
  </si>
  <si>
    <t>Unappropriated Undistributed Subsidiary Earnings</t>
  </si>
  <si>
    <t>Total Proprietary Capital</t>
  </si>
  <si>
    <t>Electric Energy, Inc</t>
  </si>
  <si>
    <t>Ohio Valley Electric Company</t>
  </si>
  <si>
    <t>Nonutility Property-Less Reserve</t>
  </si>
  <si>
    <t>Pollution Control Bonds</t>
  </si>
  <si>
    <t>First Mortgage Bonds</t>
  </si>
  <si>
    <t>LT Notes Payable to Associated Companies</t>
  </si>
  <si>
    <t>Total Long-Term Debt</t>
  </si>
  <si>
    <t>Total Capitalization</t>
  </si>
  <si>
    <t>Cash</t>
  </si>
  <si>
    <t>Special Deposits</t>
  </si>
  <si>
    <t>Temporary Cash Investments</t>
  </si>
  <si>
    <t>Accounts Receivable-Less Reserve</t>
  </si>
  <si>
    <t>Accounts Receivable from Associated Companies</t>
  </si>
  <si>
    <t>ST Notes Payable to Associated Companies</t>
  </si>
  <si>
    <t>Accounts Payable</t>
  </si>
  <si>
    <t xml:space="preserve">   Fuel</t>
  </si>
  <si>
    <t>Accounts Payable to Associated Companies</t>
  </si>
  <si>
    <t xml:space="preserve">   Plant Materials and Operating Supplies</t>
  </si>
  <si>
    <t>Customer Deposits</t>
  </si>
  <si>
    <t xml:space="preserve">   Stores Expense</t>
  </si>
  <si>
    <t>Taxes Accrued</t>
  </si>
  <si>
    <t>Emission Allowances</t>
  </si>
  <si>
    <t>Interest Accrued</t>
  </si>
  <si>
    <t>Miscellaneous Current and Accrued Liabilities</t>
  </si>
  <si>
    <t>Miscellaneous Current and Accrued Assets</t>
  </si>
  <si>
    <t>Accumulated Deferred Income Taxes</t>
  </si>
  <si>
    <t>Investment Tax Credit</t>
  </si>
  <si>
    <t>Unamortized Debt Expense</t>
  </si>
  <si>
    <t>Regulatory Liabilities</t>
  </si>
  <si>
    <t>Unamortized Loss on Bonds</t>
  </si>
  <si>
    <t>Customer Advances for Construction</t>
  </si>
  <si>
    <t>Asset Retirement Obligations</t>
  </si>
  <si>
    <t>Deferred Regulatory Assets</t>
  </si>
  <si>
    <t>Other Deferred Credits</t>
  </si>
  <si>
    <t>Other Deferred Debits</t>
  </si>
  <si>
    <t>Miscellaneous Long-Term Liabilities</t>
  </si>
  <si>
    <t>Accum Provision for Postretirement Benefits</t>
  </si>
  <si>
    <t xml:space="preserve">Total Assets </t>
  </si>
  <si>
    <t>Total Liabilities and Stockholders Equity</t>
  </si>
  <si>
    <t>December 31, 2011</t>
  </si>
  <si>
    <t xml:space="preserve">      Amortization of Investment Tax Credit</t>
  </si>
  <si>
    <t>January 26, 2012</t>
  </si>
  <si>
    <t>Comparative Balance Sheets as of December 31, 2011 and 2010</t>
  </si>
  <si>
    <t>Less: Reserves for Depreciation and Amortization</t>
  </si>
  <si>
    <t>Dividends Declared</t>
  </si>
  <si>
    <t>April 26, 2012</t>
  </si>
  <si>
    <t>Comparative Balance Sheets as of March 31, 2012 and 2011</t>
  </si>
  <si>
    <t xml:space="preserve">For the Calendar Years 2007 through 2011 </t>
  </si>
  <si>
    <t>March 31, 2012 Total Company</t>
  </si>
  <si>
    <t>Net Operating Income for the 12 months ended March 31, 2012</t>
  </si>
  <si>
    <t>March 31, 2012 Other Jurisdiction</t>
  </si>
  <si>
    <t>March 31, 2012 Kentucky Retail Jurisdiction</t>
  </si>
  <si>
    <t>December 31, 2011 Total Company</t>
  </si>
  <si>
    <t>Net Operating Income for the 12 months ended December 31, 2011</t>
  </si>
  <si>
    <t>December 31, 2011 Other Jurisdiction</t>
  </si>
  <si>
    <t>December 31, 2011 Kentucky Retail Jurisdiction</t>
  </si>
  <si>
    <t>December 31, 2010 Total Company</t>
  </si>
  <si>
    <t>Net Operating Income for the 12 months ended December 31, 2010</t>
  </si>
  <si>
    <t>December 31, 2010 Other Jurisdiction</t>
  </si>
  <si>
    <t>December 31, 2010 Kentucky Retail Jurisdiction</t>
  </si>
  <si>
    <t>December 31, 2009 Total Company</t>
  </si>
  <si>
    <t>Net Operating Income for the 12 months ended December 31, 2009</t>
  </si>
  <si>
    <t>December 31, 2009 Other Jurisdiction</t>
  </si>
  <si>
    <t>December 31, 2009 Kentucky Retail Jurisdiction</t>
  </si>
  <si>
    <t>At December 31, 2011</t>
  </si>
  <si>
    <t>12 months ended December 31, 2011</t>
  </si>
  <si>
    <t>At December 31, 2010</t>
  </si>
  <si>
    <t>Net Plant Deductions</t>
  </si>
  <si>
    <t>12 months ended December 31, 2010</t>
  </si>
  <si>
    <t>At December 31, 2009</t>
  </si>
  <si>
    <t>12 months ended December 31, 2009</t>
  </si>
  <si>
    <t>CASE NO. 2012-00221</t>
  </si>
  <si>
    <t>Note:  Consistent with the response to the first data request of the Commission Staff, question number 38, provided in KU Case No. 2012-00221, all percentages are calculated before any pro forma adjustments.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</si>
</sst>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#,##0.00000_);[Red]\(#,##0.00000\)"/>
    <numFmt numFmtId="168" formatCode="mmm\-yyyy"/>
    <numFmt numFmtId="169" formatCode="#."/>
    <numFmt numFmtId="170" formatCode="General_)"/>
    <numFmt numFmtId="171" formatCode="mmmm\ d\,\ yyyy"/>
    <numFmt numFmtId="172" formatCode="mm/dd/yy_)"/>
    <numFmt numFmtId="173" formatCode="#,##0.000_);\(#,##0.000\)"/>
    <numFmt numFmtId="174" formatCode="0.000_)"/>
    <numFmt numFmtId="175" formatCode="_(* #,##0.000_);_(* \(#,##0.000\);_(* &quot;-&quot;??_);_(@_)"/>
    <numFmt numFmtId="176" formatCode="0.0000%"/>
    <numFmt numFmtId="177" formatCode="0.00000%"/>
    <numFmt numFmtId="178" formatCode="#,###,###,###,##0.00"/>
    <numFmt numFmtId="179" formatCode="_(* #,##0.00000_);_(* \(#,##0.00000\);_(* &quot;-&quot;??_);_(@_)"/>
    <numFmt numFmtId="180" formatCode="0\ 00\ 000\ 000"/>
    <numFmt numFmtId="181" formatCode="_-* #,##0.00\ [$€]_-;\-* #,##0.00\ [$€]_-;_-* &quot;-&quot;??\ [$€]_-;_-@_-"/>
    <numFmt numFmtId="182" formatCode="&quot;$&quot;#,##0\ ;\(&quot;$&quot;#,##0\)"/>
    <numFmt numFmtId="183" formatCode="."/>
    <numFmt numFmtId="184" formatCode="_(* #,##0.000_);_(* \(#,##0.000\);_(* &quot;-&quot;???_);_(@_)"/>
    <numFmt numFmtId="185" formatCode="#,##0.000000_);[Red]\(#,##0.000000\)"/>
    <numFmt numFmtId="186" formatCode="0.000"/>
    <numFmt numFmtId="187" formatCode="@*."/>
    <numFmt numFmtId="188" formatCode="[$-409]mmm\-yy;@"/>
    <numFmt numFmtId="189" formatCode="_([$€-2]* #,##0.00_);_([$€-2]* \(#,##0.00\);_([$€-2]* &quot;-&quot;??_)"/>
    <numFmt numFmtId="190" formatCode="[$-409]mmmm\-yy;@"/>
    <numFmt numFmtId="191" formatCode="#,##0.00;[Red]\(#,##0.00\)"/>
  </numFmts>
  <fonts count="124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u val="singleAccounting"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0"/>
      <name val="Courier"/>
      <family val="3"/>
    </font>
    <font>
      <sz val="8"/>
      <color indexed="8"/>
      <name val="Wingdings"/>
      <charset val="2"/>
    </font>
    <font>
      <sz val="12"/>
      <name val="Helv"/>
    </font>
    <font>
      <b/>
      <u/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sz val="10"/>
      <name val="Helv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56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name val="Helv"/>
    </font>
    <font>
      <u val="double"/>
      <sz val="12"/>
      <name val="Arial"/>
      <family val="2"/>
    </font>
    <font>
      <sz val="12"/>
      <color indexed="9"/>
      <name val="Arial"/>
      <family val="2"/>
    </font>
    <font>
      <sz val="1"/>
      <color indexed="8"/>
      <name val="Arial"/>
      <family val="2"/>
    </font>
    <font>
      <sz val="12"/>
      <color indexed="12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6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2"/>
    </font>
    <font>
      <sz val="11"/>
      <color theme="0"/>
      <name val="Calibri"/>
      <family val="2"/>
      <scheme val="minor"/>
    </font>
    <font>
      <sz val="11"/>
      <color rgb="FF9C0006"/>
      <name val="Times New 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Times New Roman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  <scheme val="minor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Times New Roman"/>
      <family val="2"/>
    </font>
    <font>
      <sz val="11"/>
      <color rgb="FF006100"/>
      <name val="Calibri"/>
      <family val="2"/>
      <scheme val="min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  <scheme val="minor"/>
    </font>
    <font>
      <sz val="11"/>
      <color rgb="FF3F3F76"/>
      <name val="Times New Roman"/>
      <family val="2"/>
    </font>
    <font>
      <sz val="11"/>
      <color rgb="FF3F3F76"/>
      <name val="Calibri"/>
      <family val="2"/>
      <scheme val="minor"/>
    </font>
    <font>
      <sz val="11"/>
      <color rgb="FFFA7D00"/>
      <name val="Times New Roman"/>
      <family val="2"/>
    </font>
    <font>
      <sz val="11"/>
      <color rgb="FFFA7D00"/>
      <name val="Calibri"/>
      <family val="2"/>
      <scheme val="minor"/>
    </font>
    <font>
      <sz val="11"/>
      <color rgb="FF9C6500"/>
      <name val="Times New Roman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FF000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82">
    <xf numFmtId="0" fontId="0" fillId="0" borderId="0"/>
    <xf numFmtId="186" fontId="4" fillId="0" borderId="0">
      <alignment horizontal="left" wrapText="1"/>
    </xf>
    <xf numFmtId="0" fontId="1" fillId="2" borderId="0"/>
    <xf numFmtId="0" fontId="4" fillId="2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88" fontId="94" fillId="44" borderId="0" applyNumberFormat="0" applyBorder="0" applyAlignment="0" applyProtection="0"/>
    <xf numFmtId="188" fontId="94" fillId="44" borderId="0" applyNumberFormat="0" applyBorder="0" applyAlignment="0" applyProtection="0"/>
    <xf numFmtId="0" fontId="19" fillId="3" borderId="0" applyNumberFormat="0" applyBorder="0" applyAlignment="0" applyProtection="0"/>
    <xf numFmtId="0" fontId="95" fillId="44" borderId="0" applyNumberFormat="0" applyBorder="0" applyAlignment="0" applyProtection="0"/>
    <xf numFmtId="190" fontId="19" fillId="4" borderId="0" applyNumberFormat="0" applyBorder="0" applyAlignment="0" applyProtection="0"/>
    <xf numFmtId="190" fontId="19" fillId="4" borderId="0" applyNumberFormat="0" applyBorder="0" applyAlignment="0" applyProtection="0"/>
    <xf numFmtId="190" fontId="19" fillId="4" borderId="0" applyNumberFormat="0" applyBorder="0" applyAlignment="0" applyProtection="0"/>
    <xf numFmtId="190" fontId="19" fillId="4" borderId="0" applyNumberFormat="0" applyBorder="0" applyAlignment="0" applyProtection="0"/>
    <xf numFmtId="190" fontId="19" fillId="4" borderId="0" applyNumberFormat="0" applyBorder="0" applyAlignment="0" applyProtection="0"/>
    <xf numFmtId="19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188" fontId="94" fillId="45" borderId="0" applyNumberFormat="0" applyBorder="0" applyAlignment="0" applyProtection="0"/>
    <xf numFmtId="188" fontId="94" fillId="45" borderId="0" applyNumberFormat="0" applyBorder="0" applyAlignment="0" applyProtection="0"/>
    <xf numFmtId="0" fontId="19" fillId="5" borderId="0" applyNumberFormat="0" applyBorder="0" applyAlignment="0" applyProtection="0"/>
    <xf numFmtId="0" fontId="95" fillId="45" borderId="0" applyNumberFormat="0" applyBorder="0" applyAlignment="0" applyProtection="0"/>
    <xf numFmtId="190" fontId="19" fillId="6" borderId="0" applyNumberFormat="0" applyBorder="0" applyAlignment="0" applyProtection="0"/>
    <xf numFmtId="190" fontId="19" fillId="6" borderId="0" applyNumberFormat="0" applyBorder="0" applyAlignment="0" applyProtection="0"/>
    <xf numFmtId="190" fontId="19" fillId="6" borderId="0" applyNumberFormat="0" applyBorder="0" applyAlignment="0" applyProtection="0"/>
    <xf numFmtId="190" fontId="19" fillId="6" borderId="0" applyNumberFormat="0" applyBorder="0" applyAlignment="0" applyProtection="0"/>
    <xf numFmtId="190" fontId="19" fillId="6" borderId="0" applyNumberFormat="0" applyBorder="0" applyAlignment="0" applyProtection="0"/>
    <xf numFmtId="19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188" fontId="94" fillId="46" borderId="0" applyNumberFormat="0" applyBorder="0" applyAlignment="0" applyProtection="0"/>
    <xf numFmtId="188" fontId="94" fillId="46" borderId="0" applyNumberFormat="0" applyBorder="0" applyAlignment="0" applyProtection="0"/>
    <xf numFmtId="0" fontId="19" fillId="7" borderId="0" applyNumberFormat="0" applyBorder="0" applyAlignment="0" applyProtection="0"/>
    <xf numFmtId="0" fontId="95" fillId="46" borderId="0" applyNumberFormat="0" applyBorder="0" applyAlignment="0" applyProtection="0"/>
    <xf numFmtId="190" fontId="19" fillId="8" borderId="0" applyNumberFormat="0" applyBorder="0" applyAlignment="0" applyProtection="0"/>
    <xf numFmtId="190" fontId="19" fillId="8" borderId="0" applyNumberFormat="0" applyBorder="0" applyAlignment="0" applyProtection="0"/>
    <xf numFmtId="190" fontId="19" fillId="8" borderId="0" applyNumberFormat="0" applyBorder="0" applyAlignment="0" applyProtection="0"/>
    <xf numFmtId="190" fontId="19" fillId="8" borderId="0" applyNumberFormat="0" applyBorder="0" applyAlignment="0" applyProtection="0"/>
    <xf numFmtId="190" fontId="19" fillId="8" borderId="0" applyNumberFormat="0" applyBorder="0" applyAlignment="0" applyProtection="0"/>
    <xf numFmtId="19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88" fontId="94" fillId="47" borderId="0" applyNumberFormat="0" applyBorder="0" applyAlignment="0" applyProtection="0"/>
    <xf numFmtId="188" fontId="94" fillId="47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47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190" fontId="19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190" fontId="19" fillId="10" borderId="0" applyNumberFormat="0" applyBorder="0" applyAlignment="0" applyProtection="0"/>
    <xf numFmtId="0" fontId="19" fillId="9" borderId="0" applyNumberFormat="0" applyBorder="0" applyAlignment="0" applyProtection="0"/>
    <xf numFmtId="190" fontId="19" fillId="10" borderId="0" applyNumberFormat="0" applyBorder="0" applyAlignment="0" applyProtection="0"/>
    <xf numFmtId="0" fontId="95" fillId="11" borderId="0" applyNumberFormat="0" applyBorder="0" applyAlignment="0" applyProtection="0"/>
    <xf numFmtId="190" fontId="19" fillId="10" borderId="0" applyNumberFormat="0" applyBorder="0" applyAlignment="0" applyProtection="0"/>
    <xf numFmtId="0" fontId="95" fillId="11" borderId="0" applyNumberFormat="0" applyBorder="0" applyAlignment="0" applyProtection="0"/>
    <xf numFmtId="190" fontId="19" fillId="10" borderId="0" applyNumberFormat="0" applyBorder="0" applyAlignment="0" applyProtection="0"/>
    <xf numFmtId="19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88" fontId="94" fillId="48" borderId="0" applyNumberFormat="0" applyBorder="0" applyAlignment="0" applyProtection="0"/>
    <xf numFmtId="188" fontId="94" fillId="48" borderId="0" applyNumberFormat="0" applyBorder="0" applyAlignment="0" applyProtection="0"/>
    <xf numFmtId="0" fontId="19" fillId="12" borderId="0" applyNumberFormat="0" applyBorder="0" applyAlignment="0" applyProtection="0"/>
    <xf numFmtId="0" fontId="95" fillId="48" borderId="0" applyNumberFormat="0" applyBorder="0" applyAlignment="0" applyProtection="0"/>
    <xf numFmtId="190" fontId="19" fillId="12" borderId="0" applyNumberFormat="0" applyBorder="0" applyAlignment="0" applyProtection="0"/>
    <xf numFmtId="190" fontId="19" fillId="12" borderId="0" applyNumberFormat="0" applyBorder="0" applyAlignment="0" applyProtection="0"/>
    <xf numFmtId="190" fontId="19" fillId="12" borderId="0" applyNumberFormat="0" applyBorder="0" applyAlignment="0" applyProtection="0"/>
    <xf numFmtId="190" fontId="19" fillId="12" borderId="0" applyNumberFormat="0" applyBorder="0" applyAlignment="0" applyProtection="0"/>
    <xf numFmtId="190" fontId="19" fillId="12" borderId="0" applyNumberFormat="0" applyBorder="0" applyAlignment="0" applyProtection="0"/>
    <xf numFmtId="19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88" fontId="94" fillId="49" borderId="0" applyNumberFormat="0" applyBorder="0" applyAlignment="0" applyProtection="0"/>
    <xf numFmtId="188" fontId="94" fillId="49" borderId="0" applyNumberFormat="0" applyBorder="0" applyAlignment="0" applyProtection="0"/>
    <xf numFmtId="0" fontId="19" fillId="7" borderId="0" applyNumberFormat="0" applyBorder="0" applyAlignment="0" applyProtection="0"/>
    <xf numFmtId="0" fontId="95" fillId="49" borderId="0" applyNumberFormat="0" applyBorder="0" applyAlignment="0" applyProtection="0"/>
    <xf numFmtId="190" fontId="19" fillId="9" borderId="0" applyNumberFormat="0" applyBorder="0" applyAlignment="0" applyProtection="0"/>
    <xf numFmtId="190" fontId="19" fillId="9" borderId="0" applyNumberFormat="0" applyBorder="0" applyAlignment="0" applyProtection="0"/>
    <xf numFmtId="190" fontId="19" fillId="9" borderId="0" applyNumberFormat="0" applyBorder="0" applyAlignment="0" applyProtection="0"/>
    <xf numFmtId="190" fontId="19" fillId="9" borderId="0" applyNumberFormat="0" applyBorder="0" applyAlignment="0" applyProtection="0"/>
    <xf numFmtId="190" fontId="19" fillId="9" borderId="0" applyNumberFormat="0" applyBorder="0" applyAlignment="0" applyProtection="0"/>
    <xf numFmtId="19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88" fontId="94" fillId="50" borderId="0" applyNumberFormat="0" applyBorder="0" applyAlignment="0" applyProtection="0"/>
    <xf numFmtId="188" fontId="94" fillId="50" borderId="0" applyNumberFormat="0" applyBorder="0" applyAlignment="0" applyProtection="0"/>
    <xf numFmtId="0" fontId="19" fillId="12" borderId="0" applyNumberFormat="0" applyBorder="0" applyAlignment="0" applyProtection="0"/>
    <xf numFmtId="0" fontId="95" fillId="50" borderId="0" applyNumberFormat="0" applyBorder="0" applyAlignment="0" applyProtection="0"/>
    <xf numFmtId="190" fontId="19" fillId="3" borderId="0" applyNumberFormat="0" applyBorder="0" applyAlignment="0" applyProtection="0"/>
    <xf numFmtId="190" fontId="19" fillId="3" borderId="0" applyNumberFormat="0" applyBorder="0" applyAlignment="0" applyProtection="0"/>
    <xf numFmtId="190" fontId="19" fillId="3" borderId="0" applyNumberFormat="0" applyBorder="0" applyAlignment="0" applyProtection="0"/>
    <xf numFmtId="190" fontId="19" fillId="3" borderId="0" applyNumberFormat="0" applyBorder="0" applyAlignment="0" applyProtection="0"/>
    <xf numFmtId="190" fontId="19" fillId="3" borderId="0" applyNumberFormat="0" applyBorder="0" applyAlignment="0" applyProtection="0"/>
    <xf numFmtId="19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88" fontId="94" fillId="51" borderId="0" applyNumberFormat="0" applyBorder="0" applyAlignment="0" applyProtection="0"/>
    <xf numFmtId="188" fontId="94" fillId="51" borderId="0" applyNumberFormat="0" applyBorder="0" applyAlignment="0" applyProtection="0"/>
    <xf numFmtId="0" fontId="19" fillId="5" borderId="0" applyNumberFormat="0" applyBorder="0" applyAlignment="0" applyProtection="0"/>
    <xf numFmtId="0" fontId="95" fillId="51" borderId="0" applyNumberFormat="0" applyBorder="0" applyAlignment="0" applyProtection="0"/>
    <xf numFmtId="190" fontId="19" fillId="5" borderId="0" applyNumberFormat="0" applyBorder="0" applyAlignment="0" applyProtection="0"/>
    <xf numFmtId="190" fontId="19" fillId="5" borderId="0" applyNumberFormat="0" applyBorder="0" applyAlignment="0" applyProtection="0"/>
    <xf numFmtId="190" fontId="19" fillId="5" borderId="0" applyNumberFormat="0" applyBorder="0" applyAlignment="0" applyProtection="0"/>
    <xf numFmtId="190" fontId="19" fillId="5" borderId="0" applyNumberFormat="0" applyBorder="0" applyAlignment="0" applyProtection="0"/>
    <xf numFmtId="190" fontId="19" fillId="5" borderId="0" applyNumberFormat="0" applyBorder="0" applyAlignment="0" applyProtection="0"/>
    <xf numFmtId="19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88" fontId="94" fillId="52" borderId="0" applyNumberFormat="0" applyBorder="0" applyAlignment="0" applyProtection="0"/>
    <xf numFmtId="188" fontId="94" fillId="52" borderId="0" applyNumberFormat="0" applyBorder="0" applyAlignment="0" applyProtection="0"/>
    <xf numFmtId="0" fontId="19" fillId="13" borderId="0" applyNumberFormat="0" applyBorder="0" applyAlignment="0" applyProtection="0"/>
    <xf numFmtId="0" fontId="95" fillId="52" borderId="0" applyNumberFormat="0" applyBorder="0" applyAlignment="0" applyProtection="0"/>
    <xf numFmtId="190" fontId="19" fillId="14" borderId="0" applyNumberFormat="0" applyBorder="0" applyAlignment="0" applyProtection="0"/>
    <xf numFmtId="190" fontId="19" fillId="14" borderId="0" applyNumberFormat="0" applyBorder="0" applyAlignment="0" applyProtection="0"/>
    <xf numFmtId="190" fontId="19" fillId="14" borderId="0" applyNumberFormat="0" applyBorder="0" applyAlignment="0" applyProtection="0"/>
    <xf numFmtId="190" fontId="19" fillId="14" borderId="0" applyNumberFormat="0" applyBorder="0" applyAlignment="0" applyProtection="0"/>
    <xf numFmtId="190" fontId="19" fillId="14" borderId="0" applyNumberFormat="0" applyBorder="0" applyAlignment="0" applyProtection="0"/>
    <xf numFmtId="19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88" fontId="94" fillId="53" borderId="0" applyNumberFormat="0" applyBorder="0" applyAlignment="0" applyProtection="0"/>
    <xf numFmtId="188" fontId="94" fillId="53" borderId="0" applyNumberFormat="0" applyBorder="0" applyAlignment="0" applyProtection="0"/>
    <xf numFmtId="0" fontId="19" fillId="6" borderId="0" applyNumberFormat="0" applyBorder="0" applyAlignment="0" applyProtection="0"/>
    <xf numFmtId="0" fontId="95" fillId="53" borderId="0" applyNumberFormat="0" applyBorder="0" applyAlignment="0" applyProtection="0"/>
    <xf numFmtId="190" fontId="19" fillId="10" borderId="0" applyNumberFormat="0" applyBorder="0" applyAlignment="0" applyProtection="0"/>
    <xf numFmtId="190" fontId="19" fillId="10" borderId="0" applyNumberFormat="0" applyBorder="0" applyAlignment="0" applyProtection="0"/>
    <xf numFmtId="190" fontId="19" fillId="10" borderId="0" applyNumberFormat="0" applyBorder="0" applyAlignment="0" applyProtection="0"/>
    <xf numFmtId="190" fontId="19" fillId="10" borderId="0" applyNumberFormat="0" applyBorder="0" applyAlignment="0" applyProtection="0"/>
    <xf numFmtId="190" fontId="19" fillId="10" borderId="0" applyNumberFormat="0" applyBorder="0" applyAlignment="0" applyProtection="0"/>
    <xf numFmtId="19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88" fontId="94" fillId="54" borderId="0" applyNumberFormat="0" applyBorder="0" applyAlignment="0" applyProtection="0"/>
    <xf numFmtId="188" fontId="94" fillId="54" borderId="0" applyNumberFormat="0" applyBorder="0" applyAlignment="0" applyProtection="0"/>
    <xf numFmtId="0" fontId="19" fillId="12" borderId="0" applyNumberFormat="0" applyBorder="0" applyAlignment="0" applyProtection="0"/>
    <xf numFmtId="0" fontId="95" fillId="54" borderId="0" applyNumberFormat="0" applyBorder="0" applyAlignment="0" applyProtection="0"/>
    <xf numFmtId="190" fontId="19" fillId="3" borderId="0" applyNumberFormat="0" applyBorder="0" applyAlignment="0" applyProtection="0"/>
    <xf numFmtId="190" fontId="19" fillId="3" borderId="0" applyNumberFormat="0" applyBorder="0" applyAlignment="0" applyProtection="0"/>
    <xf numFmtId="190" fontId="19" fillId="3" borderId="0" applyNumberFormat="0" applyBorder="0" applyAlignment="0" applyProtection="0"/>
    <xf numFmtId="190" fontId="19" fillId="3" borderId="0" applyNumberFormat="0" applyBorder="0" applyAlignment="0" applyProtection="0"/>
    <xf numFmtId="190" fontId="19" fillId="3" borderId="0" applyNumberFormat="0" applyBorder="0" applyAlignment="0" applyProtection="0"/>
    <xf numFmtId="19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88" fontId="94" fillId="55" borderId="0" applyNumberFormat="0" applyBorder="0" applyAlignment="0" applyProtection="0"/>
    <xf numFmtId="188" fontId="94" fillId="55" borderId="0" applyNumberFormat="0" applyBorder="0" applyAlignment="0" applyProtection="0"/>
    <xf numFmtId="0" fontId="19" fillId="7" borderId="0" applyNumberFormat="0" applyBorder="0" applyAlignment="0" applyProtection="0"/>
    <xf numFmtId="0" fontId="95" fillId="55" borderId="0" applyNumberFormat="0" applyBorder="0" applyAlignment="0" applyProtection="0"/>
    <xf numFmtId="190" fontId="19" fillId="15" borderId="0" applyNumberFormat="0" applyBorder="0" applyAlignment="0" applyProtection="0"/>
    <xf numFmtId="190" fontId="19" fillId="15" borderId="0" applyNumberFormat="0" applyBorder="0" applyAlignment="0" applyProtection="0"/>
    <xf numFmtId="190" fontId="19" fillId="15" borderId="0" applyNumberFormat="0" applyBorder="0" applyAlignment="0" applyProtection="0"/>
    <xf numFmtId="190" fontId="19" fillId="15" borderId="0" applyNumberFormat="0" applyBorder="0" applyAlignment="0" applyProtection="0"/>
    <xf numFmtId="190" fontId="19" fillId="15" borderId="0" applyNumberFormat="0" applyBorder="0" applyAlignment="0" applyProtection="0"/>
    <xf numFmtId="19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88" fontId="96" fillId="56" borderId="0" applyNumberFormat="0" applyBorder="0" applyAlignment="0" applyProtection="0"/>
    <xf numFmtId="188" fontId="96" fillId="56" borderId="0" applyNumberFormat="0" applyBorder="0" applyAlignment="0" applyProtection="0"/>
    <xf numFmtId="0" fontId="20" fillId="12" borderId="0" applyNumberFormat="0" applyBorder="0" applyAlignment="0" applyProtection="0"/>
    <xf numFmtId="0" fontId="97" fillId="56" borderId="0" applyNumberFormat="0" applyBorder="0" applyAlignment="0" applyProtection="0"/>
    <xf numFmtId="190" fontId="20" fillId="16" borderId="0" applyNumberFormat="0" applyBorder="0" applyAlignment="0" applyProtection="0"/>
    <xf numFmtId="190" fontId="20" fillId="16" borderId="0" applyNumberFormat="0" applyBorder="0" applyAlignment="0" applyProtection="0"/>
    <xf numFmtId="190" fontId="20" fillId="16" borderId="0" applyNumberFormat="0" applyBorder="0" applyAlignment="0" applyProtection="0"/>
    <xf numFmtId="190" fontId="20" fillId="16" borderId="0" applyNumberFormat="0" applyBorder="0" applyAlignment="0" applyProtection="0"/>
    <xf numFmtId="190" fontId="20" fillId="16" borderId="0" applyNumberFormat="0" applyBorder="0" applyAlignment="0" applyProtection="0"/>
    <xf numFmtId="19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88" fontId="96" fillId="57" borderId="0" applyNumberFormat="0" applyBorder="0" applyAlignment="0" applyProtection="0"/>
    <xf numFmtId="188" fontId="96" fillId="57" borderId="0" applyNumberFormat="0" applyBorder="0" applyAlignment="0" applyProtection="0"/>
    <xf numFmtId="0" fontId="20" fillId="17" borderId="0" applyNumberFormat="0" applyBorder="0" applyAlignment="0" applyProtection="0"/>
    <xf numFmtId="0" fontId="97" fillId="57" borderId="0" applyNumberFormat="0" applyBorder="0" applyAlignment="0" applyProtection="0"/>
    <xf numFmtId="190" fontId="20" fillId="5" borderId="0" applyNumberFormat="0" applyBorder="0" applyAlignment="0" applyProtection="0"/>
    <xf numFmtId="190" fontId="20" fillId="5" borderId="0" applyNumberFormat="0" applyBorder="0" applyAlignment="0" applyProtection="0"/>
    <xf numFmtId="190" fontId="20" fillId="5" borderId="0" applyNumberFormat="0" applyBorder="0" applyAlignment="0" applyProtection="0"/>
    <xf numFmtId="190" fontId="20" fillId="5" borderId="0" applyNumberFormat="0" applyBorder="0" applyAlignment="0" applyProtection="0"/>
    <xf numFmtId="190" fontId="20" fillId="5" borderId="0" applyNumberFormat="0" applyBorder="0" applyAlignment="0" applyProtection="0"/>
    <xf numFmtId="19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88" fontId="96" fillId="58" borderId="0" applyNumberFormat="0" applyBorder="0" applyAlignment="0" applyProtection="0"/>
    <xf numFmtId="188" fontId="96" fillId="58" borderId="0" applyNumberFormat="0" applyBorder="0" applyAlignment="0" applyProtection="0"/>
    <xf numFmtId="0" fontId="20" fillId="15" borderId="0" applyNumberFormat="0" applyBorder="0" applyAlignment="0" applyProtection="0"/>
    <xf numFmtId="0" fontId="97" fillId="58" borderId="0" applyNumberFormat="0" applyBorder="0" applyAlignment="0" applyProtection="0"/>
    <xf numFmtId="190" fontId="20" fillId="14" borderId="0" applyNumberFormat="0" applyBorder="0" applyAlignment="0" applyProtection="0"/>
    <xf numFmtId="190" fontId="20" fillId="14" borderId="0" applyNumberFormat="0" applyBorder="0" applyAlignment="0" applyProtection="0"/>
    <xf numFmtId="190" fontId="20" fillId="14" borderId="0" applyNumberFormat="0" applyBorder="0" applyAlignment="0" applyProtection="0"/>
    <xf numFmtId="190" fontId="20" fillId="14" borderId="0" applyNumberFormat="0" applyBorder="0" applyAlignment="0" applyProtection="0"/>
    <xf numFmtId="190" fontId="20" fillId="14" borderId="0" applyNumberFormat="0" applyBorder="0" applyAlignment="0" applyProtection="0"/>
    <xf numFmtId="19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88" fontId="96" fillId="59" borderId="0" applyNumberFormat="0" applyBorder="0" applyAlignment="0" applyProtection="0"/>
    <xf numFmtId="188" fontId="96" fillId="59" borderId="0" applyNumberFormat="0" applyBorder="0" applyAlignment="0" applyProtection="0"/>
    <xf numFmtId="0" fontId="20" fillId="6" borderId="0" applyNumberFormat="0" applyBorder="0" applyAlignment="0" applyProtection="0"/>
    <xf numFmtId="0" fontId="97" fillId="59" borderId="0" applyNumberFormat="0" applyBorder="0" applyAlignment="0" applyProtection="0"/>
    <xf numFmtId="190" fontId="20" fillId="18" borderId="0" applyNumberFormat="0" applyBorder="0" applyAlignment="0" applyProtection="0"/>
    <xf numFmtId="190" fontId="20" fillId="18" borderId="0" applyNumberFormat="0" applyBorder="0" applyAlignment="0" applyProtection="0"/>
    <xf numFmtId="190" fontId="20" fillId="18" borderId="0" applyNumberFormat="0" applyBorder="0" applyAlignment="0" applyProtection="0"/>
    <xf numFmtId="190" fontId="20" fillId="18" borderId="0" applyNumberFormat="0" applyBorder="0" applyAlignment="0" applyProtection="0"/>
    <xf numFmtId="190" fontId="20" fillId="18" borderId="0" applyNumberFormat="0" applyBorder="0" applyAlignment="0" applyProtection="0"/>
    <xf numFmtId="19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188" fontId="96" fillId="60" borderId="0" applyNumberFormat="0" applyBorder="0" applyAlignment="0" applyProtection="0"/>
    <xf numFmtId="188" fontId="96" fillId="60" borderId="0" applyNumberFormat="0" applyBorder="0" applyAlignment="0" applyProtection="0"/>
    <xf numFmtId="0" fontId="20" fillId="12" borderId="0" applyNumberFormat="0" applyBorder="0" applyAlignment="0" applyProtection="0"/>
    <xf numFmtId="0" fontId="97" fillId="60" borderId="0" applyNumberFormat="0" applyBorder="0" applyAlignment="0" applyProtection="0"/>
    <xf numFmtId="190" fontId="20" fillId="19" borderId="0" applyNumberFormat="0" applyBorder="0" applyAlignment="0" applyProtection="0"/>
    <xf numFmtId="190" fontId="20" fillId="19" borderId="0" applyNumberFormat="0" applyBorder="0" applyAlignment="0" applyProtection="0"/>
    <xf numFmtId="190" fontId="20" fillId="19" borderId="0" applyNumberFormat="0" applyBorder="0" applyAlignment="0" applyProtection="0"/>
    <xf numFmtId="190" fontId="20" fillId="19" borderId="0" applyNumberFormat="0" applyBorder="0" applyAlignment="0" applyProtection="0"/>
    <xf numFmtId="190" fontId="20" fillId="19" borderId="0" applyNumberFormat="0" applyBorder="0" applyAlignment="0" applyProtection="0"/>
    <xf numFmtId="19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88" fontId="96" fillId="61" borderId="0" applyNumberFormat="0" applyBorder="0" applyAlignment="0" applyProtection="0"/>
    <xf numFmtId="188" fontId="96" fillId="61" borderId="0" applyNumberFormat="0" applyBorder="0" applyAlignment="0" applyProtection="0"/>
    <xf numFmtId="0" fontId="20" fillId="5" borderId="0" applyNumberFormat="0" applyBorder="0" applyAlignment="0" applyProtection="0"/>
    <xf numFmtId="0" fontId="97" fillId="61" borderId="0" applyNumberFormat="0" applyBorder="0" applyAlignment="0" applyProtection="0"/>
    <xf numFmtId="190" fontId="20" fillId="20" borderId="0" applyNumberFormat="0" applyBorder="0" applyAlignment="0" applyProtection="0"/>
    <xf numFmtId="190" fontId="20" fillId="20" borderId="0" applyNumberFormat="0" applyBorder="0" applyAlignment="0" applyProtection="0"/>
    <xf numFmtId="190" fontId="20" fillId="20" borderId="0" applyNumberFormat="0" applyBorder="0" applyAlignment="0" applyProtection="0"/>
    <xf numFmtId="190" fontId="20" fillId="20" borderId="0" applyNumberFormat="0" applyBorder="0" applyAlignment="0" applyProtection="0"/>
    <xf numFmtId="190" fontId="20" fillId="20" borderId="0" applyNumberFormat="0" applyBorder="0" applyAlignment="0" applyProtection="0"/>
    <xf numFmtId="19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88" fontId="96" fillId="62" borderId="0" applyNumberFormat="0" applyBorder="0" applyAlignment="0" applyProtection="0"/>
    <xf numFmtId="188" fontId="96" fillId="62" borderId="0" applyNumberFormat="0" applyBorder="0" applyAlignment="0" applyProtection="0"/>
    <xf numFmtId="0" fontId="20" fillId="21" borderId="0" applyNumberFormat="0" applyBorder="0" applyAlignment="0" applyProtection="0"/>
    <xf numFmtId="0" fontId="97" fillId="62" borderId="0" applyNumberFormat="0" applyBorder="0" applyAlignment="0" applyProtection="0"/>
    <xf numFmtId="190" fontId="20" fillId="22" borderId="0" applyNumberFormat="0" applyBorder="0" applyAlignment="0" applyProtection="0"/>
    <xf numFmtId="190" fontId="20" fillId="22" borderId="0" applyNumberFormat="0" applyBorder="0" applyAlignment="0" applyProtection="0"/>
    <xf numFmtId="190" fontId="20" fillId="22" borderId="0" applyNumberFormat="0" applyBorder="0" applyAlignment="0" applyProtection="0"/>
    <xf numFmtId="190" fontId="20" fillId="22" borderId="0" applyNumberFormat="0" applyBorder="0" applyAlignment="0" applyProtection="0"/>
    <xf numFmtId="190" fontId="20" fillId="22" borderId="0" applyNumberFormat="0" applyBorder="0" applyAlignment="0" applyProtection="0"/>
    <xf numFmtId="19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88" fontId="96" fillId="63" borderId="0" applyNumberFormat="0" applyBorder="0" applyAlignment="0" applyProtection="0"/>
    <xf numFmtId="188" fontId="96" fillId="63" borderId="0" applyNumberFormat="0" applyBorder="0" applyAlignment="0" applyProtection="0"/>
    <xf numFmtId="0" fontId="20" fillId="17" borderId="0" applyNumberFormat="0" applyBorder="0" applyAlignment="0" applyProtection="0"/>
    <xf numFmtId="0" fontId="97" fillId="63" borderId="0" applyNumberFormat="0" applyBorder="0" applyAlignment="0" applyProtection="0"/>
    <xf numFmtId="190" fontId="20" fillId="23" borderId="0" applyNumberFormat="0" applyBorder="0" applyAlignment="0" applyProtection="0"/>
    <xf numFmtId="190" fontId="20" fillId="23" borderId="0" applyNumberFormat="0" applyBorder="0" applyAlignment="0" applyProtection="0"/>
    <xf numFmtId="190" fontId="20" fillId="23" borderId="0" applyNumberFormat="0" applyBorder="0" applyAlignment="0" applyProtection="0"/>
    <xf numFmtId="190" fontId="20" fillId="23" borderId="0" applyNumberFormat="0" applyBorder="0" applyAlignment="0" applyProtection="0"/>
    <xf numFmtId="190" fontId="20" fillId="23" borderId="0" applyNumberFormat="0" applyBorder="0" applyAlignment="0" applyProtection="0"/>
    <xf numFmtId="19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188" fontId="96" fillId="64" borderId="0" applyNumberFormat="0" applyBorder="0" applyAlignment="0" applyProtection="0"/>
    <xf numFmtId="188" fontId="96" fillId="64" borderId="0" applyNumberFormat="0" applyBorder="0" applyAlignment="0" applyProtection="0"/>
    <xf numFmtId="0" fontId="20" fillId="15" borderId="0" applyNumberFormat="0" applyBorder="0" applyAlignment="0" applyProtection="0"/>
    <xf numFmtId="0" fontId="97" fillId="64" borderId="0" applyNumberFormat="0" applyBorder="0" applyAlignment="0" applyProtection="0"/>
    <xf numFmtId="190" fontId="20" fillId="24" borderId="0" applyNumberFormat="0" applyBorder="0" applyAlignment="0" applyProtection="0"/>
    <xf numFmtId="190" fontId="20" fillId="24" borderId="0" applyNumberFormat="0" applyBorder="0" applyAlignment="0" applyProtection="0"/>
    <xf numFmtId="190" fontId="20" fillId="24" borderId="0" applyNumberFormat="0" applyBorder="0" applyAlignment="0" applyProtection="0"/>
    <xf numFmtId="190" fontId="20" fillId="24" borderId="0" applyNumberFormat="0" applyBorder="0" applyAlignment="0" applyProtection="0"/>
    <xf numFmtId="190" fontId="20" fillId="24" borderId="0" applyNumberFormat="0" applyBorder="0" applyAlignment="0" applyProtection="0"/>
    <xf numFmtId="19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88" fontId="96" fillId="65" borderId="0" applyNumberFormat="0" applyBorder="0" applyAlignment="0" applyProtection="0"/>
    <xf numFmtId="188" fontId="96" fillId="65" borderId="0" applyNumberFormat="0" applyBorder="0" applyAlignment="0" applyProtection="0"/>
    <xf numFmtId="0" fontId="20" fillId="25" borderId="0" applyNumberFormat="0" applyBorder="0" applyAlignment="0" applyProtection="0"/>
    <xf numFmtId="0" fontId="97" fillId="65" borderId="0" applyNumberFormat="0" applyBorder="0" applyAlignment="0" applyProtection="0"/>
    <xf numFmtId="190" fontId="20" fillId="18" borderId="0" applyNumberFormat="0" applyBorder="0" applyAlignment="0" applyProtection="0"/>
    <xf numFmtId="190" fontId="20" fillId="18" borderId="0" applyNumberFormat="0" applyBorder="0" applyAlignment="0" applyProtection="0"/>
    <xf numFmtId="190" fontId="20" fillId="18" borderId="0" applyNumberFormat="0" applyBorder="0" applyAlignment="0" applyProtection="0"/>
    <xf numFmtId="190" fontId="20" fillId="18" borderId="0" applyNumberFormat="0" applyBorder="0" applyAlignment="0" applyProtection="0"/>
    <xf numFmtId="190" fontId="20" fillId="18" borderId="0" applyNumberFormat="0" applyBorder="0" applyAlignment="0" applyProtection="0"/>
    <xf numFmtId="19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188" fontId="96" fillId="66" borderId="0" applyNumberFormat="0" applyBorder="0" applyAlignment="0" applyProtection="0"/>
    <xf numFmtId="188" fontId="96" fillId="66" borderId="0" applyNumberFormat="0" applyBorder="0" applyAlignment="0" applyProtection="0"/>
    <xf numFmtId="0" fontId="20" fillId="19" borderId="0" applyNumberFormat="0" applyBorder="0" applyAlignment="0" applyProtection="0"/>
    <xf numFmtId="0" fontId="97" fillId="66" borderId="0" applyNumberFormat="0" applyBorder="0" applyAlignment="0" applyProtection="0"/>
    <xf numFmtId="190" fontId="20" fillId="19" borderId="0" applyNumberFormat="0" applyBorder="0" applyAlignment="0" applyProtection="0"/>
    <xf numFmtId="190" fontId="20" fillId="19" borderId="0" applyNumberFormat="0" applyBorder="0" applyAlignment="0" applyProtection="0"/>
    <xf numFmtId="190" fontId="20" fillId="19" borderId="0" applyNumberFormat="0" applyBorder="0" applyAlignment="0" applyProtection="0"/>
    <xf numFmtId="190" fontId="20" fillId="19" borderId="0" applyNumberFormat="0" applyBorder="0" applyAlignment="0" applyProtection="0"/>
    <xf numFmtId="190" fontId="20" fillId="19" borderId="0" applyNumberFormat="0" applyBorder="0" applyAlignment="0" applyProtection="0"/>
    <xf numFmtId="19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188" fontId="96" fillId="67" borderId="0" applyNumberFormat="0" applyBorder="0" applyAlignment="0" applyProtection="0"/>
    <xf numFmtId="188" fontId="96" fillId="67" borderId="0" applyNumberFormat="0" applyBorder="0" applyAlignment="0" applyProtection="0"/>
    <xf numFmtId="0" fontId="20" fillId="23" borderId="0" applyNumberFormat="0" applyBorder="0" applyAlignment="0" applyProtection="0"/>
    <xf numFmtId="0" fontId="97" fillId="67" borderId="0" applyNumberFormat="0" applyBorder="0" applyAlignment="0" applyProtection="0"/>
    <xf numFmtId="190" fontId="20" fillId="17" borderId="0" applyNumberFormat="0" applyBorder="0" applyAlignment="0" applyProtection="0"/>
    <xf numFmtId="190" fontId="20" fillId="17" borderId="0" applyNumberFormat="0" applyBorder="0" applyAlignment="0" applyProtection="0"/>
    <xf numFmtId="190" fontId="20" fillId="17" borderId="0" applyNumberFormat="0" applyBorder="0" applyAlignment="0" applyProtection="0"/>
    <xf numFmtId="190" fontId="20" fillId="17" borderId="0" applyNumberFormat="0" applyBorder="0" applyAlignment="0" applyProtection="0"/>
    <xf numFmtId="190" fontId="20" fillId="17" borderId="0" applyNumberFormat="0" applyBorder="0" applyAlignment="0" applyProtection="0"/>
    <xf numFmtId="19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188" fontId="98" fillId="68" borderId="0" applyNumberFormat="0" applyBorder="0" applyAlignment="0" applyProtection="0"/>
    <xf numFmtId="188" fontId="98" fillId="68" borderId="0" applyNumberFormat="0" applyBorder="0" applyAlignment="0" applyProtection="0"/>
    <xf numFmtId="0" fontId="21" fillId="10" borderId="0" applyNumberFormat="0" applyBorder="0" applyAlignment="0" applyProtection="0"/>
    <xf numFmtId="0" fontId="99" fillId="68" borderId="0" applyNumberFormat="0" applyBorder="0" applyAlignment="0" applyProtection="0"/>
    <xf numFmtId="190" fontId="21" fillId="6" borderId="0" applyNumberFormat="0" applyBorder="0" applyAlignment="0" applyProtection="0"/>
    <xf numFmtId="190" fontId="21" fillId="6" borderId="0" applyNumberFormat="0" applyBorder="0" applyAlignment="0" applyProtection="0"/>
    <xf numFmtId="190" fontId="21" fillId="6" borderId="0" applyNumberFormat="0" applyBorder="0" applyAlignment="0" applyProtection="0"/>
    <xf numFmtId="190" fontId="21" fillId="6" borderId="0" applyNumberFormat="0" applyBorder="0" applyAlignment="0" applyProtection="0"/>
    <xf numFmtId="190" fontId="21" fillId="6" borderId="0" applyNumberFormat="0" applyBorder="0" applyAlignment="0" applyProtection="0"/>
    <xf numFmtId="190" fontId="21" fillId="6" borderId="0" applyNumberFormat="0" applyBorder="0" applyAlignment="0" applyProtection="0"/>
    <xf numFmtId="0" fontId="21" fillId="6" borderId="0" applyNumberFormat="0" applyBorder="0" applyAlignment="0" applyProtection="0"/>
    <xf numFmtId="166" fontId="54" fillId="0" borderId="1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84" fillId="11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84" fillId="11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84" fillId="11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84" fillId="11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84" fillId="11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188" fontId="100" fillId="69" borderId="41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188" fontId="100" fillId="69" borderId="41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101" fillId="69" borderId="41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190" fontId="84" fillId="11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190" fontId="84" fillId="11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190" fontId="84" fillId="11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190" fontId="84" fillId="11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190" fontId="84" fillId="11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190" fontId="84" fillId="11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22" fillId="26" borderId="2" applyNumberFormat="0" applyAlignment="0" applyProtection="0"/>
    <xf numFmtId="0" fontId="84" fillId="11" borderId="2" applyNumberFormat="0" applyAlignment="0" applyProtection="0"/>
    <xf numFmtId="0" fontId="23" fillId="27" borderId="3" applyNumberFormat="0" applyAlignment="0" applyProtection="0"/>
    <xf numFmtId="0" fontId="23" fillId="27" borderId="3" applyNumberFormat="0" applyAlignment="0" applyProtection="0"/>
    <xf numFmtId="0" fontId="23" fillId="27" borderId="3" applyNumberFormat="0" applyAlignment="0" applyProtection="0"/>
    <xf numFmtId="0" fontId="23" fillId="27" borderId="3" applyNumberFormat="0" applyAlignment="0" applyProtection="0"/>
    <xf numFmtId="0" fontId="23" fillId="27" borderId="3" applyNumberFormat="0" applyAlignment="0" applyProtection="0"/>
    <xf numFmtId="0" fontId="23" fillId="27" borderId="3" applyNumberFormat="0" applyAlignment="0" applyProtection="0"/>
    <xf numFmtId="188" fontId="102" fillId="70" borderId="42" applyNumberFormat="0" applyAlignment="0" applyProtection="0"/>
    <xf numFmtId="188" fontId="102" fillId="70" borderId="42" applyNumberFormat="0" applyAlignment="0" applyProtection="0"/>
    <xf numFmtId="0" fontId="23" fillId="27" borderId="3" applyNumberFormat="0" applyAlignment="0" applyProtection="0"/>
    <xf numFmtId="0" fontId="103" fillId="70" borderId="42" applyNumberFormat="0" applyAlignment="0" applyProtection="0"/>
    <xf numFmtId="190" fontId="23" fillId="27" borderId="3" applyNumberFormat="0" applyAlignment="0" applyProtection="0"/>
    <xf numFmtId="190" fontId="23" fillId="27" borderId="3" applyNumberFormat="0" applyAlignment="0" applyProtection="0"/>
    <xf numFmtId="190" fontId="23" fillId="27" borderId="3" applyNumberFormat="0" applyAlignment="0" applyProtection="0"/>
    <xf numFmtId="190" fontId="23" fillId="27" borderId="3" applyNumberFormat="0" applyAlignment="0" applyProtection="0"/>
    <xf numFmtId="190" fontId="23" fillId="27" borderId="3" applyNumberFormat="0" applyAlignment="0" applyProtection="0"/>
    <xf numFmtId="190" fontId="23" fillId="27" borderId="3" applyNumberFormat="0" applyAlignment="0" applyProtection="0"/>
    <xf numFmtId="0" fontId="23" fillId="27" borderId="3" applyNumberFormat="0" applyAlignment="0" applyProtection="0"/>
    <xf numFmtId="180" fontId="35" fillId="0" borderId="4" applyBorder="0">
      <alignment horizontal="center" vertical="center"/>
    </xf>
    <xf numFmtId="0" fontId="36" fillId="28" borderId="0">
      <alignment horizontal="left"/>
    </xf>
    <xf numFmtId="0" fontId="37" fillId="28" borderId="0">
      <alignment horizontal="right"/>
    </xf>
    <xf numFmtId="0" fontId="38" fillId="26" borderId="0">
      <alignment horizontal="center"/>
    </xf>
    <xf numFmtId="0" fontId="37" fillId="28" borderId="0">
      <alignment horizontal="right"/>
    </xf>
    <xf numFmtId="0" fontId="39" fillId="26" borderId="0">
      <alignment horizontal="left"/>
    </xf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4" fillId="0" borderId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29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9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14" borderId="5" applyNumberFormat="0" applyFont="0" applyAlignment="0">
      <protection locked="0"/>
    </xf>
    <xf numFmtId="0" fontId="4" fillId="14" borderId="5" applyNumberFormat="0" applyFont="0" applyAlignment="0">
      <protection locked="0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8" fontId="104" fillId="0" borderId="0" applyNumberFormat="0" applyFill="0" applyBorder="0" applyAlignment="0" applyProtection="0"/>
    <xf numFmtId="188" fontId="10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90" fontId="24" fillId="0" borderId="0" applyNumberFormat="0" applyFill="0" applyBorder="0" applyAlignment="0" applyProtection="0"/>
    <xf numFmtId="190" fontId="24" fillId="0" borderId="0" applyNumberFormat="0" applyFill="0" applyBorder="0" applyAlignment="0" applyProtection="0"/>
    <xf numFmtId="190" fontId="24" fillId="0" borderId="0" applyNumberFormat="0" applyFill="0" applyBorder="0" applyAlignment="0" applyProtection="0"/>
    <xf numFmtId="190" fontId="24" fillId="0" borderId="0" applyNumberFormat="0" applyFill="0" applyBorder="0" applyAlignment="0" applyProtection="0"/>
    <xf numFmtId="190" fontId="24" fillId="0" borderId="0" applyNumberFormat="0" applyFill="0" applyBorder="0" applyAlignment="0" applyProtection="0"/>
    <xf numFmtId="19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88" fontId="7" fillId="0" borderId="0" applyProtection="0"/>
    <xf numFmtId="188" fontId="7" fillId="0" borderId="0" applyProtection="0"/>
    <xf numFmtId="0" fontId="7" fillId="0" borderId="0" applyProtection="0"/>
    <xf numFmtId="0" fontId="12" fillId="0" borderId="0" applyProtection="0"/>
    <xf numFmtId="0" fontId="7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188" fontId="12" fillId="0" borderId="0" applyProtection="0"/>
    <xf numFmtId="188" fontId="12" fillId="0" borderId="0" applyProtection="0"/>
    <xf numFmtId="0" fontId="12" fillId="0" borderId="0" applyProtection="0"/>
    <xf numFmtId="0" fontId="13" fillId="0" borderId="0" applyProtection="0"/>
    <xf numFmtId="0" fontId="61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188" fontId="13" fillId="0" borderId="0" applyProtection="0"/>
    <xf numFmtId="188" fontId="13" fillId="0" borderId="0" applyProtection="0"/>
    <xf numFmtId="0" fontId="13" fillId="0" borderId="0" applyProtection="0"/>
    <xf numFmtId="0" fontId="9" fillId="0" borderId="0" applyProtection="0"/>
    <xf numFmtId="0" fontId="64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88" fontId="9" fillId="0" borderId="0" applyProtection="0"/>
    <xf numFmtId="188" fontId="9" fillId="0" borderId="0" applyProtection="0"/>
    <xf numFmtId="0" fontId="9" fillId="0" borderId="0" applyProtection="0"/>
    <xf numFmtId="0" fontId="1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8" fontId="4" fillId="0" borderId="0" applyProtection="0"/>
    <xf numFmtId="188" fontId="4" fillId="0" borderId="0" applyProtection="0"/>
    <xf numFmtId="0" fontId="4" fillId="0" borderId="0" applyProtection="0"/>
    <xf numFmtId="0" fontId="11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88" fontId="7" fillId="0" borderId="0" applyProtection="0"/>
    <xf numFmtId="188" fontId="7" fillId="0" borderId="0" applyProtection="0"/>
    <xf numFmtId="0" fontId="7" fillId="0" borderId="0" applyProtection="0"/>
    <xf numFmtId="0" fontId="14" fillId="0" borderId="0" applyProtection="0"/>
    <xf numFmtId="0" fontId="73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188" fontId="14" fillId="0" borderId="0" applyProtection="0"/>
    <xf numFmtId="188" fontId="14" fillId="0" borderId="0" applyProtection="0"/>
    <xf numFmtId="0" fontId="14" fillId="0" borderId="0" applyProtection="0"/>
    <xf numFmtId="2" fontId="1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188" fontId="106" fillId="71" borderId="0" applyNumberFormat="0" applyBorder="0" applyAlignment="0" applyProtection="0"/>
    <xf numFmtId="188" fontId="106" fillId="71" borderId="0" applyNumberFormat="0" applyBorder="0" applyAlignment="0" applyProtection="0"/>
    <xf numFmtId="0" fontId="25" fillId="12" borderId="0" applyNumberFormat="0" applyBorder="0" applyAlignment="0" applyProtection="0"/>
    <xf numFmtId="0" fontId="107" fillId="71" borderId="0" applyNumberFormat="0" applyBorder="0" applyAlignment="0" applyProtection="0"/>
    <xf numFmtId="190" fontId="25" fillId="8" borderId="0" applyNumberFormat="0" applyBorder="0" applyAlignment="0" applyProtection="0"/>
    <xf numFmtId="190" fontId="25" fillId="8" borderId="0" applyNumberFormat="0" applyBorder="0" applyAlignment="0" applyProtection="0"/>
    <xf numFmtId="190" fontId="25" fillId="8" borderId="0" applyNumberFormat="0" applyBorder="0" applyAlignment="0" applyProtection="0"/>
    <xf numFmtId="190" fontId="25" fillId="8" borderId="0" applyNumberFormat="0" applyBorder="0" applyAlignment="0" applyProtection="0"/>
    <xf numFmtId="190" fontId="25" fillId="8" borderId="0" applyNumberFormat="0" applyBorder="0" applyAlignment="0" applyProtection="0"/>
    <xf numFmtId="19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188" fontId="108" fillId="0" borderId="43" applyNumberFormat="0" applyFill="0" applyAlignment="0" applyProtection="0"/>
    <xf numFmtId="188" fontId="108" fillId="0" borderId="43" applyNumberFormat="0" applyFill="0" applyAlignment="0" applyProtection="0"/>
    <xf numFmtId="0" fontId="8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0" fontId="85" fillId="0" borderId="7" applyNumberFormat="0" applyFill="0" applyAlignment="0" applyProtection="0"/>
    <xf numFmtId="190" fontId="85" fillId="0" borderId="7" applyNumberFormat="0" applyFill="0" applyAlignment="0" applyProtection="0"/>
    <xf numFmtId="190" fontId="85" fillId="0" borderId="7" applyNumberFormat="0" applyFill="0" applyAlignment="0" applyProtection="0"/>
    <xf numFmtId="190" fontId="85" fillId="0" borderId="7" applyNumberFormat="0" applyFill="0" applyAlignment="0" applyProtection="0"/>
    <xf numFmtId="190" fontId="85" fillId="0" borderId="7" applyNumberFormat="0" applyFill="0" applyAlignment="0" applyProtection="0"/>
    <xf numFmtId="0" fontId="85" fillId="0" borderId="7" applyNumberFormat="0" applyFill="0" applyAlignment="0" applyProtection="0"/>
    <xf numFmtId="0" fontId="27" fillId="0" borderId="8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188" fontId="109" fillId="0" borderId="44" applyNumberFormat="0" applyFill="0" applyAlignment="0" applyProtection="0"/>
    <xf numFmtId="188" fontId="109" fillId="0" borderId="44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86" fillId="0" borderId="9" applyNumberFormat="0" applyFill="0" applyAlignment="0" applyProtection="0"/>
    <xf numFmtId="190" fontId="86" fillId="0" borderId="9" applyNumberFormat="0" applyFill="0" applyAlignment="0" applyProtection="0"/>
    <xf numFmtId="190" fontId="86" fillId="0" borderId="9" applyNumberFormat="0" applyFill="0" applyAlignment="0" applyProtection="0"/>
    <xf numFmtId="190" fontId="86" fillId="0" borderId="9" applyNumberFormat="0" applyFill="0" applyAlignment="0" applyProtection="0"/>
    <xf numFmtId="190" fontId="86" fillId="0" borderId="9" applyNumberFormat="0" applyFill="0" applyAlignment="0" applyProtection="0"/>
    <xf numFmtId="0" fontId="86" fillId="0" borderId="9" applyNumberFormat="0" applyFill="0" applyAlignment="0" applyProtection="0"/>
    <xf numFmtId="0" fontId="28" fillId="0" borderId="10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188" fontId="110" fillId="0" borderId="45" applyNumberFormat="0" applyFill="0" applyAlignment="0" applyProtection="0"/>
    <xf numFmtId="188" fontId="110" fillId="0" borderId="45" applyNumberFormat="0" applyFill="0" applyAlignment="0" applyProtection="0"/>
    <xf numFmtId="0" fontId="28" fillId="0" borderId="10" applyNumberFormat="0" applyFill="0" applyAlignment="0" applyProtection="0"/>
    <xf numFmtId="0" fontId="111" fillId="0" borderId="45" applyNumberFormat="0" applyFill="0" applyAlignment="0" applyProtection="0"/>
    <xf numFmtId="190" fontId="87" fillId="0" borderId="11" applyNumberFormat="0" applyFill="0" applyAlignment="0" applyProtection="0"/>
    <xf numFmtId="190" fontId="87" fillId="0" borderId="11" applyNumberFormat="0" applyFill="0" applyAlignment="0" applyProtection="0"/>
    <xf numFmtId="190" fontId="87" fillId="0" borderId="11" applyNumberFormat="0" applyFill="0" applyAlignment="0" applyProtection="0"/>
    <xf numFmtId="190" fontId="87" fillId="0" borderId="11" applyNumberFormat="0" applyFill="0" applyAlignment="0" applyProtection="0"/>
    <xf numFmtId="190" fontId="87" fillId="0" borderId="11" applyNumberFormat="0" applyFill="0" applyAlignment="0" applyProtection="0"/>
    <xf numFmtId="19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8" fontId="110" fillId="0" borderId="0" applyNumberFormat="0" applyFill="0" applyBorder="0" applyAlignment="0" applyProtection="0"/>
    <xf numFmtId="188" fontId="1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90" fontId="87" fillId="0" borderId="0" applyNumberFormat="0" applyFill="0" applyBorder="0" applyAlignment="0" applyProtection="0"/>
    <xf numFmtId="190" fontId="87" fillId="0" borderId="0" applyNumberFormat="0" applyFill="0" applyBorder="0" applyAlignment="0" applyProtection="0"/>
    <xf numFmtId="190" fontId="87" fillId="0" borderId="0" applyNumberFormat="0" applyFill="0" applyBorder="0" applyAlignment="0" applyProtection="0"/>
    <xf numFmtId="190" fontId="87" fillId="0" borderId="0" applyNumberFormat="0" applyFill="0" applyBorder="0" applyAlignment="0" applyProtection="0"/>
    <xf numFmtId="190" fontId="87" fillId="0" borderId="0" applyNumberFormat="0" applyFill="0" applyBorder="0" applyAlignment="0" applyProtection="0"/>
    <xf numFmtId="19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9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9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9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9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9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188" fontId="112" fillId="72" borderId="41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188" fontId="112" fillId="72" borderId="41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113" fillId="72" borderId="41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190" fontId="29" fillId="9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190" fontId="29" fillId="9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190" fontId="29" fillId="9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190" fontId="29" fillId="9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190" fontId="29" fillId="9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190" fontId="29" fillId="9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9" borderId="2" applyNumberFormat="0" applyAlignment="0" applyProtection="0"/>
    <xf numFmtId="0" fontId="36" fillId="28" borderId="0">
      <alignment horizontal="left"/>
    </xf>
    <xf numFmtId="0" fontId="17" fillId="26" borderId="0">
      <alignment horizontal="left"/>
    </xf>
    <xf numFmtId="0" fontId="17" fillId="26" borderId="0">
      <alignment horizontal="left"/>
    </xf>
    <xf numFmtId="0" fontId="30" fillId="0" borderId="12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188" fontId="114" fillId="0" borderId="46" applyNumberFormat="0" applyFill="0" applyAlignment="0" applyProtection="0"/>
    <xf numFmtId="188" fontId="114" fillId="0" borderId="46" applyNumberFormat="0" applyFill="0" applyAlignment="0" applyProtection="0"/>
    <xf numFmtId="0" fontId="30" fillId="0" borderId="12" applyNumberFormat="0" applyFill="0" applyAlignment="0" applyProtection="0"/>
    <xf numFmtId="0" fontId="115" fillId="0" borderId="46" applyNumberFormat="0" applyFill="0" applyAlignment="0" applyProtection="0"/>
    <xf numFmtId="190" fontId="88" fillId="0" borderId="13" applyNumberFormat="0" applyFill="0" applyAlignment="0" applyProtection="0"/>
    <xf numFmtId="190" fontId="88" fillId="0" borderId="13" applyNumberFormat="0" applyFill="0" applyAlignment="0" applyProtection="0"/>
    <xf numFmtId="190" fontId="88" fillId="0" borderId="13" applyNumberFormat="0" applyFill="0" applyAlignment="0" applyProtection="0"/>
    <xf numFmtId="190" fontId="88" fillId="0" borderId="13" applyNumberFormat="0" applyFill="0" applyAlignment="0" applyProtection="0"/>
    <xf numFmtId="190" fontId="88" fillId="0" borderId="13" applyNumberFormat="0" applyFill="0" applyAlignment="0" applyProtection="0"/>
    <xf numFmtId="19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31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188" fontId="116" fillId="73" borderId="0" applyNumberFormat="0" applyBorder="0" applyAlignment="0" applyProtection="0"/>
    <xf numFmtId="188" fontId="116" fillId="73" borderId="0" applyNumberFormat="0" applyBorder="0" applyAlignment="0" applyProtection="0"/>
    <xf numFmtId="0" fontId="31" fillId="13" borderId="0" applyNumberFormat="0" applyBorder="0" applyAlignment="0" applyProtection="0"/>
    <xf numFmtId="0" fontId="117" fillId="73" borderId="0" applyNumberFormat="0" applyBorder="0" applyAlignment="0" applyProtection="0"/>
    <xf numFmtId="190" fontId="89" fillId="13" borderId="0" applyNumberFormat="0" applyBorder="0" applyAlignment="0" applyProtection="0"/>
    <xf numFmtId="190" fontId="89" fillId="13" borderId="0" applyNumberFormat="0" applyBorder="0" applyAlignment="0" applyProtection="0"/>
    <xf numFmtId="190" fontId="89" fillId="13" borderId="0" applyNumberFormat="0" applyBorder="0" applyAlignment="0" applyProtection="0"/>
    <xf numFmtId="190" fontId="89" fillId="13" borderId="0" applyNumberFormat="0" applyBorder="0" applyAlignment="0" applyProtection="0"/>
    <xf numFmtId="190" fontId="89" fillId="13" borderId="0" applyNumberFormat="0" applyBorder="0" applyAlignment="0" applyProtection="0"/>
    <xf numFmtId="19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1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88" fontId="4" fillId="0" borderId="0"/>
    <xf numFmtId="188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190" fontId="78" fillId="0" borderId="0"/>
    <xf numFmtId="190" fontId="78" fillId="0" borderId="0"/>
    <xf numFmtId="190" fontId="78" fillId="0" borderId="0"/>
    <xf numFmtId="190" fontId="78" fillId="0" borderId="0"/>
    <xf numFmtId="190" fontId="78" fillId="0" borderId="0"/>
    <xf numFmtId="188" fontId="94" fillId="0" borderId="0"/>
    <xf numFmtId="188" fontId="94" fillId="0" borderId="0"/>
    <xf numFmtId="0" fontId="2" fillId="0" borderId="0"/>
    <xf numFmtId="0" fontId="2" fillId="0" borderId="0"/>
    <xf numFmtId="0" fontId="4" fillId="0" borderId="0"/>
    <xf numFmtId="0" fontId="4" fillId="0" borderId="0"/>
    <xf numFmtId="190" fontId="78" fillId="0" borderId="0"/>
    <xf numFmtId="190" fontId="78" fillId="0" borderId="0"/>
    <xf numFmtId="190" fontId="78" fillId="0" borderId="0"/>
    <xf numFmtId="190" fontId="78" fillId="0" borderId="0"/>
    <xf numFmtId="190" fontId="78" fillId="0" borderId="0"/>
    <xf numFmtId="190" fontId="78" fillId="0" borderId="0"/>
    <xf numFmtId="190" fontId="78" fillId="0" borderId="0"/>
    <xf numFmtId="19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82" fillId="0" borderId="0"/>
    <xf numFmtId="0" fontId="4" fillId="0" borderId="0"/>
    <xf numFmtId="0" fontId="4" fillId="0" borderId="0"/>
    <xf numFmtId="188" fontId="94" fillId="0" borderId="0"/>
    <xf numFmtId="37" fontId="48" fillId="0" borderId="0"/>
    <xf numFmtId="0" fontId="4" fillId="0" borderId="0"/>
    <xf numFmtId="0" fontId="4" fillId="0" borderId="0"/>
    <xf numFmtId="0" fontId="4" fillId="0" borderId="0"/>
    <xf numFmtId="188" fontId="94" fillId="0" borderId="0"/>
    <xf numFmtId="0" fontId="4" fillId="0" borderId="0"/>
    <xf numFmtId="188" fontId="94" fillId="0" borderId="0"/>
    <xf numFmtId="0" fontId="4" fillId="0" borderId="0"/>
    <xf numFmtId="0" fontId="2" fillId="0" borderId="0"/>
    <xf numFmtId="0" fontId="4" fillId="0" borderId="0"/>
    <xf numFmtId="0" fontId="4" fillId="0" borderId="0"/>
    <xf numFmtId="188" fontId="94" fillId="0" borderId="0"/>
    <xf numFmtId="0" fontId="4" fillId="0" borderId="0"/>
    <xf numFmtId="0" fontId="95" fillId="0" borderId="0"/>
    <xf numFmtId="39" fontId="50" fillId="0" borderId="0"/>
    <xf numFmtId="188" fontId="94" fillId="0" borderId="0"/>
    <xf numFmtId="188" fontId="94" fillId="0" borderId="0"/>
    <xf numFmtId="0" fontId="4" fillId="0" borderId="0"/>
    <xf numFmtId="0" fontId="4" fillId="0" borderId="0"/>
    <xf numFmtId="0" fontId="4" fillId="0" borderId="0"/>
    <xf numFmtId="188" fontId="94" fillId="0" borderId="0"/>
    <xf numFmtId="188" fontId="94" fillId="0" borderId="0"/>
    <xf numFmtId="0" fontId="95" fillId="0" borderId="0"/>
    <xf numFmtId="0" fontId="95" fillId="0" borderId="0"/>
    <xf numFmtId="0" fontId="95" fillId="0" borderId="0"/>
    <xf numFmtId="188" fontId="94" fillId="0" borderId="0"/>
    <xf numFmtId="0" fontId="95" fillId="0" borderId="0"/>
    <xf numFmtId="188" fontId="94" fillId="0" borderId="0"/>
    <xf numFmtId="0" fontId="4" fillId="0" borderId="0"/>
    <xf numFmtId="37" fontId="48" fillId="0" borderId="0"/>
    <xf numFmtId="170" fontId="54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39" fontId="50" fillId="0" borderId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90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90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90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90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90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188" fontId="90" fillId="74" borderId="47" applyNumberFormat="0" applyFont="0" applyAlignment="0" applyProtection="0"/>
    <xf numFmtId="0" fontId="2" fillId="7" borderId="14" applyNumberFormat="0" applyFont="0" applyAlignment="0" applyProtection="0"/>
    <xf numFmtId="188" fontId="90" fillId="74" borderId="47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188" fontId="90" fillId="74" borderId="47" applyNumberFormat="0" applyFont="0" applyAlignment="0" applyProtection="0"/>
    <xf numFmtId="0" fontId="2" fillId="7" borderId="14" applyNumberFormat="0" applyFont="0" applyAlignment="0" applyProtection="0"/>
    <xf numFmtId="188" fontId="90" fillId="74" borderId="47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188" fontId="90" fillId="74" borderId="47" applyNumberFormat="0" applyFont="0" applyAlignment="0" applyProtection="0"/>
    <xf numFmtId="0" fontId="2" fillId="7" borderId="14" applyNumberFormat="0" applyFont="0" applyAlignment="0" applyProtection="0"/>
    <xf numFmtId="188" fontId="90" fillId="74" borderId="47" applyNumberFormat="0" applyFont="0" applyAlignment="0" applyProtection="0"/>
    <xf numFmtId="190" fontId="90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188" fontId="90" fillId="74" borderId="47" applyNumberFormat="0" applyFont="0" applyAlignment="0" applyProtection="0"/>
    <xf numFmtId="0" fontId="2" fillId="7" borderId="14" applyNumberFormat="0" applyFont="0" applyAlignment="0" applyProtection="0"/>
    <xf numFmtId="188" fontId="90" fillId="74" borderId="47" applyNumberFormat="0" applyFont="0" applyAlignment="0" applyProtection="0"/>
    <xf numFmtId="190" fontId="90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188" fontId="90" fillId="74" borderId="47" applyNumberFormat="0" applyFont="0" applyAlignment="0" applyProtection="0"/>
    <xf numFmtId="0" fontId="2" fillId="7" borderId="14" applyNumberFormat="0" applyFont="0" applyAlignment="0" applyProtection="0"/>
    <xf numFmtId="188" fontId="90" fillId="74" borderId="47" applyNumberFormat="0" applyFont="0" applyAlignment="0" applyProtection="0"/>
    <xf numFmtId="190" fontId="90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188" fontId="90" fillId="74" borderId="47" applyNumberFormat="0" applyFont="0" applyAlignment="0" applyProtection="0"/>
    <xf numFmtId="0" fontId="2" fillId="7" borderId="14" applyNumberFormat="0" applyFont="0" applyAlignment="0" applyProtection="0"/>
    <xf numFmtId="188" fontId="90" fillId="74" borderId="47" applyNumberFormat="0" applyFont="0" applyAlignment="0" applyProtection="0"/>
    <xf numFmtId="190" fontId="90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188" fontId="90" fillId="74" borderId="47" applyNumberFormat="0" applyFont="0" applyAlignment="0" applyProtection="0"/>
    <xf numFmtId="0" fontId="2" fillId="7" borderId="14" applyNumberFormat="0" applyFont="0" applyAlignment="0" applyProtection="0"/>
    <xf numFmtId="188" fontId="90" fillId="74" borderId="47" applyNumberFormat="0" applyFont="0" applyAlignment="0" applyProtection="0"/>
    <xf numFmtId="190" fontId="90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90" fillId="7" borderId="14" applyNumberFormat="0" applyFont="0" applyAlignment="0" applyProtection="0"/>
    <xf numFmtId="0" fontId="32" fillId="26" borderId="15" applyNumberFormat="0" applyAlignment="0" applyProtection="0"/>
    <xf numFmtId="0" fontId="32" fillId="11" borderId="15" applyNumberFormat="0" applyAlignment="0" applyProtection="0"/>
    <xf numFmtId="0" fontId="32" fillId="11" borderId="15" applyNumberFormat="0" applyAlignment="0" applyProtection="0"/>
    <xf numFmtId="0" fontId="32" fillId="11" borderId="15" applyNumberFormat="0" applyAlignment="0" applyProtection="0"/>
    <xf numFmtId="0" fontId="32" fillId="11" borderId="15" applyNumberFormat="0" applyAlignment="0" applyProtection="0"/>
    <xf numFmtId="0" fontId="32" fillId="11" borderId="15" applyNumberFormat="0" applyAlignment="0" applyProtection="0"/>
    <xf numFmtId="188" fontId="118" fillId="69" borderId="48" applyNumberFormat="0" applyAlignment="0" applyProtection="0"/>
    <xf numFmtId="188" fontId="118" fillId="69" borderId="48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119" fillId="69" borderId="48" applyNumberFormat="0" applyAlignment="0" applyProtection="0"/>
    <xf numFmtId="190" fontId="32" fillId="11" borderId="15" applyNumberFormat="0" applyAlignment="0" applyProtection="0"/>
    <xf numFmtId="190" fontId="32" fillId="11" borderId="15" applyNumberFormat="0" applyAlignment="0" applyProtection="0"/>
    <xf numFmtId="190" fontId="32" fillId="11" borderId="15" applyNumberFormat="0" applyAlignment="0" applyProtection="0"/>
    <xf numFmtId="190" fontId="32" fillId="11" borderId="15" applyNumberFormat="0" applyAlignment="0" applyProtection="0"/>
    <xf numFmtId="190" fontId="32" fillId="11" borderId="15" applyNumberFormat="0" applyAlignment="0" applyProtection="0"/>
    <xf numFmtId="190" fontId="32" fillId="11" borderId="15" applyNumberFormat="0" applyAlignment="0" applyProtection="0"/>
    <xf numFmtId="0" fontId="32" fillId="11" borderId="15" applyNumberFormat="0" applyAlignment="0" applyProtection="0"/>
    <xf numFmtId="4" fontId="15" fillId="30" borderId="0">
      <alignment horizontal="right"/>
    </xf>
    <xf numFmtId="40" fontId="74" fillId="30" borderId="0">
      <alignment horizontal="right"/>
    </xf>
    <xf numFmtId="191" fontId="15" fillId="26" borderId="0">
      <alignment horizontal="right"/>
    </xf>
    <xf numFmtId="191" fontId="15" fillId="26" borderId="0">
      <alignment horizontal="right"/>
    </xf>
    <xf numFmtId="40" fontId="74" fillId="30" borderId="0">
      <alignment horizontal="right"/>
    </xf>
    <xf numFmtId="0" fontId="16" fillId="30" borderId="0">
      <alignment horizontal="center" vertical="center"/>
    </xf>
    <xf numFmtId="0" fontId="16" fillId="31" borderId="0">
      <alignment horizontal="center"/>
    </xf>
    <xf numFmtId="0" fontId="75" fillId="30" borderId="0">
      <alignment horizontal="right"/>
    </xf>
    <xf numFmtId="0" fontId="16" fillId="30" borderId="0">
      <alignment horizontal="center" vertical="center"/>
    </xf>
    <xf numFmtId="0" fontId="16" fillId="30" borderId="0">
      <alignment horizontal="center" vertical="center"/>
    </xf>
    <xf numFmtId="0" fontId="16" fillId="30" borderId="0">
      <alignment horizontal="center" vertical="center"/>
    </xf>
    <xf numFmtId="0" fontId="16" fillId="30" borderId="0">
      <alignment horizontal="center" vertical="center"/>
    </xf>
    <xf numFmtId="0" fontId="16" fillId="30" borderId="0">
      <alignment horizontal="center" vertical="center"/>
    </xf>
    <xf numFmtId="0" fontId="16" fillId="30" borderId="0">
      <alignment horizontal="center" vertical="center"/>
    </xf>
    <xf numFmtId="188" fontId="16" fillId="30" borderId="0">
      <alignment horizontal="center" vertical="center"/>
    </xf>
    <xf numFmtId="188" fontId="16" fillId="30" borderId="0">
      <alignment horizontal="center" vertical="center"/>
    </xf>
    <xf numFmtId="0" fontId="75" fillId="30" borderId="0">
      <alignment horizontal="right"/>
    </xf>
    <xf numFmtId="0" fontId="17" fillId="30" borderId="4"/>
    <xf numFmtId="0" fontId="36" fillId="32" borderId="0"/>
    <xf numFmtId="0" fontId="76" fillId="30" borderId="4"/>
    <xf numFmtId="0" fontId="17" fillId="30" borderId="4"/>
    <xf numFmtId="0" fontId="17" fillId="30" borderId="4"/>
    <xf numFmtId="0" fontId="17" fillId="30" borderId="4"/>
    <xf numFmtId="0" fontId="17" fillId="30" borderId="4"/>
    <xf numFmtId="0" fontId="17" fillId="30" borderId="4"/>
    <xf numFmtId="0" fontId="17" fillId="30" borderId="4"/>
    <xf numFmtId="188" fontId="17" fillId="30" borderId="4"/>
    <xf numFmtId="188" fontId="17" fillId="30" borderId="4"/>
    <xf numFmtId="0" fontId="76" fillId="30" borderId="4"/>
    <xf numFmtId="0" fontId="16" fillId="30" borderId="0" applyBorder="0">
      <alignment horizontal="centerContinuous"/>
    </xf>
    <xf numFmtId="0" fontId="92" fillId="26" borderId="0" applyBorder="0">
      <alignment horizontal="centerContinuous"/>
    </xf>
    <xf numFmtId="0" fontId="76" fillId="0" borderId="0" applyBorder="0">
      <alignment horizontal="centerContinuous"/>
    </xf>
    <xf numFmtId="0" fontId="16" fillId="30" borderId="0" applyBorder="0">
      <alignment horizontal="centerContinuous"/>
    </xf>
    <xf numFmtId="0" fontId="16" fillId="30" borderId="0" applyBorder="0">
      <alignment horizontal="centerContinuous"/>
    </xf>
    <xf numFmtId="0" fontId="16" fillId="30" borderId="0" applyBorder="0">
      <alignment horizontal="centerContinuous"/>
    </xf>
    <xf numFmtId="0" fontId="16" fillId="30" borderId="0" applyBorder="0">
      <alignment horizontal="centerContinuous"/>
    </xf>
    <xf numFmtId="0" fontId="16" fillId="30" borderId="0" applyBorder="0">
      <alignment horizontal="centerContinuous"/>
    </xf>
    <xf numFmtId="0" fontId="16" fillId="30" borderId="0" applyBorder="0">
      <alignment horizontal="centerContinuous"/>
    </xf>
    <xf numFmtId="188" fontId="16" fillId="30" borderId="0" applyBorder="0">
      <alignment horizontal="centerContinuous"/>
    </xf>
    <xf numFmtId="188" fontId="16" fillId="30" borderId="0" applyBorder="0">
      <alignment horizontal="centerContinuous"/>
    </xf>
    <xf numFmtId="0" fontId="76" fillId="0" borderId="0" applyBorder="0">
      <alignment horizontal="centerContinuous"/>
    </xf>
    <xf numFmtId="0" fontId="18" fillId="30" borderId="0" applyBorder="0">
      <alignment horizontal="centerContinuous"/>
    </xf>
    <xf numFmtId="0" fontId="93" fillId="32" borderId="0" applyBorder="0">
      <alignment horizontal="centerContinuous"/>
    </xf>
    <xf numFmtId="0" fontId="77" fillId="0" borderId="0" applyBorder="0">
      <alignment horizontal="centerContinuous"/>
    </xf>
    <xf numFmtId="0" fontId="18" fillId="30" borderId="0" applyBorder="0">
      <alignment horizontal="centerContinuous"/>
    </xf>
    <xf numFmtId="0" fontId="18" fillId="30" borderId="0" applyBorder="0">
      <alignment horizontal="centerContinuous"/>
    </xf>
    <xf numFmtId="0" fontId="18" fillId="30" borderId="0" applyBorder="0">
      <alignment horizontal="centerContinuous"/>
    </xf>
    <xf numFmtId="0" fontId="18" fillId="30" borderId="0" applyBorder="0">
      <alignment horizontal="centerContinuous"/>
    </xf>
    <xf numFmtId="0" fontId="18" fillId="30" borderId="0" applyBorder="0">
      <alignment horizontal="centerContinuous"/>
    </xf>
    <xf numFmtId="0" fontId="18" fillId="30" borderId="0" applyBorder="0">
      <alignment horizontal="centerContinuous"/>
    </xf>
    <xf numFmtId="188" fontId="18" fillId="30" borderId="0" applyBorder="0">
      <alignment horizontal="centerContinuous"/>
    </xf>
    <xf numFmtId="188" fontId="18" fillId="30" borderId="0" applyBorder="0">
      <alignment horizontal="centerContinuous"/>
    </xf>
    <xf numFmtId="0" fontId="77" fillId="0" borderId="0" applyBorder="0">
      <alignment horizontal="centerContinuous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79" fillId="0" borderId="16">
      <alignment horizontal="center"/>
    </xf>
    <xf numFmtId="3" fontId="78" fillId="0" borderId="0" applyFont="0" applyFill="0" applyBorder="0" applyAlignment="0" applyProtection="0"/>
    <xf numFmtId="0" fontId="78" fillId="33" borderId="0" applyNumberFormat="0" applyFont="0" applyBorder="0" applyAlignment="0" applyProtection="0"/>
    <xf numFmtId="0" fontId="17" fillId="13" borderId="0">
      <alignment horizontal="center"/>
    </xf>
    <xf numFmtId="0" fontId="17" fillId="13" borderId="0">
      <alignment horizontal="center"/>
    </xf>
    <xf numFmtId="49" fontId="40" fillId="26" borderId="0">
      <alignment horizontal="center"/>
    </xf>
    <xf numFmtId="0" fontId="37" fillId="28" borderId="0">
      <alignment horizontal="center"/>
    </xf>
    <xf numFmtId="0" fontId="37" fillId="28" borderId="0">
      <alignment horizontal="centerContinuous"/>
    </xf>
    <xf numFmtId="0" fontId="41" fillId="26" borderId="0">
      <alignment horizontal="left"/>
    </xf>
    <xf numFmtId="49" fontId="41" fillId="26" borderId="0">
      <alignment horizontal="center"/>
    </xf>
    <xf numFmtId="0" fontId="36" fillId="28" borderId="0">
      <alignment horizontal="left"/>
    </xf>
    <xf numFmtId="49" fontId="41" fillId="26" borderId="0">
      <alignment horizontal="left"/>
    </xf>
    <xf numFmtId="0" fontId="36" fillId="28" borderId="0">
      <alignment horizontal="centerContinuous"/>
    </xf>
    <xf numFmtId="0" fontId="36" fillId="28" borderId="0">
      <alignment horizontal="right"/>
    </xf>
    <xf numFmtId="49" fontId="17" fillId="26" borderId="0">
      <alignment horizontal="left"/>
    </xf>
    <xf numFmtId="49" fontId="17" fillId="26" borderId="0">
      <alignment horizontal="left"/>
    </xf>
    <xf numFmtId="0" fontId="37" fillId="28" borderId="0">
      <alignment horizontal="right"/>
    </xf>
    <xf numFmtId="0" fontId="41" fillId="9" borderId="0">
      <alignment horizontal="center"/>
    </xf>
    <xf numFmtId="0" fontId="42" fillId="9" borderId="0">
      <alignment horizontal="center"/>
    </xf>
    <xf numFmtId="4" fontId="7" fillId="34" borderId="17" applyNumberFormat="0" applyProtection="0">
      <alignment vertical="center"/>
    </xf>
    <xf numFmtId="4" fontId="7" fillId="34" borderId="17" applyNumberFormat="0" applyProtection="0">
      <alignment vertical="center"/>
    </xf>
    <xf numFmtId="4" fontId="43" fillId="34" borderId="18" applyNumberFormat="0" applyProtection="0">
      <alignment vertical="center"/>
    </xf>
    <xf numFmtId="4" fontId="7" fillId="34" borderId="17" applyNumberFormat="0" applyProtection="0">
      <alignment horizontal="left" vertical="center" indent="1"/>
    </xf>
    <xf numFmtId="4" fontId="7" fillId="34" borderId="17" applyNumberFormat="0" applyProtection="0">
      <alignment horizontal="left" vertical="center" indent="1"/>
    </xf>
    <xf numFmtId="0" fontId="7" fillId="35" borderId="18" applyNumberFormat="0" applyProtection="0">
      <alignment horizontal="left" vertical="top" indent="1"/>
    </xf>
    <xf numFmtId="0" fontId="7" fillId="35" borderId="18" applyNumberFormat="0" applyProtection="0">
      <alignment horizontal="left" vertical="top" indent="1"/>
    </xf>
    <xf numFmtId="4" fontId="7" fillId="32" borderId="0" applyNumberFormat="0" applyProtection="0">
      <alignment horizontal="left" vertical="center" indent="1"/>
    </xf>
    <xf numFmtId="4" fontId="7" fillId="32" borderId="0" applyNumberFormat="0" applyProtection="0">
      <alignment horizontal="left" vertical="center" indent="1"/>
    </xf>
    <xf numFmtId="4" fontId="4" fillId="34" borderId="18" applyNumberFormat="0" applyProtection="0">
      <alignment horizontal="right" vertical="center"/>
    </xf>
    <xf numFmtId="4" fontId="4" fillId="34" borderId="18" applyNumberFormat="0" applyProtection="0">
      <alignment horizontal="right" vertical="center"/>
    </xf>
    <xf numFmtId="4" fontId="44" fillId="36" borderId="18" applyNumberFormat="0" applyProtection="0">
      <alignment horizontal="right" vertical="center"/>
    </xf>
    <xf numFmtId="4" fontId="44" fillId="37" borderId="18" applyNumberFormat="0" applyProtection="0">
      <alignment horizontal="right" vertical="center"/>
    </xf>
    <xf numFmtId="4" fontId="4" fillId="13" borderId="18" applyNumberFormat="0" applyProtection="0">
      <alignment horizontal="right" vertical="center"/>
    </xf>
    <xf numFmtId="4" fontId="4" fillId="13" borderId="18" applyNumberFormat="0" applyProtection="0">
      <alignment horizontal="right" vertical="center"/>
    </xf>
    <xf numFmtId="4" fontId="4" fillId="3" borderId="18" applyNumberFormat="0" applyProtection="0">
      <alignment horizontal="right" vertical="center"/>
    </xf>
    <xf numFmtId="4" fontId="4" fillId="3" borderId="18" applyNumberFormat="0" applyProtection="0">
      <alignment horizontal="right" vertical="center"/>
    </xf>
    <xf numFmtId="4" fontId="4" fillId="6" borderId="18" applyNumberFormat="0" applyProtection="0">
      <alignment horizontal="right" vertical="center"/>
    </xf>
    <xf numFmtId="4" fontId="4" fillId="6" borderId="18" applyNumberFormat="0" applyProtection="0">
      <alignment horizontal="right" vertical="center"/>
    </xf>
    <xf numFmtId="4" fontId="44" fillId="23" borderId="18" applyNumberFormat="0" applyProtection="0">
      <alignment horizontal="right" vertical="center"/>
    </xf>
    <xf numFmtId="4" fontId="44" fillId="20" borderId="18" applyNumberFormat="0" applyProtection="0">
      <alignment horizontal="right" vertical="center"/>
    </xf>
    <xf numFmtId="4" fontId="4" fillId="19" borderId="18" applyNumberFormat="0" applyProtection="0">
      <alignment horizontal="right" vertical="center"/>
    </xf>
    <xf numFmtId="4" fontId="4" fillId="19" borderId="18" applyNumberFormat="0" applyProtection="0">
      <alignment horizontal="right" vertical="center"/>
    </xf>
    <xf numFmtId="4" fontId="7" fillId="38" borderId="0" applyNumberFormat="0" applyProtection="0">
      <alignment horizontal="left" vertical="center" indent="1"/>
    </xf>
    <xf numFmtId="4" fontId="7" fillId="38" borderId="0" applyNumberFormat="0" applyProtection="0">
      <alignment horizontal="left" vertical="center" indent="1"/>
    </xf>
    <xf numFmtId="4" fontId="4" fillId="17" borderId="0" applyNumberFormat="0" applyProtection="0">
      <alignment horizontal="left" vertical="center" indent="1"/>
    </xf>
    <xf numFmtId="4" fontId="4" fillId="17" borderId="0" applyNumberFormat="0" applyProtection="0">
      <alignment horizontal="left" vertical="center" indent="1"/>
    </xf>
    <xf numFmtId="4" fontId="45" fillId="39" borderId="0" applyNumberFormat="0" applyProtection="0">
      <alignment horizontal="left" vertical="center" indent="1"/>
    </xf>
    <xf numFmtId="4" fontId="40" fillId="39" borderId="0" applyNumberFormat="0" applyProtection="0">
      <alignment horizontal="left" vertical="center" indent="1"/>
    </xf>
    <xf numFmtId="4" fontId="4" fillId="17" borderId="17" applyNumberFormat="0" applyProtection="0">
      <alignment horizontal="right" vertical="center"/>
    </xf>
    <xf numFmtId="4" fontId="4" fillId="17" borderId="17" applyNumberFormat="0" applyProtection="0">
      <alignment horizontal="right" vertical="center"/>
    </xf>
    <xf numFmtId="4" fontId="4" fillId="17" borderId="0" applyNumberFormat="0" applyProtection="0">
      <alignment horizontal="left" vertical="center" indent="1"/>
    </xf>
    <xf numFmtId="4" fontId="4" fillId="17" borderId="0" applyNumberFormat="0" applyProtection="0">
      <alignment horizontal="left" vertical="center" indent="1"/>
    </xf>
    <xf numFmtId="4" fontId="4" fillId="35" borderId="0" applyNumberFormat="0" applyProtection="0">
      <alignment horizontal="left" vertical="center" indent="1"/>
    </xf>
    <xf numFmtId="4" fontId="4" fillId="35" borderId="0" applyNumberFormat="0" applyProtection="0">
      <alignment horizontal="left" vertical="center" indent="1"/>
    </xf>
    <xf numFmtId="0" fontId="1" fillId="17" borderId="17" applyNumberFormat="0" applyProtection="0">
      <alignment horizontal="left" vertical="center" indent="1"/>
    </xf>
    <xf numFmtId="0" fontId="4" fillId="17" borderId="17" applyNumberFormat="0" applyProtection="0">
      <alignment horizontal="left" vertical="center" indent="1"/>
    </xf>
    <xf numFmtId="0" fontId="1" fillId="17" borderId="18" applyNumberFormat="0" applyProtection="0">
      <alignment horizontal="left" vertical="top" indent="1"/>
    </xf>
    <xf numFmtId="0" fontId="4" fillId="17" borderId="18" applyNumberFormat="0" applyProtection="0">
      <alignment horizontal="left" vertical="top" indent="1"/>
    </xf>
    <xf numFmtId="0" fontId="1" fillId="17" borderId="17" applyNumberFormat="0" applyProtection="0">
      <alignment horizontal="left" vertical="center" indent="1"/>
    </xf>
    <xf numFmtId="0" fontId="4" fillId="17" borderId="17" applyNumberFormat="0" applyProtection="0">
      <alignment horizontal="left" vertical="center" indent="1"/>
    </xf>
    <xf numFmtId="0" fontId="1" fillId="17" borderId="18" applyNumberFormat="0" applyProtection="0">
      <alignment horizontal="left" vertical="top" indent="1"/>
    </xf>
    <xf numFmtId="0" fontId="4" fillId="17" borderId="18" applyNumberFormat="0" applyProtection="0">
      <alignment horizontal="left" vertical="top" indent="1"/>
    </xf>
    <xf numFmtId="0" fontId="1" fillId="17" borderId="17" applyNumberFormat="0" applyProtection="0">
      <alignment horizontal="left" vertical="center" indent="1"/>
    </xf>
    <xf numFmtId="0" fontId="4" fillId="17" borderId="17" applyNumberFormat="0" applyProtection="0">
      <alignment horizontal="left" vertical="center" indent="1"/>
    </xf>
    <xf numFmtId="0" fontId="1" fillId="17" borderId="18" applyNumberFormat="0" applyProtection="0">
      <alignment horizontal="left" vertical="top" indent="1"/>
    </xf>
    <xf numFmtId="0" fontId="4" fillId="17" borderId="18" applyNumberFormat="0" applyProtection="0">
      <alignment horizontal="left" vertical="top" indent="1"/>
    </xf>
    <xf numFmtId="0" fontId="1" fillId="17" borderId="17" applyNumberFormat="0" applyProtection="0">
      <alignment horizontal="left" vertical="center" indent="1"/>
    </xf>
    <xf numFmtId="0" fontId="4" fillId="17" borderId="17" applyNumberFormat="0" applyProtection="0">
      <alignment horizontal="left" vertical="center" indent="1"/>
    </xf>
    <xf numFmtId="0" fontId="1" fillId="17" borderId="18" applyNumberFormat="0" applyProtection="0">
      <alignment horizontal="left" vertical="top" indent="1"/>
    </xf>
    <xf numFmtId="0" fontId="4" fillId="17" borderId="18" applyNumberFormat="0" applyProtection="0">
      <alignment horizontal="left" vertical="top" indent="1"/>
    </xf>
    <xf numFmtId="4" fontId="15" fillId="40" borderId="18" applyNumberFormat="0" applyProtection="0">
      <alignment vertical="center"/>
    </xf>
    <xf numFmtId="4" fontId="46" fillId="40" borderId="18" applyNumberFormat="0" applyProtection="0">
      <alignment vertical="center"/>
    </xf>
    <xf numFmtId="4" fontId="4" fillId="17" borderId="18" applyNumberFormat="0" applyProtection="0">
      <alignment horizontal="left" vertical="center" indent="1"/>
    </xf>
    <xf numFmtId="4" fontId="4" fillId="17" borderId="18" applyNumberFormat="0" applyProtection="0">
      <alignment horizontal="left" vertical="center" indent="1"/>
    </xf>
    <xf numFmtId="0" fontId="4" fillId="17" borderId="18" applyNumberFormat="0" applyProtection="0">
      <alignment horizontal="left" vertical="top" indent="1"/>
    </xf>
    <xf numFmtId="0" fontId="4" fillId="17" borderId="18" applyNumberFormat="0" applyProtection="0">
      <alignment horizontal="left" vertical="top" indent="1"/>
    </xf>
    <xf numFmtId="4" fontId="4" fillId="41" borderId="17" applyNumberFormat="0" applyProtection="0">
      <alignment horizontal="right" vertical="center"/>
    </xf>
    <xf numFmtId="4" fontId="4" fillId="41" borderId="17" applyNumberFormat="0" applyProtection="0">
      <alignment horizontal="right" vertical="center"/>
    </xf>
    <xf numFmtId="4" fontId="7" fillId="41" borderId="17" applyNumberFormat="0" applyProtection="0">
      <alignment horizontal="right" vertical="center"/>
    </xf>
    <xf numFmtId="4" fontId="7" fillId="41" borderId="17" applyNumberFormat="0" applyProtection="0">
      <alignment horizontal="right" vertical="center"/>
    </xf>
    <xf numFmtId="4" fontId="4" fillId="17" borderId="17" applyNumberFormat="0" applyProtection="0">
      <alignment horizontal="left" vertical="center" indent="1"/>
    </xf>
    <xf numFmtId="4" fontId="4" fillId="17" borderId="17" applyNumberFormat="0" applyProtection="0">
      <alignment horizontal="left" vertical="center" indent="1"/>
    </xf>
    <xf numFmtId="0" fontId="4" fillId="17" borderId="17" applyNumberFormat="0" applyProtection="0">
      <alignment horizontal="left" vertical="top" indent="1"/>
    </xf>
    <xf numFmtId="0" fontId="4" fillId="17" borderId="17" applyNumberFormat="0" applyProtection="0">
      <alignment horizontal="left" vertical="top" indent="1"/>
    </xf>
    <xf numFmtId="4" fontId="47" fillId="0" borderId="0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0" borderId="18" applyNumberFormat="0" applyProtection="0">
      <alignment horizontal="right" vertical="center"/>
    </xf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4" fillId="0" borderId="19" applyNumberFormat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88" fontId="120" fillId="0" borderId="0" applyNumberFormat="0" applyFill="0" applyBorder="0" applyAlignment="0" applyProtection="0"/>
    <xf numFmtId="188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90" fontId="91" fillId="0" borderId="0" applyNumberFormat="0" applyFill="0" applyBorder="0" applyAlignment="0" applyProtection="0"/>
    <xf numFmtId="190" fontId="91" fillId="0" borderId="0" applyNumberFormat="0" applyFill="0" applyBorder="0" applyAlignment="0" applyProtection="0"/>
    <xf numFmtId="190" fontId="91" fillId="0" borderId="0" applyNumberFormat="0" applyFill="0" applyBorder="0" applyAlignment="0" applyProtection="0"/>
    <xf numFmtId="190" fontId="91" fillId="0" borderId="0" applyNumberFormat="0" applyFill="0" applyBorder="0" applyAlignment="0" applyProtection="0"/>
    <xf numFmtId="190" fontId="91" fillId="0" borderId="0" applyNumberFormat="0" applyFill="0" applyBorder="0" applyAlignment="0" applyProtection="0"/>
    <xf numFmtId="19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188" fontId="121" fillId="0" borderId="49" applyNumberFormat="0" applyFill="0" applyAlignment="0" applyProtection="0"/>
    <xf numFmtId="188" fontId="121" fillId="0" borderId="49" applyNumberFormat="0" applyFill="0" applyAlignment="0" applyProtection="0"/>
    <xf numFmtId="0" fontId="4" fillId="0" borderId="22" applyNumberFormat="0" applyFon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190" fontId="34" fillId="0" borderId="21" applyNumberFormat="0" applyFill="0" applyAlignment="0" applyProtection="0"/>
    <xf numFmtId="190" fontId="34" fillId="0" borderId="21" applyNumberFormat="0" applyFill="0" applyAlignment="0" applyProtection="0"/>
    <xf numFmtId="190" fontId="34" fillId="0" borderId="21" applyNumberFormat="0" applyFill="0" applyAlignment="0" applyProtection="0"/>
    <xf numFmtId="190" fontId="34" fillId="0" borderId="21" applyNumberFormat="0" applyFill="0" applyAlignment="0" applyProtection="0"/>
    <xf numFmtId="19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48" fillId="0" borderId="0"/>
    <xf numFmtId="0" fontId="71" fillId="0" borderId="0"/>
    <xf numFmtId="0" fontId="49" fillId="26" borderId="0">
      <alignment horizont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8" fontId="122" fillId="0" borderId="0" applyNumberFormat="0" applyFill="0" applyBorder="0" applyAlignment="0" applyProtection="0"/>
    <xf numFmtId="188" fontId="1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8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quotePrefix="1" applyFont="1" applyBorder="1" applyAlignment="1">
      <alignment horizontal="center"/>
    </xf>
    <xf numFmtId="10" fontId="2" fillId="0" borderId="0" xfId="1339" applyNumberFormat="1" applyFont="1"/>
    <xf numFmtId="164" fontId="4" fillId="0" borderId="0" xfId="673" applyNumberFormat="1" applyFont="1"/>
    <xf numFmtId="10" fontId="2" fillId="0" borderId="0" xfId="577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6" xfId="0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38" fontId="2" fillId="0" borderId="24" xfId="0" applyNumberFormat="1" applyFont="1" applyBorder="1"/>
    <xf numFmtId="38" fontId="2" fillId="0" borderId="0" xfId="0" applyNumberFormat="1" applyFont="1"/>
    <xf numFmtId="167" fontId="2" fillId="0" borderId="0" xfId="0" applyNumberFormat="1" applyFont="1"/>
    <xf numFmtId="38" fontId="2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/>
    </xf>
    <xf numFmtId="38" fontId="2" fillId="0" borderId="16" xfId="0" applyNumberFormat="1" applyFont="1" applyBorder="1" applyAlignment="1">
      <alignment horizontal="center"/>
    </xf>
    <xf numFmtId="165" fontId="2" fillId="0" borderId="0" xfId="1339" applyNumberFormat="1" applyFont="1"/>
    <xf numFmtId="167" fontId="2" fillId="0" borderId="23" xfId="0" applyNumberFormat="1" applyFont="1" applyBorder="1"/>
    <xf numFmtId="167" fontId="2" fillId="0" borderId="25" xfId="0" applyNumberFormat="1" applyFont="1" applyBorder="1"/>
    <xf numFmtId="169" fontId="2" fillId="0" borderId="0" xfId="0" quotePrefix="1" applyNumberFormat="1" applyFont="1" applyAlignment="1">
      <alignment horizontal="center"/>
    </xf>
    <xf numFmtId="0" fontId="2" fillId="0" borderId="0" xfId="0" applyFont="1" applyFill="1"/>
    <xf numFmtId="183" fontId="5" fillId="0" borderId="0" xfId="1150" applyNumberFormat="1" applyFont="1" applyAlignment="1">
      <alignment horizontal="right"/>
    </xf>
    <xf numFmtId="0" fontId="10" fillId="0" borderId="0" xfId="1150" applyFont="1"/>
    <xf numFmtId="0" fontId="10" fillId="0" borderId="0" xfId="1150" applyFont="1" applyBorder="1"/>
    <xf numFmtId="37" fontId="5" fillId="0" borderId="0" xfId="1148" applyFont="1" applyAlignment="1">
      <alignment horizontal="right"/>
    </xf>
    <xf numFmtId="179" fontId="10" fillId="0" borderId="0" xfId="577" applyNumberFormat="1" applyFont="1"/>
    <xf numFmtId="183" fontId="2" fillId="0" borderId="0" xfId="1148" applyNumberFormat="1" applyFont="1" applyAlignment="1">
      <alignment horizontal="right"/>
    </xf>
    <xf numFmtId="37" fontId="2" fillId="0" borderId="0" xfId="1148" applyFont="1" applyAlignment="1">
      <alignment horizontal="centerContinuous"/>
    </xf>
    <xf numFmtId="37" fontId="2" fillId="0" borderId="0" xfId="1148" applyFont="1" applyBorder="1" applyAlignment="1">
      <alignment horizontal="centerContinuous"/>
    </xf>
    <xf numFmtId="168" fontId="5" fillId="0" borderId="0" xfId="1150" quotePrefix="1" applyNumberFormat="1" applyFont="1" applyAlignment="1">
      <alignment horizontal="right"/>
    </xf>
    <xf numFmtId="37" fontId="2" fillId="0" borderId="0" xfId="1148" applyFont="1" applyAlignment="1">
      <alignment horizontal="center"/>
    </xf>
    <xf numFmtId="171" fontId="2" fillId="0" borderId="0" xfId="1148" applyNumberFormat="1" applyFont="1" applyAlignment="1">
      <alignment horizontal="center"/>
    </xf>
    <xf numFmtId="37" fontId="2" fillId="0" borderId="23" xfId="1148" applyFont="1" applyBorder="1" applyAlignment="1">
      <alignment horizontal="centerContinuous"/>
    </xf>
    <xf numFmtId="37" fontId="2" fillId="0" borderId="23" xfId="1148" applyFont="1" applyBorder="1" applyAlignment="1">
      <alignment horizontal="center"/>
    </xf>
    <xf numFmtId="183" fontId="2" fillId="0" borderId="0" xfId="1148" applyNumberFormat="1" applyFont="1" applyBorder="1" applyAlignment="1">
      <alignment horizontal="right"/>
    </xf>
    <xf numFmtId="37" fontId="2" fillId="0" borderId="0" xfId="1148" applyFont="1" applyAlignment="1">
      <alignment horizontal="left"/>
    </xf>
    <xf numFmtId="37" fontId="2" fillId="0" borderId="0" xfId="1148" applyFont="1" applyBorder="1" applyAlignment="1">
      <alignment horizontal="left"/>
    </xf>
    <xf numFmtId="164" fontId="2" fillId="0" borderId="0" xfId="673" applyNumberFormat="1" applyFont="1" applyFill="1" applyAlignment="1">
      <alignment horizontal="right"/>
    </xf>
    <xf numFmtId="166" fontId="2" fillId="0" borderId="0" xfId="577" applyNumberFormat="1" applyFont="1" applyBorder="1" applyAlignment="1">
      <alignment horizontal="right"/>
    </xf>
    <xf numFmtId="164" fontId="2" fillId="0" borderId="0" xfId="673" applyNumberFormat="1" applyFont="1" applyAlignment="1">
      <alignment horizontal="right"/>
    </xf>
    <xf numFmtId="166" fontId="2" fillId="0" borderId="0" xfId="577" applyNumberFormat="1" applyFont="1" applyAlignment="1">
      <alignment horizontal="right"/>
    </xf>
    <xf numFmtId="166" fontId="2" fillId="0" borderId="0" xfId="577" applyNumberFormat="1" applyFont="1" applyFill="1" applyAlignment="1">
      <alignment horizontal="right"/>
    </xf>
    <xf numFmtId="166" fontId="2" fillId="0" borderId="26" xfId="577" applyNumberFormat="1" applyFont="1" applyBorder="1" applyAlignment="1">
      <alignment horizontal="right"/>
    </xf>
    <xf numFmtId="166" fontId="2" fillId="0" borderId="0" xfId="577" applyNumberFormat="1" applyFont="1" applyFill="1" applyBorder="1" applyAlignment="1">
      <alignment horizontal="right"/>
    </xf>
    <xf numFmtId="37" fontId="2" fillId="0" borderId="0" xfId="1148" quotePrefix="1" applyFont="1"/>
    <xf numFmtId="37" fontId="2" fillId="0" borderId="0" xfId="1148" quotePrefix="1" applyFont="1" applyAlignment="1">
      <alignment horizontal="left"/>
    </xf>
    <xf numFmtId="164" fontId="2" fillId="0" borderId="25" xfId="673" applyNumberFormat="1" applyFont="1" applyBorder="1" applyAlignment="1">
      <alignment horizontal="right"/>
    </xf>
    <xf numFmtId="164" fontId="2" fillId="0" borderId="0" xfId="673" applyNumberFormat="1" applyFont="1" applyBorder="1" applyAlignment="1">
      <alignment horizontal="right"/>
    </xf>
    <xf numFmtId="183" fontId="10" fillId="0" borderId="0" xfId="1150" applyNumberFormat="1" applyFont="1"/>
    <xf numFmtId="10" fontId="2" fillId="0" borderId="0" xfId="1339" applyNumberFormat="1" applyFont="1" applyBorder="1" applyAlignment="1">
      <alignment horizontal="right"/>
    </xf>
    <xf numFmtId="10" fontId="2" fillId="0" borderId="24" xfId="1339" applyNumberFormat="1" applyFont="1" applyBorder="1" applyAlignment="1">
      <alignment horizontal="right"/>
    </xf>
    <xf numFmtId="0" fontId="10" fillId="0" borderId="0" xfId="1150" applyFont="1" applyAlignment="1">
      <alignment horizontal="center"/>
    </xf>
    <xf numFmtId="0" fontId="10" fillId="0" borderId="0" xfId="1150" quotePrefix="1" applyFont="1" applyAlignment="1">
      <alignment horizontal="center"/>
    </xf>
    <xf numFmtId="37" fontId="2" fillId="0" borderId="0" xfId="1148" applyFont="1"/>
    <xf numFmtId="49" fontId="2" fillId="0" borderId="0" xfId="1148" applyNumberFormat="1" applyFont="1" applyAlignment="1">
      <alignment horizontal="right"/>
    </xf>
    <xf numFmtId="0" fontId="2" fillId="0" borderId="0" xfId="1150" applyFont="1"/>
    <xf numFmtId="49" fontId="2" fillId="0" borderId="0" xfId="1148" applyNumberFormat="1" applyFont="1" applyBorder="1" applyAlignment="1">
      <alignment horizontal="right"/>
    </xf>
    <xf numFmtId="39" fontId="2" fillId="0" borderId="0" xfId="1159" applyFont="1" applyAlignment="1">
      <alignment horizontal="left"/>
    </xf>
    <xf numFmtId="166" fontId="2" fillId="0" borderId="23" xfId="577" applyNumberFormat="1" applyFont="1" applyFill="1" applyBorder="1" applyAlignment="1">
      <alignment horizontal="right"/>
    </xf>
    <xf numFmtId="166" fontId="2" fillId="0" borderId="23" xfId="577" applyNumberFormat="1" applyFont="1" applyBorder="1" applyAlignment="1">
      <alignment horizontal="right"/>
    </xf>
    <xf numFmtId="37" fontId="2" fillId="0" borderId="0" xfId="1148" quotePrefix="1" applyFont="1" applyBorder="1"/>
    <xf numFmtId="37" fontId="2" fillId="0" borderId="0" xfId="1148" applyFont="1" applyBorder="1"/>
    <xf numFmtId="0" fontId="10" fillId="0" borderId="23" xfId="1150" applyFont="1" applyBorder="1"/>
    <xf numFmtId="164" fontId="2" fillId="0" borderId="24" xfId="673" applyNumberFormat="1" applyFont="1" applyBorder="1"/>
    <xf numFmtId="164" fontId="2" fillId="0" borderId="0" xfId="673" applyNumberFormat="1" applyFont="1" applyBorder="1"/>
    <xf numFmtId="184" fontId="10" fillId="0" borderId="0" xfId="1150" applyNumberFormat="1" applyFont="1"/>
    <xf numFmtId="37" fontId="2" fillId="0" borderId="0" xfId="1148" applyFont="1" applyFill="1" applyBorder="1" applyAlignment="1">
      <alignment horizontal="left"/>
    </xf>
    <xf numFmtId="179" fontId="10" fillId="0" borderId="0" xfId="577" applyNumberFormat="1" applyFont="1" applyFill="1"/>
    <xf numFmtId="0" fontId="10" fillId="0" borderId="0" xfId="1150" applyFont="1" applyFill="1"/>
    <xf numFmtId="0" fontId="2" fillId="0" borderId="0" xfId="0" applyFont="1" applyAlignment="1">
      <alignment wrapText="1"/>
    </xf>
    <xf numFmtId="0" fontId="53" fillId="0" borderId="0" xfId="0" applyFont="1"/>
    <xf numFmtId="0" fontId="53" fillId="0" borderId="0" xfId="0" applyFont="1" applyAlignment="1">
      <alignment horizontal="center"/>
    </xf>
    <xf numFmtId="0" fontId="53" fillId="0" borderId="0" xfId="0" applyFont="1" applyBorder="1"/>
    <xf numFmtId="10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10" fontId="53" fillId="0" borderId="23" xfId="0" applyNumberFormat="1" applyFont="1" applyBorder="1" applyAlignment="1">
      <alignment horizontal="center"/>
    </xf>
    <xf numFmtId="166" fontId="53" fillId="0" borderId="0" xfId="577" applyNumberFormat="1" applyFont="1"/>
    <xf numFmtId="10" fontId="53" fillId="0" borderId="0" xfId="1339" applyNumberFormat="1" applyFont="1"/>
    <xf numFmtId="10" fontId="53" fillId="0" borderId="23" xfId="1339" applyNumberFormat="1" applyFont="1" applyBorder="1"/>
    <xf numFmtId="166" fontId="53" fillId="0" borderId="26" xfId="577" applyNumberFormat="1" applyFont="1" applyBorder="1"/>
    <xf numFmtId="0" fontId="53" fillId="0" borderId="0" xfId="0" quotePrefix="1" applyFont="1" applyAlignment="1">
      <alignment horizontal="left"/>
    </xf>
    <xf numFmtId="0" fontId="53" fillId="0" borderId="16" xfId="0" applyFont="1" applyBorder="1"/>
    <xf numFmtId="166" fontId="53" fillId="0" borderId="16" xfId="577" applyNumberFormat="1" applyFont="1" applyBorder="1"/>
    <xf numFmtId="166" fontId="53" fillId="0" borderId="0" xfId="0" applyNumberFormat="1" applyFont="1"/>
    <xf numFmtId="166" fontId="53" fillId="0" borderId="26" xfId="0" applyNumberFormat="1" applyFont="1" applyBorder="1"/>
    <xf numFmtId="9" fontId="53" fillId="0" borderId="0" xfId="1339" applyFont="1"/>
    <xf numFmtId="0" fontId="56" fillId="0" borderId="0" xfId="1155" applyFont="1"/>
    <xf numFmtId="43" fontId="2" fillId="0" borderId="0" xfId="577" applyFont="1"/>
    <xf numFmtId="43" fontId="2" fillId="0" borderId="0" xfId="577" applyFont="1" applyAlignment="1">
      <alignment horizontal="centerContinuous"/>
    </xf>
    <xf numFmtId="43" fontId="2" fillId="0" borderId="23" xfId="577" applyFont="1" applyBorder="1" applyAlignment="1">
      <alignment horizontal="centerContinuous"/>
    </xf>
    <xf numFmtId="43" fontId="2" fillId="0" borderId="0" xfId="577" applyFont="1" applyAlignment="1">
      <alignment horizontal="center"/>
    </xf>
    <xf numFmtId="43" fontId="2" fillId="0" borderId="0" xfId="577" applyFont="1" applyBorder="1" applyAlignment="1">
      <alignment horizontal="centerContinuous"/>
    </xf>
    <xf numFmtId="43" fontId="2" fillId="0" borderId="23" xfId="577" applyFont="1" applyBorder="1" applyAlignment="1">
      <alignment horizontal="center"/>
    </xf>
    <xf numFmtId="43" fontId="2" fillId="0" borderId="23" xfId="577" applyFont="1" applyBorder="1"/>
    <xf numFmtId="43" fontId="2" fillId="0" borderId="23" xfId="577" applyNumberFormat="1" applyFont="1" applyBorder="1"/>
    <xf numFmtId="43" fontId="2" fillId="0" borderId="0" xfId="577" applyFont="1" applyAlignment="1">
      <alignment horizontal="right"/>
    </xf>
    <xf numFmtId="43" fontId="2" fillId="0" borderId="0" xfId="577" applyNumberFormat="1" applyFont="1"/>
    <xf numFmtId="43" fontId="2" fillId="0" borderId="0" xfId="577" applyFont="1" applyBorder="1"/>
    <xf numFmtId="43" fontId="2" fillId="42" borderId="0" xfId="577" applyFont="1" applyFill="1"/>
    <xf numFmtId="43" fontId="2" fillId="0" borderId="0" xfId="577" applyNumberFormat="1" applyFont="1" applyAlignment="1">
      <alignment horizontal="right"/>
    </xf>
    <xf numFmtId="43" fontId="2" fillId="0" borderId="24" xfId="577" applyFont="1" applyBorder="1"/>
    <xf numFmtId="43" fontId="2" fillId="0" borderId="24" xfId="577" applyNumberFormat="1" applyFont="1" applyBorder="1"/>
    <xf numFmtId="43" fontId="10" fillId="0" borderId="0" xfId="577" applyFont="1"/>
    <xf numFmtId="43" fontId="10" fillId="0" borderId="0" xfId="577" applyFont="1" applyBorder="1"/>
    <xf numFmtId="43" fontId="10" fillId="0" borderId="0" xfId="577" applyFont="1" applyAlignment="1">
      <alignment horizontal="centerContinuous"/>
    </xf>
    <xf numFmtId="43" fontId="10" fillId="0" borderId="0" xfId="577" applyFont="1" applyBorder="1" applyAlignment="1">
      <alignment horizontal="centerContinuous"/>
    </xf>
    <xf numFmtId="43" fontId="10" fillId="0" borderId="23" xfId="577" applyFont="1" applyBorder="1" applyAlignment="1">
      <alignment horizontal="center"/>
    </xf>
    <xf numFmtId="43" fontId="10" fillId="0" borderId="0" xfId="577" applyFont="1" applyBorder="1" applyAlignment="1">
      <alignment horizontal="center"/>
    </xf>
    <xf numFmtId="43" fontId="10" fillId="42" borderId="0" xfId="577" applyFont="1" applyFill="1"/>
    <xf numFmtId="43" fontId="10" fillId="0" borderId="0" xfId="577" quotePrefix="1" applyFont="1"/>
    <xf numFmtId="43" fontId="10" fillId="42" borderId="23" xfId="577" applyFont="1" applyFill="1" applyBorder="1"/>
    <xf numFmtId="43" fontId="10" fillId="0" borderId="23" xfId="577" applyFont="1" applyBorder="1"/>
    <xf numFmtId="43" fontId="10" fillId="0" borderId="0" xfId="577" quotePrefix="1" applyFont="1" applyAlignment="1">
      <alignment horizontal="left"/>
    </xf>
    <xf numFmtId="43" fontId="10" fillId="0" borderId="24" xfId="577" applyFont="1" applyBorder="1"/>
    <xf numFmtId="0" fontId="10" fillId="0" borderId="0" xfId="1155"/>
    <xf numFmtId="0" fontId="5" fillId="0" borderId="0" xfId="1155" applyFont="1" applyAlignment="1">
      <alignment horizontal="centerContinuous"/>
    </xf>
    <xf numFmtId="0" fontId="10" fillId="0" borderId="0" xfId="1155" applyAlignment="1">
      <alignment horizontal="centerContinuous"/>
    </xf>
    <xf numFmtId="0" fontId="57" fillId="0" borderId="0" xfId="1155" applyFont="1" applyAlignment="1">
      <alignment horizontal="centerContinuous"/>
    </xf>
    <xf numFmtId="15" fontId="5" fillId="0" borderId="0" xfId="1155" quotePrefix="1" applyNumberFormat="1" applyFont="1" applyAlignment="1">
      <alignment horizontal="centerContinuous"/>
    </xf>
    <xf numFmtId="15" fontId="2" fillId="0" borderId="0" xfId="1155" quotePrefix="1" applyNumberFormat="1" applyFont="1" applyAlignment="1">
      <alignment horizontal="centerContinuous"/>
    </xf>
    <xf numFmtId="0" fontId="2" fillId="0" borderId="0" xfId="1155" applyFont="1"/>
    <xf numFmtId="0" fontId="59" fillId="0" borderId="0" xfId="1155" applyFont="1"/>
    <xf numFmtId="0" fontId="59" fillId="0" borderId="0" xfId="1155" applyFont="1" applyBorder="1"/>
    <xf numFmtId="43" fontId="10" fillId="0" borderId="23" xfId="577" applyFont="1" applyBorder="1" applyAlignment="1">
      <alignment horizontal="centerContinuous"/>
    </xf>
    <xf numFmtId="43" fontId="10" fillId="0" borderId="0" xfId="577" applyFont="1" applyAlignment="1">
      <alignment horizontal="center"/>
    </xf>
    <xf numFmtId="0" fontId="10" fillId="0" borderId="0" xfId="1155" quotePrefix="1"/>
    <xf numFmtId="43" fontId="10" fillId="0" borderId="23" xfId="577" applyNumberFormat="1" applyFont="1" applyBorder="1"/>
    <xf numFmtId="43" fontId="10" fillId="0" borderId="23" xfId="577" applyNumberFormat="1" applyFont="1" applyBorder="1" applyAlignment="1">
      <alignment horizontal="right"/>
    </xf>
    <xf numFmtId="43" fontId="10" fillId="0" borderId="0" xfId="577" applyFont="1" applyAlignment="1">
      <alignment horizontal="right"/>
    </xf>
    <xf numFmtId="43" fontId="10" fillId="0" borderId="0" xfId="577" applyNumberFormat="1" applyFont="1"/>
    <xf numFmtId="0" fontId="10" fillId="0" borderId="0" xfId="1155" applyBorder="1"/>
    <xf numFmtId="43" fontId="10" fillId="0" borderId="0" xfId="577" applyNumberFormat="1" applyFont="1" applyAlignment="1">
      <alignment horizontal="right"/>
    </xf>
    <xf numFmtId="43" fontId="10" fillId="0" borderId="0" xfId="577" applyFont="1" applyBorder="1" applyAlignment="1">
      <alignment horizontal="right"/>
    </xf>
    <xf numFmtId="43" fontId="10" fillId="0" borderId="24" xfId="577" applyNumberFormat="1" applyFont="1" applyBorder="1"/>
    <xf numFmtId="0" fontId="2" fillId="0" borderId="0" xfId="1155" applyFont="1" applyAlignment="1">
      <alignment horizontal="centerContinuous"/>
    </xf>
    <xf numFmtId="0" fontId="10" fillId="0" borderId="0" xfId="1155" quotePrefix="1" applyAlignment="1">
      <alignment horizontal="left"/>
    </xf>
    <xf numFmtId="0" fontId="56" fillId="0" borderId="0" xfId="1154" applyFont="1"/>
    <xf numFmtId="0" fontId="10" fillId="0" borderId="0" xfId="1154"/>
    <xf numFmtId="0" fontId="5" fillId="0" borderId="0" xfId="1154" applyFont="1" applyAlignment="1">
      <alignment horizontal="centerContinuous"/>
    </xf>
    <xf numFmtId="0" fontId="10" fillId="0" borderId="0" xfId="1154" applyAlignment="1">
      <alignment horizontal="centerContinuous"/>
    </xf>
    <xf numFmtId="0" fontId="57" fillId="0" borderId="0" xfId="1154" applyFont="1" applyAlignment="1">
      <alignment horizontal="centerContinuous"/>
    </xf>
    <xf numFmtId="15" fontId="5" fillId="0" borderId="0" xfId="1154" quotePrefix="1" applyNumberFormat="1" applyFont="1" applyAlignment="1">
      <alignment horizontal="centerContinuous"/>
    </xf>
    <xf numFmtId="15" fontId="2" fillId="0" borderId="0" xfId="1154" quotePrefix="1" applyNumberFormat="1" applyFont="1" applyAlignment="1">
      <alignment horizontal="centerContinuous"/>
    </xf>
    <xf numFmtId="0" fontId="2" fillId="0" borderId="0" xfId="1154" applyFont="1"/>
    <xf numFmtId="0" fontId="59" fillId="0" borderId="0" xfId="1154" applyFont="1"/>
    <xf numFmtId="0" fontId="59" fillId="0" borderId="0" xfId="1154" applyFont="1" applyBorder="1"/>
    <xf numFmtId="0" fontId="10" fillId="0" borderId="0" xfId="1154" quotePrefix="1"/>
    <xf numFmtId="0" fontId="10" fillId="0" borderId="0" xfId="1154" applyBorder="1"/>
    <xf numFmtId="0" fontId="56" fillId="0" borderId="0" xfId="1153" applyFont="1"/>
    <xf numFmtId="0" fontId="10" fillId="0" borderId="0" xfId="1153"/>
    <xf numFmtId="0" fontId="5" fillId="0" borderId="0" xfId="1153" applyFont="1" applyAlignment="1">
      <alignment horizontal="centerContinuous"/>
    </xf>
    <xf numFmtId="0" fontId="10" fillId="0" borderId="0" xfId="1153" applyAlignment="1">
      <alignment horizontal="centerContinuous"/>
    </xf>
    <xf numFmtId="0" fontId="57" fillId="0" borderId="0" xfId="1153" applyFont="1" applyAlignment="1">
      <alignment horizontal="centerContinuous"/>
    </xf>
    <xf numFmtId="15" fontId="5" fillId="0" borderId="0" xfId="1153" quotePrefix="1" applyNumberFormat="1" applyFont="1" applyAlignment="1">
      <alignment horizontal="centerContinuous"/>
    </xf>
    <xf numFmtId="15" fontId="2" fillId="0" borderId="0" xfId="1153" quotePrefix="1" applyNumberFormat="1" applyFont="1" applyAlignment="1">
      <alignment horizontal="centerContinuous"/>
    </xf>
    <xf numFmtId="0" fontId="2" fillId="0" borderId="0" xfId="1153" applyFont="1"/>
    <xf numFmtId="0" fontId="59" fillId="0" borderId="0" xfId="1153" applyFont="1"/>
    <xf numFmtId="0" fontId="59" fillId="0" borderId="0" xfId="1153" applyFont="1" applyBorder="1"/>
    <xf numFmtId="0" fontId="10" fillId="0" borderId="0" xfId="1153" quotePrefix="1"/>
    <xf numFmtId="0" fontId="10" fillId="0" borderId="0" xfId="1153" applyBorder="1"/>
    <xf numFmtId="0" fontId="56" fillId="0" borderId="0" xfId="1152" applyFont="1"/>
    <xf numFmtId="0" fontId="10" fillId="0" borderId="0" xfId="1152"/>
    <xf numFmtId="0" fontId="5" fillId="0" borderId="0" xfId="1152" applyFont="1" applyAlignment="1">
      <alignment horizontal="centerContinuous"/>
    </xf>
    <xf numFmtId="0" fontId="10" fillId="0" borderId="0" xfId="1152" applyAlignment="1">
      <alignment horizontal="centerContinuous"/>
    </xf>
    <xf numFmtId="0" fontId="57" fillId="0" borderId="0" xfId="1152" applyFont="1" applyAlignment="1">
      <alignment horizontal="centerContinuous"/>
    </xf>
    <xf numFmtId="15" fontId="5" fillId="0" borderId="0" xfId="1152" quotePrefix="1" applyNumberFormat="1" applyFont="1" applyAlignment="1">
      <alignment horizontal="centerContinuous"/>
    </xf>
    <xf numFmtId="15" fontId="2" fillId="0" borderId="0" xfId="1152" quotePrefix="1" applyNumberFormat="1" applyFont="1" applyAlignment="1">
      <alignment horizontal="centerContinuous"/>
    </xf>
    <xf numFmtId="0" fontId="2" fillId="0" borderId="0" xfId="1152" applyFont="1"/>
    <xf numFmtId="0" fontId="59" fillId="0" borderId="0" xfId="1152" applyFont="1"/>
    <xf numFmtId="0" fontId="59" fillId="0" borderId="0" xfId="1152" applyFont="1" applyBorder="1"/>
    <xf numFmtId="0" fontId="10" fillId="0" borderId="0" xfId="1152" quotePrefix="1"/>
    <xf numFmtId="0" fontId="10" fillId="0" borderId="0" xfId="1152" applyBorder="1"/>
    <xf numFmtId="0" fontId="6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171" fontId="61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2" fillId="30" borderId="27" xfId="0" applyFont="1" applyFill="1" applyBorder="1" applyAlignment="1">
      <alignment horizontal="centerContinuous"/>
    </xf>
    <xf numFmtId="0" fontId="6" fillId="30" borderId="26" xfId="0" applyFont="1" applyFill="1" applyBorder="1" applyAlignment="1">
      <alignment horizontal="centerContinuous"/>
    </xf>
    <xf numFmtId="0" fontId="6" fillId="30" borderId="28" xfId="0" applyFont="1" applyFill="1" applyBorder="1" applyAlignment="1">
      <alignment horizontal="centerContinuous"/>
    </xf>
    <xf numFmtId="0" fontId="62" fillId="30" borderId="29" xfId="0" applyFont="1" applyFill="1" applyBorder="1" applyAlignment="1">
      <alignment horizontal="centerContinuous"/>
    </xf>
    <xf numFmtId="0" fontId="6" fillId="30" borderId="0" xfId="0" applyFont="1" applyFill="1" applyBorder="1" applyAlignment="1">
      <alignment horizontal="centerContinuous"/>
    </xf>
    <xf numFmtId="0" fontId="6" fillId="30" borderId="4" xfId="0" applyFont="1" applyFill="1" applyBorder="1" applyAlignment="1">
      <alignment horizontal="centerContinuous"/>
    </xf>
    <xf numFmtId="0" fontId="6" fillId="30" borderId="29" xfId="0" applyFont="1" applyFill="1" applyBorder="1"/>
    <xf numFmtId="0" fontId="6" fillId="30" borderId="0" xfId="0" applyFont="1" applyFill="1" applyBorder="1"/>
    <xf numFmtId="0" fontId="6" fillId="30" borderId="30" xfId="0" applyFont="1" applyFill="1" applyBorder="1" applyAlignment="1">
      <alignment horizontal="centerContinuous"/>
    </xf>
    <xf numFmtId="0" fontId="6" fillId="30" borderId="0" xfId="0" applyFont="1" applyFill="1" applyBorder="1" applyAlignment="1">
      <alignment horizontal="center"/>
    </xf>
    <xf numFmtId="0" fontId="6" fillId="30" borderId="4" xfId="0" applyFont="1" applyFill="1" applyBorder="1"/>
    <xf numFmtId="0" fontId="63" fillId="30" borderId="0" xfId="0" applyFont="1" applyFill="1" applyBorder="1" applyAlignment="1">
      <alignment horizontal="center"/>
    </xf>
    <xf numFmtId="172" fontId="6" fillId="30" borderId="0" xfId="0" applyNumberFormat="1" applyFont="1" applyFill="1" applyBorder="1" applyAlignment="1" applyProtection="1">
      <alignment horizontal="center"/>
    </xf>
    <xf numFmtId="165" fontId="6" fillId="30" borderId="0" xfId="1339" applyNumberFormat="1" applyFont="1" applyFill="1" applyBorder="1" applyProtection="1"/>
    <xf numFmtId="37" fontId="6" fillId="30" borderId="0" xfId="0" applyNumberFormat="1" applyFont="1" applyFill="1" applyBorder="1" applyProtection="1"/>
    <xf numFmtId="41" fontId="6" fillId="30" borderId="0" xfId="577" applyNumberFormat="1" applyFont="1" applyFill="1" applyBorder="1" applyAlignment="1" applyProtection="1">
      <alignment horizontal="center"/>
    </xf>
    <xf numFmtId="37" fontId="6" fillId="30" borderId="0" xfId="0" applyNumberFormat="1" applyFont="1" applyFill="1" applyBorder="1" applyAlignment="1" applyProtection="1">
      <alignment horizontal="center"/>
    </xf>
    <xf numFmtId="173" fontId="6" fillId="30" borderId="0" xfId="0" applyNumberFormat="1" applyFont="1" applyFill="1" applyBorder="1"/>
    <xf numFmtId="0" fontId="6" fillId="30" borderId="29" xfId="0" applyFont="1" applyFill="1" applyBorder="1" applyAlignment="1">
      <alignment horizontal="left"/>
    </xf>
    <xf numFmtId="173" fontId="6" fillId="30" borderId="0" xfId="0" applyNumberFormat="1" applyFont="1" applyFill="1" applyBorder="1" applyProtection="1"/>
    <xf numFmtId="0" fontId="6" fillId="0" borderId="29" xfId="0" applyFont="1" applyFill="1" applyBorder="1" applyAlignment="1">
      <alignment horizontal="left"/>
    </xf>
    <xf numFmtId="177" fontId="6" fillId="43" borderId="0" xfId="1339" applyNumberFormat="1" applyFont="1" applyFill="1" applyBorder="1" applyProtection="1"/>
    <xf numFmtId="43" fontId="6" fillId="30" borderId="0" xfId="577" applyFont="1" applyFill="1" applyBorder="1" applyProtection="1"/>
    <xf numFmtId="0" fontId="64" fillId="0" borderId="0" xfId="0" applyFont="1" applyFill="1" applyBorder="1"/>
    <xf numFmtId="174" fontId="6" fillId="30" borderId="0" xfId="0" applyNumberFormat="1" applyFont="1" applyFill="1" applyBorder="1" applyProtection="1"/>
    <xf numFmtId="37" fontId="6" fillId="30" borderId="23" xfId="0" applyNumberFormat="1" applyFont="1" applyFill="1" applyBorder="1" applyAlignment="1" applyProtection="1">
      <alignment horizontal="center"/>
    </xf>
    <xf numFmtId="37" fontId="6" fillId="30" borderId="23" xfId="0" applyNumberFormat="1" applyFont="1" applyFill="1" applyBorder="1" applyProtection="1"/>
    <xf numFmtId="0" fontId="65" fillId="30" borderId="0" xfId="0" applyFont="1" applyFill="1" applyBorder="1" applyAlignment="1">
      <alignment horizontal="left"/>
    </xf>
    <xf numFmtId="173" fontId="6" fillId="30" borderId="0" xfId="0" applyNumberFormat="1" applyFont="1" applyFill="1" applyBorder="1" applyAlignment="1" applyProtection="1">
      <alignment horizontal="center"/>
    </xf>
    <xf numFmtId="0" fontId="8" fillId="30" borderId="29" xfId="0" applyFont="1" applyFill="1" applyBorder="1"/>
    <xf numFmtId="37" fontId="6" fillId="30" borderId="23" xfId="0" applyNumberFormat="1" applyFont="1" applyFill="1" applyBorder="1" applyAlignment="1" applyProtection="1">
      <alignment horizontal="right"/>
    </xf>
    <xf numFmtId="165" fontId="61" fillId="30" borderId="31" xfId="1339" applyNumberFormat="1" applyFont="1" applyFill="1" applyBorder="1" applyProtection="1"/>
    <xf numFmtId="37" fontId="6" fillId="30" borderId="0" xfId="0" applyNumberFormat="1" applyFont="1" applyFill="1" applyBorder="1" applyAlignment="1" applyProtection="1">
      <alignment horizontal="left"/>
    </xf>
    <xf numFmtId="173" fontId="6" fillId="30" borderId="0" xfId="0" applyNumberFormat="1" applyFont="1" applyFill="1" applyBorder="1" applyAlignment="1" applyProtection="1">
      <alignment horizontal="right"/>
    </xf>
    <xf numFmtId="0" fontId="6" fillId="0" borderId="29" xfId="0" applyFont="1" applyFill="1" applyBorder="1"/>
    <xf numFmtId="43" fontId="6" fillId="30" borderId="0" xfId="577" applyFont="1" applyFill="1" applyBorder="1"/>
    <xf numFmtId="175" fontId="6" fillId="30" borderId="0" xfId="577" applyNumberFormat="1" applyFont="1" applyFill="1" applyBorder="1"/>
    <xf numFmtId="0" fontId="8" fillId="0" borderId="0" xfId="0" applyFont="1" applyFill="1"/>
    <xf numFmtId="43" fontId="6" fillId="30" borderId="23" xfId="577" applyFont="1" applyFill="1" applyBorder="1"/>
    <xf numFmtId="37" fontId="6" fillId="30" borderId="1" xfId="0" applyNumberFormat="1" applyFont="1" applyFill="1" applyBorder="1" applyProtection="1"/>
    <xf numFmtId="43" fontId="6" fillId="30" borderId="1" xfId="0" applyNumberFormat="1" applyFont="1" applyFill="1" applyBorder="1" applyProtection="1"/>
    <xf numFmtId="43" fontId="6" fillId="30" borderId="0" xfId="0" applyNumberFormat="1" applyFont="1" applyFill="1" applyBorder="1" applyAlignment="1" applyProtection="1">
      <alignment horizontal="center"/>
    </xf>
    <xf numFmtId="43" fontId="6" fillId="30" borderId="0" xfId="0" applyNumberFormat="1" applyFont="1" applyFill="1" applyBorder="1" applyProtection="1"/>
    <xf numFmtId="174" fontId="6" fillId="30" borderId="0" xfId="0" applyNumberFormat="1" applyFont="1" applyFill="1" applyBorder="1" applyAlignment="1" applyProtection="1">
      <alignment horizontal="left"/>
    </xf>
    <xf numFmtId="37" fontId="6" fillId="30" borderId="24" xfId="0" applyNumberFormat="1" applyFont="1" applyFill="1" applyBorder="1" applyProtection="1"/>
    <xf numFmtId="0" fontId="6" fillId="30" borderId="32" xfId="0" applyFont="1" applyFill="1" applyBorder="1"/>
    <xf numFmtId="0" fontId="6" fillId="30" borderId="23" xfId="0" applyFont="1" applyFill="1" applyBorder="1"/>
    <xf numFmtId="174" fontId="6" fillId="30" borderId="23" xfId="0" applyNumberFormat="1" applyFont="1" applyFill="1" applyBorder="1" applyAlignment="1" applyProtection="1">
      <alignment horizontal="left"/>
    </xf>
    <xf numFmtId="39" fontId="8" fillId="30" borderId="23" xfId="0" applyNumberFormat="1" applyFont="1" applyFill="1" applyBorder="1" applyProtection="1"/>
    <xf numFmtId="0" fontId="6" fillId="30" borderId="33" xfId="0" applyFont="1" applyFill="1" applyBorder="1"/>
    <xf numFmtId="174" fontId="6" fillId="0" borderId="0" xfId="0" applyNumberFormat="1" applyFont="1" applyFill="1" applyAlignment="1" applyProtection="1">
      <alignment horizontal="left"/>
    </xf>
    <xf numFmtId="37" fontId="6" fillId="0" borderId="0" xfId="0" applyNumberFormat="1" applyFont="1" applyFill="1" applyProtection="1"/>
    <xf numFmtId="39" fontId="8" fillId="0" borderId="0" xfId="0" applyNumberFormat="1" applyFont="1" applyFill="1" applyBorder="1" applyProtection="1"/>
    <xf numFmtId="0" fontId="62" fillId="0" borderId="27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centerContinuous"/>
    </xf>
    <xf numFmtId="0" fontId="6" fillId="0" borderId="28" xfId="0" applyFont="1" applyFill="1" applyBorder="1" applyAlignment="1">
      <alignment horizontal="centerContinuous"/>
    </xf>
    <xf numFmtId="0" fontId="6" fillId="0" borderId="0" xfId="0" applyFont="1" applyFill="1" applyBorder="1"/>
    <xf numFmtId="0" fontId="6" fillId="0" borderId="4" xfId="0" applyFont="1" applyFill="1" applyBorder="1"/>
    <xf numFmtId="0" fontId="6" fillId="0" borderId="30" xfId="0" applyFont="1" applyFill="1" applyBorder="1" applyAlignment="1">
      <alignment horizontal="centerContinuous"/>
    </xf>
    <xf numFmtId="0" fontId="0" fillId="0" borderId="29" xfId="0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Continuous"/>
    </xf>
    <xf numFmtId="0" fontId="66" fillId="0" borderId="0" xfId="0" applyFont="1" applyFill="1" applyBorder="1"/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/>
    <xf numFmtId="0" fontId="63" fillId="0" borderId="4" xfId="0" applyFont="1" applyFill="1" applyBorder="1" applyAlignment="1">
      <alignment horizontal="centerContinuous"/>
    </xf>
    <xf numFmtId="39" fontId="6" fillId="0" borderId="0" xfId="0" applyNumberFormat="1" applyFont="1" applyFill="1" applyBorder="1" applyProtection="1"/>
    <xf numFmtId="165" fontId="6" fillId="43" borderId="0" xfId="1339" applyNumberFormat="1" applyFont="1" applyFill="1" applyBorder="1"/>
    <xf numFmtId="166" fontId="6" fillId="43" borderId="0" xfId="577" applyNumberFormat="1" applyFont="1" applyFill="1" applyBorder="1"/>
    <xf numFmtId="37" fontId="6" fillId="0" borderId="0" xfId="0" applyNumberFormat="1" applyFont="1" applyFill="1" applyBorder="1" applyProtection="1"/>
    <xf numFmtId="43" fontId="6" fillId="0" borderId="0" xfId="0" applyNumberFormat="1" applyFont="1" applyFill="1" applyBorder="1" applyAlignment="1">
      <alignment horizontal="center"/>
    </xf>
    <xf numFmtId="0" fontId="54" fillId="0" borderId="0" xfId="0" applyFont="1" applyFill="1" applyBorder="1"/>
    <xf numFmtId="175" fontId="6" fillId="0" borderId="0" xfId="577" applyNumberFormat="1" applyFont="1" applyFill="1" applyBorder="1"/>
    <xf numFmtId="0" fontId="64" fillId="30" borderId="0" xfId="0" applyFont="1" applyFill="1" applyBorder="1"/>
    <xf numFmtId="165" fontId="6" fillId="0" borderId="0" xfId="1339" applyNumberFormat="1" applyFont="1" applyFill="1" applyBorder="1"/>
    <xf numFmtId="166" fontId="6" fillId="0" borderId="23" xfId="577" applyNumberFormat="1" applyFont="1" applyFill="1" applyBorder="1"/>
    <xf numFmtId="166" fontId="6" fillId="0" borderId="23" xfId="577" applyNumberFormat="1" applyFont="1" applyFill="1" applyBorder="1" applyProtection="1"/>
    <xf numFmtId="166" fontId="6" fillId="0" borderId="23" xfId="577" applyNumberFormat="1" applyFont="1" applyFill="1" applyBorder="1" applyAlignment="1">
      <alignment horizontal="center"/>
    </xf>
    <xf numFmtId="41" fontId="6" fillId="0" borderId="23" xfId="0" applyNumberFormat="1" applyFont="1" applyFill="1" applyBorder="1" applyProtection="1"/>
    <xf numFmtId="175" fontId="6" fillId="0" borderId="23" xfId="577" applyNumberFormat="1" applyFont="1" applyFill="1" applyBorder="1"/>
    <xf numFmtId="166" fontId="6" fillId="0" borderId="24" xfId="577" applyNumberFormat="1" applyFont="1" applyFill="1" applyBorder="1"/>
    <xf numFmtId="166" fontId="6" fillId="0" borderId="0" xfId="577" applyNumberFormat="1" applyFont="1" applyFill="1" applyBorder="1" applyAlignment="1">
      <alignment horizontal="center"/>
    </xf>
    <xf numFmtId="165" fontId="61" fillId="0" borderId="31" xfId="1339" applyNumberFormat="1" applyFont="1" applyFill="1" applyBorder="1"/>
    <xf numFmtId="0" fontId="6" fillId="0" borderId="32" xfId="0" applyFont="1" applyFill="1" applyBorder="1"/>
    <xf numFmtId="0" fontId="6" fillId="0" borderId="23" xfId="0" applyFont="1" applyFill="1" applyBorder="1"/>
    <xf numFmtId="0" fontId="6" fillId="0" borderId="33" xfId="0" applyFont="1" applyFill="1" applyBorder="1"/>
    <xf numFmtId="174" fontId="6" fillId="0" borderId="0" xfId="0" applyNumberFormat="1" applyFont="1" applyFill="1" applyProtection="1"/>
    <xf numFmtId="0" fontId="6" fillId="30" borderId="28" xfId="0" applyFont="1" applyFill="1" applyBorder="1"/>
    <xf numFmtId="0" fontId="0" fillId="30" borderId="29" xfId="0" applyFill="1" applyBorder="1"/>
    <xf numFmtId="165" fontId="63" fillId="0" borderId="0" xfId="1339" applyNumberFormat="1" applyFont="1" applyFill="1"/>
    <xf numFmtId="37" fontId="63" fillId="30" borderId="0" xfId="0" applyNumberFormat="1" applyFont="1" applyFill="1" applyBorder="1" applyAlignment="1" applyProtection="1">
      <alignment horizontal="center"/>
    </xf>
    <xf numFmtId="176" fontId="6" fillId="43" borderId="0" xfId="0" applyNumberFormat="1" applyFont="1" applyFill="1"/>
    <xf numFmtId="37" fontId="6" fillId="43" borderId="0" xfId="0" applyNumberFormat="1" applyFont="1" applyFill="1" applyBorder="1" applyProtection="1"/>
    <xf numFmtId="166" fontId="6" fillId="30" borderId="0" xfId="577" applyNumberFormat="1" applyFont="1" applyFill="1" applyBorder="1" applyProtection="1"/>
    <xf numFmtId="166" fontId="6" fillId="30" borderId="0" xfId="577" applyNumberFormat="1" applyFont="1" applyFill="1" applyBorder="1"/>
    <xf numFmtId="165" fontId="63" fillId="0" borderId="0" xfId="0" applyNumberFormat="1" applyFont="1" applyFill="1"/>
    <xf numFmtId="37" fontId="6" fillId="43" borderId="23" xfId="0" applyNumberFormat="1" applyFont="1" applyFill="1" applyBorder="1" applyProtection="1"/>
    <xf numFmtId="166" fontId="6" fillId="30" borderId="23" xfId="577" applyNumberFormat="1" applyFont="1" applyFill="1" applyBorder="1" applyProtection="1"/>
    <xf numFmtId="166" fontId="6" fillId="30" borderId="23" xfId="577" applyNumberFormat="1" applyFont="1" applyFill="1" applyBorder="1"/>
    <xf numFmtId="175" fontId="6" fillId="30" borderId="23" xfId="577" applyNumberFormat="1" applyFont="1" applyFill="1" applyBorder="1"/>
    <xf numFmtId="176" fontId="6" fillId="43" borderId="0" xfId="577" applyNumberFormat="1" applyFont="1" applyFill="1"/>
    <xf numFmtId="165" fontId="61" fillId="30" borderId="31" xfId="1339" applyNumberFormat="1" applyFont="1" applyFill="1" applyBorder="1"/>
    <xf numFmtId="174" fontId="6" fillId="30" borderId="23" xfId="0" applyNumberFormat="1" applyFont="1" applyFill="1" applyBorder="1" applyProtection="1"/>
    <xf numFmtId="10" fontId="6" fillId="0" borderId="31" xfId="0" applyNumberFormat="1" applyFont="1" applyFill="1" applyBorder="1"/>
    <xf numFmtId="0" fontId="6" fillId="0" borderId="0" xfId="0" applyFont="1" applyFill="1" applyAlignment="1">
      <alignment horizontal="left"/>
    </xf>
    <xf numFmtId="0" fontId="67" fillId="0" borderId="0" xfId="0" applyFont="1" applyFill="1"/>
    <xf numFmtId="37" fontId="67" fillId="0" borderId="0" xfId="0" applyNumberFormat="1" applyFont="1" applyFill="1" applyProtection="1"/>
    <xf numFmtId="0" fontId="0" fillId="0" borderId="0" xfId="0" applyFill="1"/>
    <xf numFmtId="0" fontId="6" fillId="0" borderId="0" xfId="0" applyFont="1" applyFill="1" applyAlignment="1">
      <alignment horizontal="right"/>
    </xf>
    <xf numFmtId="41" fontId="6" fillId="30" borderId="23" xfId="577" applyNumberFormat="1" applyFont="1" applyFill="1" applyBorder="1" applyAlignment="1" applyProtection="1">
      <alignment horizontal="center"/>
    </xf>
    <xf numFmtId="166" fontId="6" fillId="0" borderId="24" xfId="577" applyNumberFormat="1" applyFont="1" applyFill="1" applyBorder="1" applyAlignment="1">
      <alignment horizontal="center"/>
    </xf>
    <xf numFmtId="0" fontId="64" fillId="30" borderId="0" xfId="0" applyFont="1" applyFill="1" applyBorder="1" applyAlignment="1">
      <alignment horizontal="center"/>
    </xf>
    <xf numFmtId="0" fontId="64" fillId="30" borderId="0" xfId="0" applyFont="1" applyFill="1" applyBorder="1" applyAlignment="1">
      <alignment horizontal="left"/>
    </xf>
    <xf numFmtId="0" fontId="0" fillId="30" borderId="0" xfId="0" applyFill="1" applyBorder="1" applyAlignment="1">
      <alignment horizontal="center"/>
    </xf>
    <xf numFmtId="166" fontId="6" fillId="0" borderId="0" xfId="577" applyNumberFormat="1" applyFont="1" applyFill="1" applyBorder="1" applyProtection="1"/>
    <xf numFmtId="37" fontId="6" fillId="30" borderId="0" xfId="0" applyNumberFormat="1" applyFont="1" applyFill="1" applyBorder="1" applyAlignment="1" applyProtection="1">
      <alignment horizontal="right"/>
    </xf>
    <xf numFmtId="0" fontId="6" fillId="30" borderId="0" xfId="0" applyFont="1" applyFill="1" applyBorder="1" applyAlignment="1">
      <alignment horizontal="left"/>
    </xf>
    <xf numFmtId="173" fontId="6" fillId="30" borderId="0" xfId="0" applyNumberFormat="1" applyFont="1" applyFill="1" applyBorder="1" applyAlignment="1" applyProtection="1"/>
    <xf numFmtId="166" fontId="6" fillId="43" borderId="0" xfId="577" applyNumberFormat="1" applyFont="1" applyFill="1" applyBorder="1" applyProtection="1"/>
    <xf numFmtId="41" fontId="6" fillId="30" borderId="24" xfId="0" applyNumberFormat="1" applyFont="1" applyFill="1" applyBorder="1" applyAlignment="1" applyProtection="1">
      <alignment horizontal="center"/>
    </xf>
    <xf numFmtId="43" fontId="6" fillId="30" borderId="24" xfId="577" applyFont="1" applyFill="1" applyBorder="1"/>
    <xf numFmtId="37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/>
    <xf numFmtId="37" fontId="63" fillId="0" borderId="0" xfId="0" applyNumberFormat="1" applyFont="1" applyFill="1" applyAlignment="1" applyProtection="1">
      <alignment horizontal="left"/>
    </xf>
    <xf numFmtId="37" fontId="63" fillId="0" borderId="0" xfId="0" applyNumberFormat="1" applyFont="1" applyFill="1" applyAlignment="1" applyProtection="1">
      <alignment horizontal="center"/>
    </xf>
    <xf numFmtId="0" fontId="63" fillId="0" borderId="0" xfId="0" applyFont="1" applyFill="1" applyAlignment="1">
      <alignment horizontal="center"/>
    </xf>
    <xf numFmtId="0" fontId="6" fillId="0" borderId="0" xfId="0" quotePrefix="1" applyFont="1" applyFill="1"/>
    <xf numFmtId="37" fontId="4" fillId="0" borderId="0" xfId="0" applyNumberFormat="1" applyFont="1" applyFill="1" applyAlignment="1" applyProtection="1">
      <alignment horizontal="center"/>
    </xf>
    <xf numFmtId="165" fontId="6" fillId="0" borderId="0" xfId="1339" applyNumberFormat="1" applyFont="1" applyFill="1"/>
    <xf numFmtId="170" fontId="60" fillId="0" borderId="0" xfId="1149" applyFont="1" applyFill="1" applyAlignment="1">
      <alignment horizontal="centerContinuous"/>
    </xf>
    <xf numFmtId="170" fontId="6" fillId="0" borderId="0" xfId="1149" applyFont="1" applyFill="1" applyAlignment="1">
      <alignment horizontal="centerContinuous"/>
    </xf>
    <xf numFmtId="170" fontId="6" fillId="0" borderId="0" xfId="1149" applyFont="1" applyFill="1"/>
    <xf numFmtId="171" fontId="61" fillId="0" borderId="0" xfId="1149" applyNumberFormat="1" applyFont="1" applyFill="1" applyAlignment="1">
      <alignment horizontal="centerContinuous"/>
    </xf>
    <xf numFmtId="170" fontId="7" fillId="0" borderId="0" xfId="1149" applyFont="1" applyFill="1" applyAlignment="1">
      <alignment horizontal="centerContinuous"/>
    </xf>
    <xf numFmtId="170" fontId="62" fillId="30" borderId="27" xfId="1149" applyFont="1" applyFill="1" applyBorder="1" applyAlignment="1">
      <alignment horizontal="centerContinuous"/>
    </xf>
    <xf numFmtId="170" fontId="6" fillId="30" borderId="26" xfId="1149" applyFont="1" applyFill="1" applyBorder="1" applyAlignment="1">
      <alignment horizontal="centerContinuous"/>
    </xf>
    <xf numFmtId="170" fontId="6" fillId="30" borderId="28" xfId="1149" applyFont="1" applyFill="1" applyBorder="1" applyAlignment="1">
      <alignment horizontal="centerContinuous"/>
    </xf>
    <xf numFmtId="170" fontId="62" fillId="30" borderId="29" xfId="1149" applyFont="1" applyFill="1" applyBorder="1" applyAlignment="1">
      <alignment horizontal="centerContinuous"/>
    </xf>
    <xf numFmtId="170" fontId="6" fillId="30" borderId="0" xfId="1149" applyFont="1" applyFill="1" applyBorder="1" applyAlignment="1">
      <alignment horizontal="centerContinuous"/>
    </xf>
    <xf numFmtId="170" fontId="6" fillId="30" borderId="4" xfId="1149" applyFont="1" applyFill="1" applyBorder="1" applyAlignment="1">
      <alignment horizontal="centerContinuous"/>
    </xf>
    <xf numFmtId="170" fontId="6" fillId="30" borderId="29" xfId="1149" applyFont="1" applyFill="1" applyBorder="1"/>
    <xf numFmtId="170" fontId="6" fillId="30" borderId="0" xfId="1149" applyFont="1" applyFill="1" applyBorder="1"/>
    <xf numFmtId="170" fontId="6" fillId="30" borderId="30" xfId="1149" applyFont="1" applyFill="1" applyBorder="1" applyAlignment="1">
      <alignment horizontal="centerContinuous"/>
    </xf>
    <xf numFmtId="170" fontId="6" fillId="30" borderId="0" xfId="1149" applyFont="1" applyFill="1" applyBorder="1" applyAlignment="1">
      <alignment horizontal="center"/>
    </xf>
    <xf numFmtId="170" fontId="6" fillId="30" borderId="4" xfId="1149" applyFont="1" applyFill="1" applyBorder="1"/>
    <xf numFmtId="170" fontId="63" fillId="30" borderId="0" xfId="1149" applyFont="1" applyFill="1" applyBorder="1" applyAlignment="1">
      <alignment horizontal="center"/>
    </xf>
    <xf numFmtId="170" fontId="6" fillId="30" borderId="29" xfId="1149" applyFont="1" applyFill="1" applyBorder="1" applyAlignment="1">
      <alignment horizontal="left"/>
    </xf>
    <xf numFmtId="172" fontId="6" fillId="30" borderId="0" xfId="1149" applyNumberFormat="1" applyFont="1" applyFill="1" applyBorder="1" applyAlignment="1" applyProtection="1">
      <alignment horizontal="center"/>
    </xf>
    <xf numFmtId="37" fontId="6" fillId="30" borderId="0" xfId="1149" applyNumberFormat="1" applyFont="1" applyFill="1" applyBorder="1" applyProtection="1"/>
    <xf numFmtId="43" fontId="6" fillId="30" borderId="0" xfId="577" applyFont="1" applyFill="1" applyBorder="1" applyAlignment="1" applyProtection="1">
      <alignment horizontal="center"/>
    </xf>
    <xf numFmtId="37" fontId="6" fillId="30" borderId="0" xfId="1149" applyNumberFormat="1" applyFont="1" applyFill="1" applyBorder="1" applyAlignment="1" applyProtection="1">
      <alignment horizontal="center"/>
    </xf>
    <xf numFmtId="173" fontId="6" fillId="30" borderId="0" xfId="1149" applyNumberFormat="1" applyFont="1" applyFill="1" applyBorder="1" applyProtection="1"/>
    <xf numFmtId="173" fontId="6" fillId="30" borderId="0" xfId="1149" applyNumberFormat="1" applyFont="1" applyFill="1" applyBorder="1"/>
    <xf numFmtId="165" fontId="6" fillId="43" borderId="0" xfId="1339" applyNumberFormat="1" applyFont="1" applyFill="1" applyBorder="1" applyProtection="1"/>
    <xf numFmtId="170" fontId="64" fillId="30" borderId="0" xfId="1149" applyFont="1" applyFill="1" applyBorder="1" applyAlignment="1">
      <alignment horizontal="center"/>
    </xf>
    <xf numFmtId="170" fontId="64" fillId="30" borderId="0" xfId="1149" applyFont="1" applyFill="1" applyBorder="1" applyAlignment="1">
      <alignment horizontal="left"/>
    </xf>
    <xf numFmtId="174" fontId="6" fillId="30" borderId="0" xfId="1149" applyNumberFormat="1" applyFont="1" applyFill="1" applyBorder="1" applyProtection="1"/>
    <xf numFmtId="37" fontId="6" fillId="30" borderId="0" xfId="1149" applyNumberFormat="1" applyFont="1" applyFill="1" applyBorder="1" applyAlignment="1" applyProtection="1">
      <alignment horizontal="left"/>
    </xf>
    <xf numFmtId="170" fontId="65" fillId="30" borderId="0" xfId="1149" applyFont="1" applyFill="1" applyBorder="1" applyAlignment="1">
      <alignment horizontal="left"/>
    </xf>
    <xf numFmtId="173" fontId="6" fillId="30" borderId="0" xfId="1149" applyNumberFormat="1" applyFont="1" applyFill="1" applyBorder="1" applyAlignment="1" applyProtection="1">
      <alignment horizontal="right"/>
    </xf>
    <xf numFmtId="170" fontId="54" fillId="30" borderId="0" xfId="1149" applyFill="1" applyBorder="1" applyAlignment="1">
      <alignment horizontal="center"/>
    </xf>
    <xf numFmtId="37" fontId="6" fillId="30" borderId="0" xfId="1149" applyNumberFormat="1" applyFont="1" applyFill="1" applyBorder="1" applyAlignment="1" applyProtection="1">
      <alignment horizontal="right"/>
    </xf>
    <xf numFmtId="170" fontId="6" fillId="30" borderId="0" xfId="1149" applyFont="1" applyFill="1" applyBorder="1" applyAlignment="1">
      <alignment horizontal="left"/>
    </xf>
    <xf numFmtId="173" fontId="6" fillId="30" borderId="0" xfId="1149" applyNumberFormat="1" applyFont="1" applyFill="1" applyBorder="1" applyAlignment="1" applyProtection="1"/>
    <xf numFmtId="37" fontId="6" fillId="43" borderId="0" xfId="1149" applyNumberFormat="1" applyFont="1" applyFill="1" applyBorder="1" applyProtection="1"/>
    <xf numFmtId="10" fontId="6" fillId="30" borderId="0" xfId="1339" applyNumberFormat="1" applyFont="1" applyFill="1" applyBorder="1" applyProtection="1"/>
    <xf numFmtId="37" fontId="6" fillId="30" borderId="23" xfId="1149" applyNumberFormat="1" applyFont="1" applyFill="1" applyBorder="1" applyProtection="1"/>
    <xf numFmtId="174" fontId="6" fillId="30" borderId="0" xfId="1149" applyNumberFormat="1" applyFont="1" applyFill="1" applyBorder="1" applyAlignment="1" applyProtection="1">
      <alignment horizontal="left"/>
    </xf>
    <xf numFmtId="37" fontId="6" fillId="30" borderId="24" xfId="1149" applyNumberFormat="1" applyFont="1" applyFill="1" applyBorder="1" applyProtection="1"/>
    <xf numFmtId="41" fontId="6" fillId="30" borderId="24" xfId="1149" applyNumberFormat="1" applyFont="1" applyFill="1" applyBorder="1" applyAlignment="1" applyProtection="1">
      <alignment horizontal="center"/>
    </xf>
    <xf numFmtId="170" fontId="6" fillId="30" borderId="32" xfId="1149" applyFont="1" applyFill="1" applyBorder="1"/>
    <xf numFmtId="170" fontId="6" fillId="30" borderId="23" xfId="1149" applyFont="1" applyFill="1" applyBorder="1"/>
    <xf numFmtId="174" fontId="6" fillId="30" borderId="23" xfId="1149" applyNumberFormat="1" applyFont="1" applyFill="1" applyBorder="1" applyAlignment="1" applyProtection="1">
      <alignment horizontal="left"/>
    </xf>
    <xf numFmtId="39" fontId="8" fillId="30" borderId="23" xfId="1149" applyNumberFormat="1" applyFont="1" applyFill="1" applyBorder="1" applyProtection="1"/>
    <xf numFmtId="170" fontId="6" fillId="30" borderId="33" xfId="1149" applyFont="1" applyFill="1" applyBorder="1"/>
    <xf numFmtId="174" fontId="6" fillId="0" borderId="0" xfId="1149" applyNumberFormat="1" applyFont="1" applyFill="1" applyAlignment="1" applyProtection="1">
      <alignment horizontal="left"/>
    </xf>
    <xf numFmtId="37" fontId="6" fillId="0" borderId="0" xfId="1149" applyNumberFormat="1" applyFont="1" applyFill="1" applyProtection="1"/>
    <xf numFmtId="39" fontId="8" fillId="0" borderId="0" xfId="1149" applyNumberFormat="1" applyFont="1" applyFill="1" applyBorder="1" applyProtection="1"/>
    <xf numFmtId="170" fontId="54" fillId="30" borderId="29" xfId="1149" applyFill="1" applyBorder="1"/>
    <xf numFmtId="170" fontId="54" fillId="30" borderId="0" xfId="1149" applyFill="1" applyBorder="1"/>
    <xf numFmtId="170" fontId="66" fillId="30" borderId="0" xfId="1149" applyFont="1" applyFill="1" applyBorder="1"/>
    <xf numFmtId="170" fontId="63" fillId="30" borderId="0" xfId="1149" applyFont="1" applyFill="1" applyBorder="1"/>
    <xf numFmtId="170" fontId="63" fillId="30" borderId="0" xfId="1149" applyFont="1" applyFill="1" applyBorder="1" applyAlignment="1">
      <alignment horizontal="centerContinuous"/>
    </xf>
    <xf numFmtId="170" fontId="63" fillId="30" borderId="4" xfId="1149" applyFont="1" applyFill="1" applyBorder="1" applyAlignment="1">
      <alignment horizontal="centerContinuous"/>
    </xf>
    <xf numFmtId="10" fontId="6" fillId="30" borderId="0" xfId="1339" applyNumberFormat="1" applyFont="1" applyFill="1" applyBorder="1"/>
    <xf numFmtId="166" fontId="6" fillId="30" borderId="0" xfId="577" applyNumberFormat="1" applyFont="1" applyFill="1" applyBorder="1" applyAlignment="1">
      <alignment horizontal="center"/>
    </xf>
    <xf numFmtId="37" fontId="65" fillId="30" borderId="0" xfId="1149" applyNumberFormat="1" applyFont="1" applyFill="1" applyBorder="1" applyAlignment="1" applyProtection="1">
      <alignment horizontal="center"/>
    </xf>
    <xf numFmtId="43" fontId="6" fillId="30" borderId="0" xfId="577" applyFont="1" applyFill="1" applyBorder="1" applyAlignment="1">
      <alignment horizontal="center"/>
    </xf>
    <xf numFmtId="166" fontId="6" fillId="30" borderId="23" xfId="577" applyNumberFormat="1" applyFont="1" applyFill="1" applyBorder="1" applyAlignment="1">
      <alignment horizontal="center"/>
    </xf>
    <xf numFmtId="43" fontId="6" fillId="30" borderId="23" xfId="577" applyFont="1" applyFill="1" applyBorder="1" applyAlignment="1">
      <alignment horizontal="center"/>
    </xf>
    <xf numFmtId="170" fontId="54" fillId="30" borderId="0" xfId="1149" applyFont="1" applyFill="1" applyBorder="1"/>
    <xf numFmtId="166" fontId="6" fillId="30" borderId="24" xfId="577" applyNumberFormat="1" applyFont="1" applyFill="1" applyBorder="1"/>
    <xf numFmtId="170" fontId="6" fillId="30" borderId="24" xfId="1149" applyFont="1" applyFill="1" applyBorder="1" applyAlignment="1">
      <alignment horizontal="center"/>
    </xf>
    <xf numFmtId="170" fontId="62" fillId="0" borderId="27" xfId="1149" applyFont="1" applyFill="1" applyBorder="1" applyAlignment="1">
      <alignment horizontal="centerContinuous"/>
    </xf>
    <xf numFmtId="170" fontId="6" fillId="0" borderId="26" xfId="1149" applyFont="1" applyFill="1" applyBorder="1" applyAlignment="1">
      <alignment horizontal="centerContinuous"/>
    </xf>
    <xf numFmtId="170" fontId="6" fillId="0" borderId="28" xfId="1149" applyFont="1" applyFill="1" applyBorder="1" applyAlignment="1">
      <alignment horizontal="centerContinuous"/>
    </xf>
    <xf numFmtId="170" fontId="6" fillId="0" borderId="29" xfId="1149" applyFont="1" applyFill="1" applyBorder="1"/>
    <xf numFmtId="170" fontId="6" fillId="0" borderId="0" xfId="1149" applyFont="1" applyFill="1" applyBorder="1"/>
    <xf numFmtId="170" fontId="6" fillId="0" borderId="4" xfId="1149" applyFont="1" applyFill="1" applyBorder="1"/>
    <xf numFmtId="170" fontId="6" fillId="0" borderId="30" xfId="1149" applyFont="1" applyFill="1" applyBorder="1" applyAlignment="1">
      <alignment horizontal="centerContinuous"/>
    </xf>
    <xf numFmtId="170" fontId="54" fillId="0" borderId="29" xfId="1149" applyFill="1" applyBorder="1"/>
    <xf numFmtId="170" fontId="54" fillId="0" borderId="0" xfId="1149" applyFill="1" applyBorder="1"/>
    <xf numFmtId="170" fontId="6" fillId="0" borderId="0" xfId="1149" applyFont="1" applyFill="1" applyBorder="1" applyAlignment="1">
      <alignment horizontal="center"/>
    </xf>
    <xf numFmtId="170" fontId="6" fillId="0" borderId="4" xfId="1149" applyFont="1" applyFill="1" applyBorder="1" applyAlignment="1">
      <alignment horizontal="centerContinuous"/>
    </xf>
    <xf numFmtId="170" fontId="66" fillId="0" borderId="0" xfId="1149" applyFont="1" applyFill="1" applyBorder="1"/>
    <xf numFmtId="170" fontId="63" fillId="0" borderId="0" xfId="1149" applyFont="1" applyFill="1" applyBorder="1" applyAlignment="1">
      <alignment horizontal="center"/>
    </xf>
    <xf numFmtId="170" fontId="63" fillId="0" borderId="0" xfId="1149" applyFont="1" applyFill="1" applyBorder="1"/>
    <xf numFmtId="170" fontId="63" fillId="0" borderId="4" xfId="1149" applyFont="1" applyFill="1" applyBorder="1" applyAlignment="1">
      <alignment horizontal="centerContinuous"/>
    </xf>
    <xf numFmtId="39" fontId="6" fillId="0" borderId="0" xfId="1149" applyNumberFormat="1" applyFont="1" applyFill="1" applyBorder="1" applyProtection="1"/>
    <xf numFmtId="37" fontId="6" fillId="0" borderId="0" xfId="1149" applyNumberFormat="1" applyFont="1" applyFill="1" applyBorder="1" applyProtection="1"/>
    <xf numFmtId="166" fontId="6" fillId="0" borderId="0" xfId="577" applyNumberFormat="1" applyFont="1" applyFill="1" applyBorder="1"/>
    <xf numFmtId="170" fontId="54" fillId="0" borderId="0" xfId="1149" applyFont="1" applyFill="1" applyBorder="1"/>
    <xf numFmtId="170" fontId="6" fillId="0" borderId="23" xfId="1149" applyFont="1" applyFill="1" applyBorder="1" applyAlignment="1">
      <alignment horizontal="center"/>
    </xf>
    <xf numFmtId="41" fontId="6" fillId="0" borderId="23" xfId="1149" applyNumberFormat="1" applyFont="1" applyFill="1" applyBorder="1" applyProtection="1"/>
    <xf numFmtId="175" fontId="68" fillId="0" borderId="23" xfId="1149" applyNumberFormat="1" applyFont="1" applyFill="1" applyBorder="1" applyProtection="1"/>
    <xf numFmtId="170" fontId="6" fillId="0" borderId="24" xfId="1149" applyFont="1" applyFill="1" applyBorder="1" applyAlignment="1">
      <alignment horizontal="center"/>
    </xf>
    <xf numFmtId="170" fontId="6" fillId="0" borderId="32" xfId="1149" applyFont="1" applyFill="1" applyBorder="1"/>
    <xf numFmtId="170" fontId="6" fillId="0" borderId="23" xfId="1149" applyFont="1" applyFill="1" applyBorder="1"/>
    <xf numFmtId="170" fontId="6" fillId="0" borderId="33" xfId="1149" applyFont="1" applyFill="1" applyBorder="1"/>
    <xf numFmtId="174" fontId="6" fillId="0" borderId="0" xfId="1149" applyNumberFormat="1" applyFont="1" applyFill="1" applyProtection="1"/>
    <xf numFmtId="170" fontId="6" fillId="30" borderId="28" xfId="1149" applyFont="1" applyFill="1" applyBorder="1"/>
    <xf numFmtId="37" fontId="63" fillId="30" borderId="0" xfId="1149" applyNumberFormat="1" applyFont="1" applyFill="1" applyBorder="1" applyAlignment="1" applyProtection="1">
      <alignment horizontal="center"/>
    </xf>
    <xf numFmtId="176" fontId="6" fillId="43" borderId="0" xfId="1149" applyNumberFormat="1" applyFont="1" applyFill="1"/>
    <xf numFmtId="165" fontId="63" fillId="0" borderId="0" xfId="1149" applyNumberFormat="1" applyFont="1" applyFill="1"/>
    <xf numFmtId="37" fontId="6" fillId="43" borderId="23" xfId="1149" applyNumberFormat="1" applyFont="1" applyFill="1" applyBorder="1" applyProtection="1"/>
    <xf numFmtId="174" fontId="6" fillId="30" borderId="23" xfId="1149" applyNumberFormat="1" applyFont="1" applyFill="1" applyBorder="1" applyProtection="1"/>
    <xf numFmtId="170" fontId="6" fillId="0" borderId="0" xfId="1149" applyFont="1" applyFill="1" applyAlignment="1">
      <alignment horizontal="left"/>
    </xf>
    <xf numFmtId="170" fontId="6" fillId="0" borderId="0" xfId="1149" applyFont="1" applyFill="1" applyAlignment="1">
      <alignment horizontal="center"/>
    </xf>
    <xf numFmtId="170" fontId="63" fillId="0" borderId="0" xfId="1149" applyFont="1" applyFill="1" applyAlignment="1">
      <alignment horizontal="left"/>
    </xf>
    <xf numFmtId="170" fontId="63" fillId="0" borderId="0" xfId="1149" applyFont="1" applyFill="1" applyAlignment="1"/>
    <xf numFmtId="37" fontId="63" fillId="0" borderId="0" xfId="1149" applyNumberFormat="1" applyFont="1" applyFill="1" applyAlignment="1" applyProtection="1">
      <alignment horizontal="left"/>
    </xf>
    <xf numFmtId="37" fontId="63" fillId="0" borderId="0" xfId="1149" applyNumberFormat="1" applyFont="1" applyFill="1" applyAlignment="1" applyProtection="1">
      <alignment horizontal="center"/>
    </xf>
    <xf numFmtId="170" fontId="63" fillId="0" borderId="0" xfId="1149" applyFont="1" applyFill="1" applyAlignment="1">
      <alignment horizontal="center"/>
    </xf>
    <xf numFmtId="170" fontId="6" fillId="0" borderId="0" xfId="1149" quotePrefix="1" applyFont="1" applyFill="1"/>
    <xf numFmtId="170" fontId="6" fillId="0" borderId="0" xfId="1149" applyFont="1" applyFill="1" applyAlignment="1">
      <alignment horizontal="right"/>
    </xf>
    <xf numFmtId="37" fontId="4" fillId="0" borderId="0" xfId="1149" applyNumberFormat="1" applyFont="1" applyFill="1" applyAlignment="1" applyProtection="1">
      <alignment horizontal="center"/>
    </xf>
    <xf numFmtId="37" fontId="63" fillId="0" borderId="0" xfId="1149" applyNumberFormat="1" applyFont="1" applyFill="1" applyProtection="1"/>
    <xf numFmtId="170" fontId="67" fillId="0" borderId="0" xfId="1149" applyFont="1" applyFill="1"/>
    <xf numFmtId="37" fontId="67" fillId="0" borderId="0" xfId="1149" applyNumberFormat="1" applyFont="1" applyFill="1" applyProtection="1"/>
    <xf numFmtId="170" fontId="54" fillId="0" borderId="0" xfId="1149" applyFill="1"/>
    <xf numFmtId="0" fontId="4" fillId="0" borderId="0" xfId="1157" applyFill="1"/>
    <xf numFmtId="0" fontId="0" fillId="0" borderId="0" xfId="0" applyNumberFormat="1"/>
    <xf numFmtId="0" fontId="4" fillId="0" borderId="0" xfId="1157" applyNumberFormat="1" applyFill="1"/>
    <xf numFmtId="0" fontId="17" fillId="0" borderId="34" xfId="1157" applyFont="1" applyFill="1" applyBorder="1" applyAlignment="1">
      <alignment horizontal="left" vertical="top"/>
    </xf>
    <xf numFmtId="0" fontId="69" fillId="0" borderId="35" xfId="1157" applyFont="1" applyFill="1" applyBorder="1" applyAlignment="1">
      <alignment horizontal="right" vertical="top"/>
    </xf>
    <xf numFmtId="0" fontId="17" fillId="0" borderId="34" xfId="1157" applyFont="1" applyFill="1" applyBorder="1" applyAlignment="1">
      <alignment horizontal="center" vertical="top"/>
    </xf>
    <xf numFmtId="0" fontId="17" fillId="0" borderId="36" xfId="1157" applyFont="1" applyFill="1" applyBorder="1" applyAlignment="1">
      <alignment horizontal="center" vertical="top"/>
    </xf>
    <xf numFmtId="0" fontId="17" fillId="0" borderId="37" xfId="1157" applyFont="1" applyFill="1" applyBorder="1" applyAlignment="1">
      <alignment horizontal="center" vertical="top"/>
    </xf>
    <xf numFmtId="0" fontId="17" fillId="0" borderId="38" xfId="1157" applyFont="1" applyFill="1" applyBorder="1" applyAlignment="1">
      <alignment horizontal="center" vertical="top"/>
    </xf>
    <xf numFmtId="0" fontId="69" fillId="0" borderId="39" xfId="1157" applyFont="1" applyFill="1" applyBorder="1" applyAlignment="1">
      <alignment horizontal="right" vertical="top"/>
    </xf>
    <xf numFmtId="0" fontId="69" fillId="0" borderId="40" xfId="1157" applyFont="1" applyFill="1" applyBorder="1" applyAlignment="1">
      <alignment horizontal="right" vertical="top"/>
    </xf>
    <xf numFmtId="0" fontId="17" fillId="0" borderId="34" xfId="1157" applyFont="1" applyFill="1" applyBorder="1" applyAlignment="1">
      <alignment horizontal="left" vertical="top" wrapText="1"/>
    </xf>
    <xf numFmtId="0" fontId="17" fillId="0" borderId="34" xfId="1157" applyFont="1" applyFill="1" applyBorder="1" applyAlignment="1">
      <alignment horizontal="right" vertical="top"/>
    </xf>
    <xf numFmtId="0" fontId="69" fillId="0" borderId="34" xfId="1157" applyFont="1" applyFill="1" applyBorder="1" applyAlignment="1">
      <alignment horizontal="right" vertical="top"/>
    </xf>
    <xf numFmtId="178" fontId="15" fillId="0" borderId="34" xfId="1157" applyNumberFormat="1" applyFont="1" applyFill="1" applyBorder="1" applyAlignment="1">
      <alignment horizontal="right" vertical="top"/>
    </xf>
    <xf numFmtId="0" fontId="5" fillId="0" borderId="0" xfId="1152" applyFont="1"/>
    <xf numFmtId="0" fontId="10" fillId="0" borderId="23" xfId="1152" applyBorder="1" applyAlignment="1">
      <alignment horizontal="centerContinuous"/>
    </xf>
    <xf numFmtId="0" fontId="10" fillId="0" borderId="0" xfId="1152" applyAlignment="1">
      <alignment horizontal="center"/>
    </xf>
    <xf numFmtId="0" fontId="10" fillId="0" borderId="23" xfId="1152" applyBorder="1" applyAlignment="1">
      <alignment horizontal="center"/>
    </xf>
    <xf numFmtId="0" fontId="5" fillId="0" borderId="0" xfId="1153" applyFont="1"/>
    <xf numFmtId="0" fontId="10" fillId="0" borderId="23" xfId="1153" applyBorder="1" applyAlignment="1">
      <alignment horizontal="centerContinuous"/>
    </xf>
    <xf numFmtId="0" fontId="10" fillId="0" borderId="0" xfId="1153" applyAlignment="1">
      <alignment horizontal="center"/>
    </xf>
    <xf numFmtId="0" fontId="10" fillId="0" borderId="23" xfId="1153" applyBorder="1" applyAlignment="1">
      <alignment horizontal="center"/>
    </xf>
    <xf numFmtId="0" fontId="5" fillId="0" borderId="0" xfId="1154" applyFont="1"/>
    <xf numFmtId="0" fontId="10" fillId="0" borderId="23" xfId="1154" applyBorder="1" applyAlignment="1">
      <alignment horizontal="centerContinuous"/>
    </xf>
    <xf numFmtId="0" fontId="10" fillId="0" borderId="0" xfId="1154" applyAlignment="1">
      <alignment horizontal="center"/>
    </xf>
    <xf numFmtId="0" fontId="10" fillId="0" borderId="23" xfId="1154" applyBorder="1" applyAlignment="1">
      <alignment horizontal="center"/>
    </xf>
    <xf numFmtId="0" fontId="5" fillId="0" borderId="0" xfId="1155" applyFont="1"/>
    <xf numFmtId="0" fontId="10" fillId="0" borderId="23" xfId="1155" applyBorder="1" applyAlignment="1">
      <alignment horizontal="centerContinuous"/>
    </xf>
    <xf numFmtId="0" fontId="10" fillId="0" borderId="0" xfId="1155" applyAlignment="1">
      <alignment horizontal="center"/>
    </xf>
    <xf numFmtId="0" fontId="10" fillId="0" borderId="23" xfId="1155" applyBorder="1" applyAlignment="1">
      <alignment horizontal="center"/>
    </xf>
    <xf numFmtId="43" fontId="1" fillId="0" borderId="0" xfId="577"/>
    <xf numFmtId="38" fontId="70" fillId="0" borderId="0" xfId="0" applyNumberFormat="1" applyFont="1"/>
    <xf numFmtId="38" fontId="0" fillId="0" borderId="0" xfId="0" applyNumberFormat="1"/>
    <xf numFmtId="38" fontId="70" fillId="0" borderId="23" xfId="0" applyNumberFormat="1" applyFont="1" applyBorder="1"/>
    <xf numFmtId="167" fontId="70" fillId="0" borderId="0" xfId="0" applyNumberFormat="1" applyFont="1" applyFill="1"/>
    <xf numFmtId="38" fontId="70" fillId="0" borderId="0" xfId="0" applyNumberFormat="1" applyFont="1" applyFill="1"/>
    <xf numFmtId="38" fontId="70" fillId="0" borderId="23" xfId="0" applyNumberFormat="1" applyFont="1" applyFill="1" applyBorder="1"/>
    <xf numFmtId="0" fontId="17" fillId="0" borderId="34" xfId="0" applyFont="1" applyFill="1" applyBorder="1" applyAlignment="1">
      <alignment horizontal="left" vertical="top"/>
    </xf>
    <xf numFmtId="0" fontId="69" fillId="0" borderId="35" xfId="0" applyFont="1" applyFill="1" applyBorder="1" applyAlignment="1">
      <alignment horizontal="right" vertical="top"/>
    </xf>
    <xf numFmtId="0" fontId="17" fillId="0" borderId="34" xfId="0" applyFont="1" applyFill="1" applyBorder="1" applyAlignment="1">
      <alignment horizontal="center" vertical="top"/>
    </xf>
    <xf numFmtId="0" fontId="17" fillId="0" borderId="36" xfId="0" applyFont="1" applyFill="1" applyBorder="1" applyAlignment="1">
      <alignment horizontal="center" vertical="top"/>
    </xf>
    <xf numFmtId="0" fontId="17" fillId="0" borderId="37" xfId="0" applyFont="1" applyFill="1" applyBorder="1" applyAlignment="1">
      <alignment horizontal="center" vertical="top"/>
    </xf>
    <xf numFmtId="0" fontId="17" fillId="0" borderId="38" xfId="0" applyFont="1" applyFill="1" applyBorder="1" applyAlignment="1">
      <alignment horizontal="center" vertical="top"/>
    </xf>
    <xf numFmtId="0" fontId="69" fillId="0" borderId="39" xfId="0" applyFont="1" applyFill="1" applyBorder="1" applyAlignment="1">
      <alignment horizontal="right" vertical="top"/>
    </xf>
    <xf numFmtId="0" fontId="69" fillId="0" borderId="40" xfId="0" applyFont="1" applyFill="1" applyBorder="1" applyAlignment="1">
      <alignment horizontal="right" vertical="top"/>
    </xf>
    <xf numFmtId="0" fontId="17" fillId="0" borderId="34" xfId="0" applyFont="1" applyFill="1" applyBorder="1" applyAlignment="1">
      <alignment horizontal="left" vertical="top" wrapText="1"/>
    </xf>
    <xf numFmtId="0" fontId="17" fillId="0" borderId="34" xfId="0" applyFont="1" applyFill="1" applyBorder="1" applyAlignment="1">
      <alignment horizontal="right" vertical="top"/>
    </xf>
    <xf numFmtId="0" fontId="69" fillId="0" borderId="34" xfId="0" applyFont="1" applyFill="1" applyBorder="1" applyAlignment="1">
      <alignment horizontal="right" vertical="top"/>
    </xf>
    <xf numFmtId="178" fontId="15" fillId="0" borderId="34" xfId="0" applyNumberFormat="1" applyFont="1" applyFill="1" applyBorder="1" applyAlignment="1">
      <alignment horizontal="right" vertical="top"/>
    </xf>
    <xf numFmtId="0" fontId="5" fillId="0" borderId="0" xfId="1156" applyFont="1" applyAlignment="1">
      <alignment horizontal="centerContinuous"/>
    </xf>
    <xf numFmtId="0" fontId="10" fillId="0" borderId="0" xfId="1156" applyAlignment="1">
      <alignment horizontal="centerContinuous"/>
    </xf>
    <xf numFmtId="0" fontId="10" fillId="0" borderId="0" xfId="1156"/>
    <xf numFmtId="0" fontId="57" fillId="0" borderId="0" xfId="1156" applyFont="1" applyAlignment="1">
      <alignment horizontal="centerContinuous"/>
    </xf>
    <xf numFmtId="0" fontId="2" fillId="0" borderId="0" xfId="1156" applyFont="1" applyAlignment="1">
      <alignment horizontal="centerContinuous"/>
    </xf>
    <xf numFmtId="0" fontId="2" fillId="0" borderId="0" xfId="1156" applyFont="1"/>
    <xf numFmtId="0" fontId="10" fillId="0" borderId="0" xfId="1156" quotePrefix="1"/>
    <xf numFmtId="0" fontId="10" fillId="0" borderId="0" xfId="1156" quotePrefix="1" applyAlignment="1">
      <alignment horizontal="left"/>
    </xf>
    <xf numFmtId="15" fontId="10" fillId="0" borderId="0" xfId="577" quotePrefix="1" applyNumberFormat="1" applyFont="1" applyAlignment="1">
      <alignment horizontal="right"/>
    </xf>
    <xf numFmtId="15" fontId="5" fillId="0" borderId="0" xfId="1156" quotePrefix="1" applyNumberFormat="1" applyFont="1" applyAlignment="1">
      <alignment horizontal="centerContinuous"/>
    </xf>
    <xf numFmtId="15" fontId="2" fillId="0" borderId="0" xfId="1156" quotePrefix="1" applyNumberFormat="1" applyFont="1" applyAlignment="1">
      <alignment horizontal="centerContinuous"/>
    </xf>
    <xf numFmtId="0" fontId="10" fillId="0" borderId="0" xfId="1156" applyBorder="1"/>
    <xf numFmtId="43" fontId="2" fillId="0" borderId="0" xfId="577" quotePrefix="1" applyNumberFormat="1" applyFont="1" applyAlignment="1">
      <alignment horizontal="right"/>
    </xf>
    <xf numFmtId="43" fontId="10" fillId="42" borderId="0" xfId="577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1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166" fontId="1" fillId="0" borderId="0" xfId="577" applyNumberFormat="1" applyFont="1"/>
    <xf numFmtId="10" fontId="1" fillId="0" borderId="0" xfId="1339" applyNumberFormat="1" applyFont="1"/>
    <xf numFmtId="10" fontId="1" fillId="0" borderId="0" xfId="0" applyNumberFormat="1" applyFont="1"/>
    <xf numFmtId="10" fontId="1" fillId="0" borderId="23" xfId="1339" applyNumberFormat="1" applyFont="1" applyBorder="1"/>
    <xf numFmtId="166" fontId="1" fillId="0" borderId="26" xfId="577" applyNumberFormat="1" applyFont="1" applyBorder="1"/>
    <xf numFmtId="10" fontId="1" fillId="0" borderId="26" xfId="1339" applyNumberFormat="1" applyFont="1" applyBorder="1"/>
    <xf numFmtId="0" fontId="1" fillId="0" borderId="0" xfId="0" quotePrefix="1" applyFont="1" applyAlignment="1">
      <alignment horizontal="left"/>
    </xf>
    <xf numFmtId="10" fontId="1" fillId="0" borderId="0" xfId="1158" applyNumberFormat="1" applyFont="1"/>
    <xf numFmtId="0" fontId="1" fillId="0" borderId="16" xfId="0" applyFont="1" applyBorder="1"/>
    <xf numFmtId="166" fontId="1" fillId="0" borderId="16" xfId="577" applyNumberFormat="1" applyFont="1" applyBorder="1"/>
    <xf numFmtId="166" fontId="1" fillId="0" borderId="0" xfId="0" applyNumberFormat="1" applyFont="1"/>
    <xf numFmtId="166" fontId="1" fillId="0" borderId="26" xfId="0" applyNumberFormat="1" applyFont="1" applyBorder="1"/>
    <xf numFmtId="9" fontId="1" fillId="0" borderId="0" xfId="1339" applyFont="1"/>
    <xf numFmtId="164" fontId="1" fillId="0" borderId="0" xfId="0" applyNumberFormat="1" applyFont="1"/>
    <xf numFmtId="10" fontId="1" fillId="0" borderId="0" xfId="1339" applyNumberFormat="1" applyFont="1" applyFill="1"/>
    <xf numFmtId="0" fontId="1" fillId="0" borderId="0" xfId="0" applyFont="1" applyFill="1"/>
    <xf numFmtId="38" fontId="70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/>
    <xf numFmtId="0" fontId="5" fillId="0" borderId="0" xfId="1055" applyFont="1" applyFill="1" applyAlignment="1">
      <alignment horizontal="center"/>
    </xf>
    <xf numFmtId="0" fontId="1" fillId="0" borderId="0" xfId="1055" applyFill="1"/>
    <xf numFmtId="0" fontId="1" fillId="0" borderId="0" xfId="1055" applyFill="1" applyBorder="1"/>
    <xf numFmtId="0" fontId="5" fillId="0" borderId="0" xfId="1055" applyFont="1" applyFill="1"/>
    <xf numFmtId="0" fontId="5" fillId="0" borderId="16" xfId="1055" applyFont="1" applyFill="1" applyBorder="1" applyAlignment="1">
      <alignment horizontal="center"/>
    </xf>
    <xf numFmtId="0" fontId="5" fillId="0" borderId="16" xfId="1055" quotePrefix="1" applyFont="1" applyFill="1" applyBorder="1" applyAlignment="1">
      <alignment horizontal="center"/>
    </xf>
    <xf numFmtId="0" fontId="2" fillId="0" borderId="0" xfId="1055" applyFont="1" applyFill="1"/>
    <xf numFmtId="0" fontId="2" fillId="0" borderId="0" xfId="1064" quotePrefix="1" applyNumberFormat="1" applyFont="1" applyFill="1" applyAlignment="1">
      <alignment horizontal="center"/>
    </xf>
    <xf numFmtId="37" fontId="2" fillId="0" borderId="0" xfId="1064" applyNumberFormat="1" applyFont="1" applyFill="1"/>
    <xf numFmtId="38" fontId="70" fillId="0" borderId="0" xfId="1064" applyNumberFormat="1" applyFont="1" applyFill="1"/>
    <xf numFmtId="38" fontId="70" fillId="0" borderId="0" xfId="1064" applyNumberFormat="1" applyFont="1" applyFill="1" applyBorder="1"/>
    <xf numFmtId="37" fontId="71" fillId="0" borderId="0" xfId="1064" applyNumberFormat="1" applyFont="1" applyFill="1"/>
    <xf numFmtId="0" fontId="2" fillId="0" borderId="0" xfId="1055" applyFont="1" applyFill="1" applyBorder="1"/>
    <xf numFmtId="38" fontId="70" fillId="0" borderId="0" xfId="1055" applyNumberFormat="1" applyFont="1" applyFill="1" applyBorder="1"/>
    <xf numFmtId="0" fontId="4" fillId="0" borderId="0" xfId="592" applyNumberFormat="1" applyFont="1" applyFill="1"/>
    <xf numFmtId="37" fontId="2" fillId="0" borderId="0" xfId="1064" applyNumberFormat="1" applyFont="1" applyFill="1" applyBorder="1"/>
    <xf numFmtId="38" fontId="70" fillId="0" borderId="23" xfId="1064" applyNumberFormat="1" applyFont="1" applyFill="1" applyBorder="1"/>
    <xf numFmtId="38" fontId="2" fillId="0" borderId="24" xfId="1055" applyNumberFormat="1" applyFont="1" applyFill="1" applyBorder="1"/>
    <xf numFmtId="38" fontId="2" fillId="0" borderId="0" xfId="1055" applyNumberFormat="1" applyFont="1" applyFill="1"/>
    <xf numFmtId="0" fontId="2" fillId="0" borderId="0" xfId="1055" applyFont="1" applyFill="1" applyAlignment="1">
      <alignment horizontal="center"/>
    </xf>
    <xf numFmtId="167" fontId="2" fillId="0" borderId="0" xfId="1055" applyNumberFormat="1" applyFont="1" applyFill="1"/>
    <xf numFmtId="0" fontId="4" fillId="0" borderId="0" xfId="1055" applyFont="1" applyFill="1"/>
    <xf numFmtId="0" fontId="4" fillId="0" borderId="0" xfId="1055" applyFont="1" applyFill="1" applyBorder="1"/>
    <xf numFmtId="0" fontId="2" fillId="0" borderId="0" xfId="1055" quotePrefix="1" applyFont="1" applyFill="1" applyAlignment="1">
      <alignment horizontal="center"/>
    </xf>
    <xf numFmtId="38" fontId="2" fillId="0" borderId="0" xfId="1055" applyNumberFormat="1" applyFont="1" applyFill="1" applyAlignment="1">
      <alignment horizontal="center"/>
    </xf>
    <xf numFmtId="38" fontId="2" fillId="0" borderId="0" xfId="1055" applyNumberFormat="1" applyFont="1" applyFill="1" applyBorder="1" applyAlignment="1">
      <alignment horizontal="center"/>
    </xf>
    <xf numFmtId="0" fontId="2" fillId="0" borderId="16" xfId="1055" applyFont="1" applyFill="1" applyBorder="1" applyAlignment="1">
      <alignment horizontal="center"/>
    </xf>
    <xf numFmtId="38" fontId="2" fillId="0" borderId="16" xfId="1055" applyNumberFormat="1" applyFont="1" applyFill="1" applyBorder="1" applyAlignment="1">
      <alignment horizontal="center"/>
    </xf>
    <xf numFmtId="166" fontId="70" fillId="0" borderId="0" xfId="577" applyNumberFormat="1" applyFont="1" applyFill="1"/>
    <xf numFmtId="165" fontId="2" fillId="0" borderId="0" xfId="1339" applyNumberFormat="1" applyFont="1" applyFill="1"/>
    <xf numFmtId="167" fontId="2" fillId="0" borderId="0" xfId="1055" applyNumberFormat="1" applyFont="1" applyFill="1" applyBorder="1"/>
    <xf numFmtId="166" fontId="70" fillId="0" borderId="0" xfId="577" applyNumberFormat="1" applyFont="1" applyFill="1" applyBorder="1"/>
    <xf numFmtId="166" fontId="70" fillId="0" borderId="23" xfId="577" applyNumberFormat="1" applyFont="1" applyFill="1" applyBorder="1"/>
    <xf numFmtId="167" fontId="2" fillId="0" borderId="23" xfId="1055" applyNumberFormat="1" applyFont="1" applyFill="1" applyBorder="1"/>
    <xf numFmtId="185" fontId="2" fillId="0" borderId="0" xfId="1055" applyNumberFormat="1" applyFont="1" applyFill="1"/>
    <xf numFmtId="167" fontId="2" fillId="0" borderId="25" xfId="1055" applyNumberFormat="1" applyFont="1" applyFill="1" applyBorder="1"/>
    <xf numFmtId="38" fontId="2" fillId="0" borderId="0" xfId="1055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/>
    </xf>
    <xf numFmtId="38" fontId="2" fillId="0" borderId="24" xfId="0" applyNumberFormat="1" applyFont="1" applyFill="1" applyBorder="1"/>
    <xf numFmtId="38" fontId="2" fillId="0" borderId="0" xfId="0" applyNumberFormat="1" applyFont="1" applyFill="1"/>
    <xf numFmtId="38" fontId="2" fillId="0" borderId="0" xfId="0" applyNumberFormat="1" applyFont="1" applyFill="1" applyAlignment="1">
      <alignment horizontal="center"/>
    </xf>
    <xf numFmtId="183" fontId="5" fillId="0" borderId="0" xfId="1150" applyNumberFormat="1" applyFont="1" applyFill="1" applyAlignment="1">
      <alignment horizontal="right"/>
    </xf>
    <xf numFmtId="0" fontId="2" fillId="0" borderId="0" xfId="1150" applyFont="1" applyFill="1"/>
    <xf numFmtId="0" fontId="2" fillId="0" borderId="0" xfId="1150" applyFont="1" applyFill="1" applyBorder="1"/>
    <xf numFmtId="0" fontId="5" fillId="0" borderId="0" xfId="0" quotePrefix="1" applyFont="1" applyAlignment="1">
      <alignment horizontal="right"/>
    </xf>
    <xf numFmtId="0" fontId="5" fillId="0" borderId="0" xfId="0" applyFont="1" applyFill="1" applyAlignment="1">
      <alignment horizontal="right"/>
    </xf>
    <xf numFmtId="183" fontId="52" fillId="0" borderId="0" xfId="0" applyNumberFormat="1" applyFont="1" applyAlignment="1"/>
    <xf numFmtId="183" fontId="52" fillId="0" borderId="0" xfId="0" applyNumberFormat="1" applyFont="1" applyFill="1" applyAlignment="1"/>
    <xf numFmtId="18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71" fontId="2" fillId="0" borderId="0" xfId="0" applyNumberFormat="1" applyFont="1" applyFill="1" applyAlignment="1">
      <alignment horizontal="center"/>
    </xf>
    <xf numFmtId="18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26" xfId="577" applyNumberFormat="1" applyFont="1" applyFill="1" applyBorder="1" applyAlignment="1">
      <alignment horizontal="right"/>
    </xf>
    <xf numFmtId="0" fontId="2" fillId="0" borderId="0" xfId="0" quotePrefix="1" applyFont="1" applyFill="1"/>
    <xf numFmtId="165" fontId="2" fillId="0" borderId="0" xfId="1339" applyNumberFormat="1" applyFont="1" applyFill="1" applyBorder="1" applyAlignment="1">
      <alignment horizontal="right"/>
    </xf>
    <xf numFmtId="0" fontId="2" fillId="0" borderId="0" xfId="0" quotePrefix="1" applyFont="1" applyFill="1" applyAlignment="1">
      <alignment horizontal="left"/>
    </xf>
    <xf numFmtId="164" fontId="2" fillId="0" borderId="25" xfId="673" applyNumberFormat="1" applyFont="1" applyFill="1" applyBorder="1" applyAlignment="1">
      <alignment horizontal="right"/>
    </xf>
    <xf numFmtId="164" fontId="2" fillId="0" borderId="0" xfId="673" applyNumberFormat="1" applyFont="1" applyFill="1" applyBorder="1" applyAlignment="1">
      <alignment horizontal="right"/>
    </xf>
    <xf numFmtId="183" fontId="2" fillId="0" borderId="0" xfId="1150" applyNumberFormat="1" applyFont="1" applyFill="1"/>
    <xf numFmtId="10" fontId="2" fillId="0" borderId="24" xfId="1339" applyNumberFormat="1" applyFont="1" applyFill="1" applyBorder="1" applyAlignment="1">
      <alignment horizontal="right"/>
    </xf>
    <xf numFmtId="0" fontId="2" fillId="0" borderId="0" xfId="1150" applyFont="1" applyAlignment="1">
      <alignment horizontal="center"/>
    </xf>
    <xf numFmtId="0" fontId="2" fillId="0" borderId="0" xfId="1150" quotePrefix="1" applyFont="1" applyAlignment="1">
      <alignment horizontal="center"/>
    </xf>
    <xf numFmtId="0" fontId="5" fillId="0" borderId="0" xfId="0" quotePrefix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39" fontId="2" fillId="0" borderId="0" xfId="1159" applyFont="1" applyFill="1" applyAlignment="1">
      <alignment horizontal="left"/>
    </xf>
    <xf numFmtId="0" fontId="2" fillId="0" borderId="0" xfId="0" quotePrefix="1" applyFont="1" applyFill="1" applyBorder="1"/>
    <xf numFmtId="0" fontId="2" fillId="0" borderId="0" xfId="0" applyFont="1" applyFill="1" applyBorder="1"/>
    <xf numFmtId="0" fontId="2" fillId="0" borderId="23" xfId="1150" applyFont="1" applyFill="1" applyBorder="1"/>
    <xf numFmtId="0" fontId="2" fillId="0" borderId="0" xfId="0" quotePrefix="1" applyFont="1" applyFill="1" applyBorder="1" applyAlignment="1">
      <alignment horizontal="left"/>
    </xf>
    <xf numFmtId="164" fontId="2" fillId="0" borderId="24" xfId="673" applyNumberFormat="1" applyFont="1" applyFill="1" applyBorder="1"/>
    <xf numFmtId="164" fontId="2" fillId="0" borderId="24" xfId="673" applyNumberFormat="1" applyFont="1" applyFill="1" applyBorder="1" applyAlignment="1">
      <alignment horizontal="right"/>
    </xf>
    <xf numFmtId="0" fontId="2" fillId="0" borderId="23" xfId="0" quotePrefix="1" applyFont="1" applyFill="1" applyBorder="1" applyAlignment="1">
      <alignment horizontal="centerContinuous"/>
    </xf>
    <xf numFmtId="0" fontId="2" fillId="0" borderId="23" xfId="0" quotePrefix="1" applyFont="1" applyFill="1" applyBorder="1" applyAlignment="1">
      <alignment horizontal="center"/>
    </xf>
    <xf numFmtId="10" fontId="2" fillId="0" borderId="0" xfId="1339" applyNumberFormat="1" applyFont="1" applyFill="1"/>
    <xf numFmtId="37" fontId="2" fillId="0" borderId="0" xfId="1064" applyNumberFormat="1" applyFont="1" applyFill="1" applyAlignment="1">
      <alignment horizontal="right"/>
    </xf>
    <xf numFmtId="37" fontId="71" fillId="0" borderId="0" xfId="1064" applyNumberFormat="1" applyFont="1" applyFill="1" applyBorder="1"/>
    <xf numFmtId="37" fontId="2" fillId="0" borderId="0" xfId="1064" applyNumberFormat="1" applyFont="1" applyFill="1" applyBorder="1" applyAlignment="1">
      <alignment horizontal="right"/>
    </xf>
    <xf numFmtId="0" fontId="4" fillId="0" borderId="0" xfId="592" applyNumberFormat="1" applyFont="1" applyFill="1" applyBorder="1"/>
    <xf numFmtId="0" fontId="2" fillId="0" borderId="0" xfId="1055" applyFont="1" applyFill="1" applyAlignment="1">
      <alignment horizontal="right"/>
    </xf>
    <xf numFmtId="0" fontId="2" fillId="0" borderId="0" xfId="1055" quotePrefix="1" applyNumberFormat="1" applyFont="1" applyFill="1" applyAlignment="1">
      <alignment horizontal="center"/>
    </xf>
    <xf numFmtId="38" fontId="70" fillId="0" borderId="0" xfId="1055" applyNumberFormat="1" applyFont="1" applyFill="1"/>
    <xf numFmtId="0" fontId="4" fillId="0" borderId="0" xfId="577" applyNumberFormat="1" applyFont="1" applyFill="1"/>
    <xf numFmtId="38" fontId="70" fillId="0" borderId="23" xfId="1055" applyNumberFormat="1" applyFont="1" applyFill="1" applyBorder="1"/>
    <xf numFmtId="0" fontId="2" fillId="0" borderId="0" xfId="0" applyFont="1" applyFill="1" applyAlignment="1">
      <alignment horizontal="right"/>
    </xf>
    <xf numFmtId="0" fontId="2" fillId="0" borderId="0" xfId="0" quotePrefix="1" applyFont="1" applyFill="1" applyAlignment="1">
      <alignment horizontal="center"/>
    </xf>
    <xf numFmtId="43" fontId="4" fillId="0" borderId="0" xfId="585" applyFont="1" applyFill="1"/>
    <xf numFmtId="0" fontId="4" fillId="0" borderId="0" xfId="0" applyFont="1" applyFill="1"/>
    <xf numFmtId="0" fontId="2" fillId="0" borderId="16" xfId="0" applyFont="1" applyFill="1" applyBorder="1" applyAlignment="1">
      <alignment horizontal="center"/>
    </xf>
    <xf numFmtId="38" fontId="2" fillId="0" borderId="16" xfId="0" applyNumberFormat="1" applyFont="1" applyFill="1" applyBorder="1" applyAlignment="1">
      <alignment horizontal="center"/>
    </xf>
    <xf numFmtId="166" fontId="70" fillId="0" borderId="0" xfId="585" applyNumberFormat="1" applyFont="1" applyFill="1"/>
    <xf numFmtId="165" fontId="2" fillId="0" borderId="0" xfId="1340" applyNumberFormat="1" applyFont="1" applyFill="1"/>
    <xf numFmtId="166" fontId="70" fillId="0" borderId="0" xfId="585" applyNumberFormat="1" applyFont="1" applyFill="1" applyBorder="1"/>
    <xf numFmtId="166" fontId="70" fillId="0" borderId="23" xfId="585" applyNumberFormat="1" applyFont="1" applyFill="1" applyBorder="1"/>
    <xf numFmtId="167" fontId="2" fillId="0" borderId="23" xfId="0" applyNumberFormat="1" applyFont="1" applyFill="1" applyBorder="1"/>
    <xf numFmtId="167" fontId="2" fillId="0" borderId="25" xfId="0" applyNumberFormat="1" applyFont="1" applyFill="1" applyBorder="1"/>
    <xf numFmtId="183" fontId="2" fillId="0" borderId="0" xfId="1148" applyNumberFormat="1" applyFont="1" applyFill="1" applyBorder="1" applyAlignment="1">
      <alignment horizontal="right"/>
    </xf>
    <xf numFmtId="10" fontId="2" fillId="0" borderId="0" xfId="0" applyNumberFormat="1" applyFont="1"/>
    <xf numFmtId="0" fontId="1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10" fillId="0" borderId="0" xfId="1090" applyAlignment="1"/>
    <xf numFmtId="0" fontId="10" fillId="0" borderId="0" xfId="1090"/>
    <xf numFmtId="43" fontId="2" fillId="0" borderId="0" xfId="609"/>
    <xf numFmtId="43" fontId="2" fillId="0" borderId="0" xfId="609" applyAlignment="1">
      <alignment horizontal="centerContinuous"/>
    </xf>
    <xf numFmtId="0" fontId="10" fillId="0" borderId="0" xfId="1090" applyBorder="1"/>
    <xf numFmtId="43" fontId="2" fillId="0" borderId="23" xfId="609" applyFont="1" applyBorder="1" applyAlignment="1">
      <alignment horizontal="centerContinuous"/>
    </xf>
    <xf numFmtId="43" fontId="2" fillId="0" borderId="23" xfId="609" applyBorder="1" applyAlignment="1">
      <alignment horizontal="centerContinuous"/>
    </xf>
    <xf numFmtId="43" fontId="2" fillId="0" borderId="0" xfId="609" applyAlignment="1">
      <alignment horizontal="center"/>
    </xf>
    <xf numFmtId="43" fontId="2" fillId="0" borderId="0" xfId="609" applyFont="1" applyBorder="1" applyAlignment="1">
      <alignment horizontal="centerContinuous"/>
    </xf>
    <xf numFmtId="43" fontId="2" fillId="0" borderId="0" xfId="609" applyBorder="1" applyAlignment="1">
      <alignment horizontal="centerContinuous"/>
    </xf>
    <xf numFmtId="43" fontId="2" fillId="0" borderId="23" xfId="609" applyBorder="1" applyAlignment="1">
      <alignment horizontal="center"/>
    </xf>
    <xf numFmtId="0" fontId="10" fillId="0" borderId="0" xfId="1090" quotePrefix="1"/>
    <xf numFmtId="43" fontId="2" fillId="0" borderId="23" xfId="609" applyBorder="1"/>
    <xf numFmtId="43" fontId="2" fillId="0" borderId="0" xfId="609" applyBorder="1"/>
    <xf numFmtId="43" fontId="2" fillId="0" borderId="24" xfId="609" applyBorder="1"/>
    <xf numFmtId="43" fontId="2" fillId="0" borderId="0" xfId="609" applyFont="1" applyAlignment="1">
      <alignment horizontal="centerContinuous"/>
    </xf>
    <xf numFmtId="0" fontId="57" fillId="0" borderId="0" xfId="1090" applyFont="1" applyAlignment="1">
      <alignment horizontal="centerContinuous"/>
    </xf>
    <xf numFmtId="0" fontId="5" fillId="0" borderId="0" xfId="1090" applyFont="1" applyAlignment="1">
      <alignment horizontal="centerContinuous"/>
    </xf>
    <xf numFmtId="43" fontId="2" fillId="0" borderId="0" xfId="609" applyNumberFormat="1" applyAlignment="1">
      <alignment horizontal="right"/>
    </xf>
    <xf numFmtId="43" fontId="2" fillId="0" borderId="0" xfId="609" applyAlignment="1">
      <alignment horizontal="right"/>
    </xf>
    <xf numFmtId="0" fontId="2" fillId="0" borderId="0" xfId="1090" applyFont="1"/>
    <xf numFmtId="15" fontId="5" fillId="0" borderId="0" xfId="1090" quotePrefix="1" applyNumberFormat="1" applyFont="1" applyAlignment="1">
      <alignment horizontal="centerContinuous"/>
    </xf>
    <xf numFmtId="15" fontId="2" fillId="0" borderId="0" xfId="1090" quotePrefix="1" applyNumberFormat="1" applyFont="1" applyAlignment="1">
      <alignment horizontal="centerContinuous"/>
    </xf>
    <xf numFmtId="43" fontId="2" fillId="0" borderId="0" xfId="609" applyNumberFormat="1"/>
    <xf numFmtId="43" fontId="2" fillId="0" borderId="23" xfId="609" applyNumberFormat="1" applyFont="1" applyBorder="1"/>
    <xf numFmtId="43" fontId="2" fillId="0" borderId="23" xfId="609" applyFont="1" applyBorder="1" applyAlignment="1">
      <alignment horizontal="center"/>
    </xf>
    <xf numFmtId="43" fontId="2" fillId="0" borderId="23" xfId="609" applyNumberFormat="1" applyBorder="1"/>
    <xf numFmtId="43" fontId="2" fillId="0" borderId="24" xfId="609" applyNumberFormat="1" applyBorder="1"/>
    <xf numFmtId="43" fontId="2" fillId="0" borderId="0" xfId="609" applyFont="1" applyAlignment="1">
      <alignment horizontal="center"/>
    </xf>
    <xf numFmtId="43" fontId="2" fillId="0" borderId="0" xfId="609" applyNumberFormat="1" applyBorder="1"/>
    <xf numFmtId="0" fontId="10" fillId="0" borderId="0" xfId="1090" applyAlignment="1">
      <alignment horizontal="centerContinuous"/>
    </xf>
    <xf numFmtId="43" fontId="2" fillId="0" borderId="0" xfId="609" applyFont="1"/>
    <xf numFmtId="43" fontId="10" fillId="0" borderId="0" xfId="609" applyFont="1"/>
    <xf numFmtId="43" fontId="10" fillId="0" borderId="23" xfId="609" applyFont="1" applyBorder="1" applyAlignment="1">
      <alignment horizontal="center"/>
    </xf>
    <xf numFmtId="43" fontId="10" fillId="0" borderId="23" xfId="609" applyFont="1" applyBorder="1"/>
    <xf numFmtId="43" fontId="10" fillId="0" borderId="24" xfId="609" applyFont="1" applyBorder="1"/>
    <xf numFmtId="43" fontId="10" fillId="0" borderId="0" xfId="609" quotePrefix="1" applyFont="1"/>
    <xf numFmtId="43" fontId="10" fillId="0" borderId="0" xfId="609" applyFont="1" applyAlignment="1">
      <alignment horizontal="centerContinuous"/>
    </xf>
    <xf numFmtId="43" fontId="10" fillId="0" borderId="0" xfId="609" applyFont="1" applyBorder="1"/>
    <xf numFmtId="0" fontId="2" fillId="0" borderId="0" xfId="1090" applyFont="1" applyAlignment="1">
      <alignment horizontal="centerContinuous"/>
    </xf>
    <xf numFmtId="0" fontId="10" fillId="0" borderId="0" xfId="1090" quotePrefix="1" applyAlignment="1">
      <alignment horizontal="left"/>
    </xf>
    <xf numFmtId="43" fontId="10" fillId="0" borderId="0" xfId="609" quotePrefix="1" applyFont="1" applyAlignment="1">
      <alignment horizontal="left"/>
    </xf>
    <xf numFmtId="43" fontId="2" fillId="0" borderId="0" xfId="609" applyFont="1" applyBorder="1"/>
    <xf numFmtId="43" fontId="10" fillId="0" borderId="0" xfId="609" applyFont="1" applyBorder="1" applyAlignment="1">
      <alignment horizontal="centerContinuous"/>
    </xf>
    <xf numFmtId="43" fontId="10" fillId="0" borderId="0" xfId="609" applyFont="1" applyBorder="1" applyAlignment="1">
      <alignment horizontal="center"/>
    </xf>
    <xf numFmtId="43" fontId="10" fillId="0" borderId="0" xfId="609" applyFont="1" applyAlignment="1">
      <alignment horizontal="right"/>
    </xf>
    <xf numFmtId="10" fontId="10" fillId="0" borderId="0" xfId="1090" applyNumberFormat="1"/>
    <xf numFmtId="44" fontId="2" fillId="0" borderId="0" xfId="675" applyBorder="1"/>
    <xf numFmtId="44" fontId="2" fillId="0" borderId="24" xfId="675" applyBorder="1"/>
    <xf numFmtId="187" fontId="2" fillId="0" borderId="0" xfId="1090" applyNumberFormat="1" applyFont="1"/>
    <xf numFmtId="43" fontId="10" fillId="0" borderId="0" xfId="609" applyFont="1" applyFill="1"/>
    <xf numFmtId="43" fontId="10" fillId="0" borderId="23" xfId="609" applyFont="1" applyFill="1" applyBorder="1"/>
    <xf numFmtId="15" fontId="2" fillId="0" borderId="0" xfId="1090" applyNumberFormat="1" applyFont="1"/>
    <xf numFmtId="43" fontId="10" fillId="0" borderId="0" xfId="609" applyFont="1" applyFill="1" applyBorder="1"/>
    <xf numFmtId="44" fontId="10" fillId="0" borderId="0" xfId="675" applyFont="1"/>
    <xf numFmtId="44" fontId="10" fillId="0" borderId="0" xfId="675" applyFont="1" applyBorder="1"/>
    <xf numFmtId="44" fontId="10" fillId="0" borderId="24" xfId="675" applyFont="1" applyBorder="1"/>
    <xf numFmtId="187" fontId="2" fillId="0" borderId="0" xfId="609" applyNumberFormat="1" applyFont="1" applyAlignment="1">
      <alignment horizontal="left"/>
    </xf>
    <xf numFmtId="187" fontId="2" fillId="0" borderId="0" xfId="609" applyNumberFormat="1" applyFont="1"/>
    <xf numFmtId="187" fontId="2" fillId="0" borderId="0" xfId="1090" quotePrefix="1" applyNumberFormat="1" applyFont="1" applyAlignment="1">
      <alignment horizontal="left"/>
    </xf>
    <xf numFmtId="187" fontId="2" fillId="0" borderId="0" xfId="609" quotePrefix="1" applyNumberFormat="1" applyFont="1" applyAlignment="1">
      <alignment horizontal="left"/>
    </xf>
    <xf numFmtId="187" fontId="2" fillId="0" borderId="0" xfId="609" applyNumberFormat="1" applyFont="1" applyFill="1"/>
    <xf numFmtId="43" fontId="10" fillId="0" borderId="0" xfId="609" quotePrefix="1" applyFont="1" applyFill="1"/>
    <xf numFmtId="37" fontId="5" fillId="0" borderId="0" xfId="0" quotePrefix="1" applyNumberFormat="1" applyFont="1" applyAlignment="1">
      <alignment horizontal="right"/>
    </xf>
    <xf numFmtId="37" fontId="5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centerContinuous"/>
    </xf>
    <xf numFmtId="37" fontId="2" fillId="0" borderId="0" xfId="0" applyNumberFormat="1" applyFont="1" applyFill="1" applyBorder="1" applyAlignment="1">
      <alignment horizontal="centerContinuous"/>
    </xf>
    <xf numFmtId="0" fontId="2" fillId="0" borderId="0" xfId="1150" quotePrefix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23" xfId="0" applyNumberFormat="1" applyFont="1" applyFill="1" applyBorder="1" applyAlignment="1">
      <alignment horizontal="centerContinuous"/>
    </xf>
    <xf numFmtId="37" fontId="2" fillId="0" borderId="23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164" fontId="2" fillId="0" borderId="0" xfId="676" applyNumberFormat="1" applyFont="1" applyFill="1" applyAlignment="1">
      <alignment horizontal="right"/>
    </xf>
    <xf numFmtId="166" fontId="2" fillId="0" borderId="0" xfId="585" applyNumberFormat="1" applyFont="1" applyFill="1" applyBorder="1" applyAlignment="1">
      <alignment horizontal="right"/>
    </xf>
    <xf numFmtId="166" fontId="2" fillId="0" borderId="0" xfId="585" applyNumberFormat="1" applyFont="1" applyFill="1" applyAlignment="1">
      <alignment horizontal="right"/>
    </xf>
    <xf numFmtId="166" fontId="2" fillId="0" borderId="26" xfId="585" applyNumberFormat="1" applyFont="1" applyFill="1" applyBorder="1" applyAlignment="1">
      <alignment horizontal="right"/>
    </xf>
    <xf numFmtId="37" fontId="2" fillId="0" borderId="0" xfId="0" quotePrefix="1" applyNumberFormat="1" applyFont="1" applyFill="1"/>
    <xf numFmtId="165" fontId="2" fillId="0" borderId="0" xfId="1340" applyNumberFormat="1" applyFont="1" applyFill="1" applyBorder="1" applyAlignment="1">
      <alignment horizontal="right"/>
    </xf>
    <xf numFmtId="37" fontId="2" fillId="0" borderId="0" xfId="0" quotePrefix="1" applyNumberFormat="1" applyFont="1" applyAlignment="1">
      <alignment horizontal="left"/>
    </xf>
    <xf numFmtId="37" fontId="2" fillId="0" borderId="0" xfId="0" quotePrefix="1" applyNumberFormat="1" applyFont="1" applyFill="1" applyAlignment="1">
      <alignment horizontal="left"/>
    </xf>
    <xf numFmtId="164" fontId="2" fillId="0" borderId="25" xfId="676" applyNumberFormat="1" applyFont="1" applyFill="1" applyBorder="1" applyAlignment="1">
      <alignment horizontal="right"/>
    </xf>
    <xf numFmtId="164" fontId="2" fillId="0" borderId="0" xfId="676" applyNumberFormat="1" applyFont="1" applyFill="1" applyBorder="1" applyAlignment="1">
      <alignment horizontal="right"/>
    </xf>
    <xf numFmtId="10" fontId="2" fillId="0" borderId="24" xfId="1340" applyNumberFormat="1" applyFont="1" applyFill="1" applyBorder="1" applyAlignment="1">
      <alignment horizontal="right"/>
    </xf>
    <xf numFmtId="37" fontId="2" fillId="0" borderId="0" xfId="0" applyNumberFormat="1" applyFont="1"/>
    <xf numFmtId="37" fontId="5" fillId="0" borderId="0" xfId="0" quotePrefix="1" applyNumberFormat="1" applyFont="1" applyFill="1" applyAlignment="1">
      <alignment horizontal="right"/>
    </xf>
    <xf numFmtId="37" fontId="2" fillId="0" borderId="0" xfId="0" applyNumberFormat="1" applyFont="1" applyFill="1"/>
    <xf numFmtId="166" fontId="2" fillId="0" borderId="23" xfId="585" applyNumberFormat="1" applyFont="1" applyFill="1" applyBorder="1" applyAlignment="1">
      <alignment horizontal="right"/>
    </xf>
    <xf numFmtId="37" fontId="2" fillId="0" borderId="0" xfId="0" quotePrefix="1" applyNumberFormat="1" applyFont="1" applyFill="1" applyBorder="1"/>
    <xf numFmtId="37" fontId="2" fillId="0" borderId="0" xfId="0" applyNumberFormat="1" applyFont="1" applyFill="1" applyBorder="1"/>
    <xf numFmtId="37" fontId="2" fillId="0" borderId="0" xfId="0" quotePrefix="1" applyNumberFormat="1" applyFont="1" applyFill="1" applyBorder="1" applyAlignment="1">
      <alignment horizontal="left"/>
    </xf>
    <xf numFmtId="164" fontId="2" fillId="0" borderId="24" xfId="676" applyNumberFormat="1" applyFont="1" applyFill="1" applyBorder="1"/>
    <xf numFmtId="164" fontId="2" fillId="0" borderId="24" xfId="676" applyNumberFormat="1" applyFont="1" applyFill="1" applyBorder="1" applyAlignment="1">
      <alignment horizontal="right"/>
    </xf>
    <xf numFmtId="0" fontId="0" fillId="0" borderId="0" xfId="0" quotePrefix="1" applyAlignment="1">
      <alignment horizontal="left"/>
    </xf>
    <xf numFmtId="166" fontId="1" fillId="0" borderId="0" xfId="577" applyNumberFormat="1" applyFont="1" applyFill="1"/>
    <xf numFmtId="166" fontId="1" fillId="0" borderId="0" xfId="0" applyNumberFormat="1" applyFont="1" applyFill="1"/>
    <xf numFmtId="10" fontId="2" fillId="0" borderId="0" xfId="1340" applyNumberFormat="1" applyFont="1" applyFill="1" applyBorder="1" applyAlignment="1">
      <alignment horizontal="right"/>
    </xf>
    <xf numFmtId="10" fontId="10" fillId="0" borderId="0" xfId="1339" applyNumberFormat="1" applyFont="1"/>
    <xf numFmtId="164" fontId="4" fillId="0" borderId="0" xfId="673" applyNumberFormat="1" applyFont="1" applyFill="1"/>
    <xf numFmtId="37" fontId="2" fillId="0" borderId="0" xfId="1148" applyFont="1" applyFill="1" applyAlignment="1">
      <alignment horizontal="centerContinuous"/>
    </xf>
    <xf numFmtId="37" fontId="2" fillId="0" borderId="0" xfId="1148" applyFont="1" applyFill="1" applyAlignment="1">
      <alignment horizontal="center"/>
    </xf>
    <xf numFmtId="171" fontId="2" fillId="0" borderId="0" xfId="1148" applyNumberFormat="1" applyFont="1" applyFill="1" applyAlignment="1">
      <alignment horizontal="center"/>
    </xf>
    <xf numFmtId="10" fontId="53" fillId="0" borderId="0" xfId="1339" applyNumberFormat="1" applyFont="1" applyFill="1"/>
    <xf numFmtId="10" fontId="2" fillId="0" borderId="0" xfId="0" applyNumberFormat="1" applyFont="1" applyFill="1"/>
    <xf numFmtId="10" fontId="2" fillId="0" borderId="0" xfId="0" applyNumberFormat="1" applyFont="1" applyFill="1" applyAlignment="1">
      <alignment horizontal="center"/>
    </xf>
    <xf numFmtId="10" fontId="1" fillId="0" borderId="0" xfId="0" applyNumberFormat="1" applyFont="1" applyFill="1"/>
    <xf numFmtId="184" fontId="10" fillId="0" borderId="0" xfId="1150" applyNumberFormat="1" applyFont="1" applyFill="1"/>
    <xf numFmtId="164" fontId="2" fillId="0" borderId="0" xfId="673" applyNumberFormat="1" applyFont="1" applyFill="1" applyBorder="1"/>
    <xf numFmtId="37" fontId="2" fillId="0" borderId="0" xfId="1148" applyFont="1" applyFill="1" applyBorder="1"/>
    <xf numFmtId="37" fontId="5" fillId="0" borderId="0" xfId="1148" applyFont="1" applyFill="1" applyAlignment="1">
      <alignment horizontal="right"/>
    </xf>
    <xf numFmtId="0" fontId="2" fillId="0" borderId="0" xfId="1151" applyFont="1" applyFill="1" applyAlignment="1">
      <alignment horizontal="center"/>
    </xf>
    <xf numFmtId="0" fontId="10" fillId="0" borderId="0" xfId="1150" applyFont="1" applyFill="1" applyBorder="1"/>
    <xf numFmtId="37" fontId="82" fillId="0" borderId="0" xfId="1115" applyFill="1"/>
    <xf numFmtId="37" fontId="2" fillId="0" borderId="0" xfId="1115" applyFont="1" applyFill="1"/>
    <xf numFmtId="37" fontId="2" fillId="0" borderId="0" xfId="1115" quotePrefix="1" applyFont="1" applyFill="1" applyAlignment="1">
      <alignment horizontal="left"/>
    </xf>
    <xf numFmtId="183" fontId="2" fillId="0" borderId="0" xfId="1115" applyNumberFormat="1" applyFont="1" applyFill="1" applyAlignment="1">
      <alignment horizontal="right"/>
    </xf>
    <xf numFmtId="37" fontId="2" fillId="0" borderId="0" xfId="1115" applyFont="1" applyFill="1" applyAlignment="1">
      <alignment horizontal="centerContinuous"/>
    </xf>
    <xf numFmtId="37" fontId="2" fillId="0" borderId="0" xfId="1115" applyFont="1" applyFill="1" applyBorder="1" applyAlignment="1">
      <alignment horizontal="centerContinuous"/>
    </xf>
    <xf numFmtId="37" fontId="2" fillId="0" borderId="0" xfId="1115" applyFont="1" applyFill="1" applyAlignment="1">
      <alignment horizontal="center"/>
    </xf>
    <xf numFmtId="37" fontId="2" fillId="0" borderId="23" xfId="1115" applyFont="1" applyFill="1" applyBorder="1" applyAlignment="1">
      <alignment horizontal="centerContinuous"/>
    </xf>
    <xf numFmtId="37" fontId="2" fillId="0" borderId="23" xfId="1115" applyFont="1" applyFill="1" applyBorder="1" applyAlignment="1">
      <alignment horizontal="center"/>
    </xf>
    <xf numFmtId="0" fontId="2" fillId="0" borderId="0" xfId="1151" applyFont="1" applyFill="1"/>
    <xf numFmtId="37" fontId="5" fillId="0" borderId="0" xfId="1115" applyFont="1" applyFill="1" applyAlignment="1">
      <alignment horizontal="right"/>
    </xf>
    <xf numFmtId="183" fontId="2" fillId="0" borderId="0" xfId="1115" applyNumberFormat="1" applyFont="1" applyFill="1" applyBorder="1" applyAlignment="1">
      <alignment horizontal="right"/>
    </xf>
    <xf numFmtId="37" fontId="2" fillId="0" borderId="0" xfId="1115" applyFont="1" applyFill="1" applyAlignment="1">
      <alignment horizontal="left"/>
    </xf>
    <xf numFmtId="37" fontId="2" fillId="0" borderId="0" xfId="1115" applyFont="1" applyFill="1" applyBorder="1" applyAlignment="1">
      <alignment horizontal="left"/>
    </xf>
    <xf numFmtId="37" fontId="2" fillId="0" borderId="0" xfId="1115" quotePrefix="1" applyFont="1" applyFill="1"/>
    <xf numFmtId="183" fontId="2" fillId="0" borderId="0" xfId="1151" applyNumberFormat="1" applyFont="1" applyFill="1"/>
    <xf numFmtId="49" fontId="2" fillId="0" borderId="0" xfId="1115" applyNumberFormat="1" applyFont="1" applyFill="1" applyAlignment="1">
      <alignment horizontal="right"/>
    </xf>
    <xf numFmtId="49" fontId="2" fillId="0" borderId="0" xfId="1115" applyNumberFormat="1" applyFont="1" applyFill="1" applyBorder="1" applyAlignment="1">
      <alignment horizontal="right"/>
    </xf>
    <xf numFmtId="37" fontId="2" fillId="0" borderId="0" xfId="1115" quotePrefix="1" applyFont="1" applyFill="1" applyBorder="1"/>
    <xf numFmtId="37" fontId="2" fillId="0" borderId="0" xfId="1115" applyFont="1" applyFill="1" applyBorder="1"/>
    <xf numFmtId="0" fontId="2" fillId="0" borderId="23" xfId="1151" applyFont="1" applyFill="1" applyBorder="1"/>
    <xf numFmtId="183" fontId="51" fillId="0" borderId="0" xfId="1115" applyNumberFormat="1" applyFont="1" applyFill="1" applyAlignment="1"/>
    <xf numFmtId="37" fontId="5" fillId="0" borderId="0" xfId="1115" quotePrefix="1" applyFont="1" applyFill="1" applyAlignment="1">
      <alignment horizontal="right"/>
    </xf>
    <xf numFmtId="37" fontId="2" fillId="0" borderId="0" xfId="1115" quotePrefix="1" applyFont="1" applyFill="1" applyBorder="1" applyAlignment="1">
      <alignment horizontal="left"/>
    </xf>
    <xf numFmtId="49" fontId="2" fillId="0" borderId="0" xfId="1148" applyNumberFormat="1" applyFont="1" applyFill="1" applyBorder="1" applyAlignment="1">
      <alignment horizontal="right"/>
    </xf>
    <xf numFmtId="0" fontId="2" fillId="0" borderId="0" xfId="1151" quotePrefix="1" applyFont="1" applyFill="1" applyAlignment="1">
      <alignment horizontal="center"/>
    </xf>
    <xf numFmtId="37" fontId="2" fillId="0" borderId="0" xfId="1148" quotePrefix="1" applyFont="1" applyFill="1" applyBorder="1"/>
    <xf numFmtId="10" fontId="2" fillId="0" borderId="0" xfId="577" applyNumberFormat="1" applyFont="1" applyFill="1"/>
    <xf numFmtId="10" fontId="2" fillId="0" borderId="31" xfId="1339" applyNumberFormat="1" applyFont="1" applyBorder="1" applyAlignment="1">
      <alignment horizontal="right"/>
    </xf>
    <xf numFmtId="164" fontId="2" fillId="0" borderId="0" xfId="674" applyNumberFormat="1" applyFont="1" applyFill="1" applyBorder="1"/>
    <xf numFmtId="164" fontId="2" fillId="0" borderId="24" xfId="674" applyNumberFormat="1" applyFont="1" applyFill="1" applyBorder="1"/>
    <xf numFmtId="49" fontId="2" fillId="0" borderId="0" xfId="1148" applyNumberFormat="1" applyFont="1" applyFill="1" applyAlignment="1">
      <alignment horizontal="right"/>
    </xf>
    <xf numFmtId="183" fontId="52" fillId="0" borderId="0" xfId="1148" applyNumberFormat="1" applyFont="1" applyFill="1" applyAlignment="1">
      <alignment horizontal="center"/>
    </xf>
    <xf numFmtId="37" fontId="2" fillId="0" borderId="0" xfId="1148" applyFont="1" applyFill="1"/>
    <xf numFmtId="164" fontId="2" fillId="0" borderId="0" xfId="674" applyNumberFormat="1" applyFont="1" applyFill="1" applyBorder="1" applyAlignment="1">
      <alignment horizontal="right"/>
    </xf>
    <xf numFmtId="164" fontId="2" fillId="0" borderId="25" xfId="674" applyNumberFormat="1" applyFont="1" applyFill="1" applyBorder="1" applyAlignment="1">
      <alignment horizontal="right"/>
    </xf>
    <xf numFmtId="37" fontId="2" fillId="0" borderId="0" xfId="1148" quotePrefix="1" applyFont="1" applyFill="1" applyAlignment="1">
      <alignment horizontal="left"/>
    </xf>
    <xf numFmtId="166" fontId="2" fillId="0" borderId="26" xfId="583" applyNumberFormat="1" applyFont="1" applyFill="1" applyBorder="1" applyAlignment="1">
      <alignment horizontal="right"/>
    </xf>
    <xf numFmtId="37" fontId="2" fillId="0" borderId="0" xfId="1148" applyFont="1" applyFill="1" applyAlignment="1">
      <alignment horizontal="left"/>
    </xf>
    <xf numFmtId="37" fontId="2" fillId="0" borderId="23" xfId="1148" applyFont="1" applyFill="1" applyBorder="1" applyAlignment="1">
      <alignment horizontal="center"/>
    </xf>
    <xf numFmtId="37" fontId="2" fillId="0" borderId="23" xfId="1148" applyFont="1" applyFill="1" applyBorder="1" applyAlignment="1">
      <alignment horizontal="centerContinuous"/>
    </xf>
    <xf numFmtId="168" fontId="5" fillId="0" borderId="0" xfId="1151" quotePrefix="1" applyNumberFormat="1" applyFont="1" applyFill="1" applyAlignment="1">
      <alignment horizontal="right"/>
    </xf>
    <xf numFmtId="37" fontId="2" fillId="0" borderId="0" xfId="1148" applyFont="1" applyFill="1" applyBorder="1" applyAlignment="1">
      <alignment horizontal="centerContinuous"/>
    </xf>
    <xf numFmtId="183" fontId="2" fillId="0" borderId="0" xfId="1148" applyNumberFormat="1" applyFont="1" applyFill="1" applyAlignment="1">
      <alignment horizontal="right"/>
    </xf>
    <xf numFmtId="0" fontId="4" fillId="0" borderId="0" xfId="1035" applyFill="1"/>
    <xf numFmtId="10" fontId="2" fillId="0" borderId="31" xfId="1339" applyNumberFormat="1" applyFont="1" applyFill="1" applyBorder="1" applyAlignment="1">
      <alignment horizontal="right"/>
    </xf>
    <xf numFmtId="184" fontId="2" fillId="0" borderId="0" xfId="1151" applyNumberFormat="1" applyFont="1" applyFill="1"/>
    <xf numFmtId="37" fontId="2" fillId="0" borderId="0" xfId="1148" quotePrefix="1" applyFont="1" applyFill="1"/>
    <xf numFmtId="0" fontId="2" fillId="0" borderId="0" xfId="1035" quotePrefix="1" applyFont="1" applyFill="1"/>
    <xf numFmtId="179" fontId="2" fillId="0" borderId="0" xfId="583" applyNumberFormat="1" applyFont="1" applyFill="1"/>
    <xf numFmtId="179" fontId="70" fillId="0" borderId="0" xfId="583" applyNumberFormat="1" applyFont="1" applyFill="1"/>
    <xf numFmtId="0" fontId="2" fillId="0" borderId="0" xfId="1151" quotePrefix="1" applyFont="1" applyFill="1" applyAlignment="1">
      <alignment horizontal="left"/>
    </xf>
    <xf numFmtId="0" fontId="2" fillId="0" borderId="0" xfId="1151" applyFont="1" applyFill="1" applyBorder="1"/>
    <xf numFmtId="164" fontId="2" fillId="0" borderId="0" xfId="674" applyNumberFormat="1" applyFont="1" applyFill="1" applyAlignment="1">
      <alignment horizontal="right"/>
    </xf>
    <xf numFmtId="166" fontId="2" fillId="0" borderId="0" xfId="583" applyNumberFormat="1" applyFont="1" applyFill="1" applyAlignment="1">
      <alignment horizontal="right"/>
    </xf>
    <xf numFmtId="166" fontId="2" fillId="0" borderId="0" xfId="583" applyNumberFormat="1" applyFont="1" applyFill="1" applyBorder="1" applyAlignment="1">
      <alignment horizontal="right"/>
    </xf>
    <xf numFmtId="166" fontId="2" fillId="0" borderId="23" xfId="583" applyNumberFormat="1" applyFont="1" applyFill="1" applyBorder="1" applyAlignment="1">
      <alignment horizontal="right"/>
    </xf>
    <xf numFmtId="164" fontId="2" fillId="0" borderId="0" xfId="676" applyNumberFormat="1" applyFont="1" applyFill="1" applyBorder="1"/>
    <xf numFmtId="10" fontId="2" fillId="0" borderId="0" xfId="1344" applyNumberFormat="1" applyFont="1" applyFill="1" applyBorder="1" applyAlignment="1">
      <alignment horizontal="right"/>
    </xf>
    <xf numFmtId="166" fontId="2" fillId="0" borderId="26" xfId="614" applyNumberFormat="1" applyFont="1" applyFill="1" applyBorder="1" applyAlignment="1">
      <alignment horizontal="right"/>
    </xf>
    <xf numFmtId="166" fontId="2" fillId="0" borderId="0" xfId="614" applyNumberFormat="1" applyFont="1" applyFill="1" applyAlignment="1">
      <alignment horizontal="right"/>
    </xf>
    <xf numFmtId="166" fontId="2" fillId="0" borderId="0" xfId="614" applyNumberFormat="1" applyFont="1" applyFill="1" applyBorder="1" applyAlignment="1">
      <alignment horizontal="right"/>
    </xf>
    <xf numFmtId="179" fontId="2" fillId="0" borderId="0" xfId="614" applyNumberFormat="1" applyFont="1" applyFill="1"/>
    <xf numFmtId="179" fontId="70" fillId="0" borderId="0" xfId="614" applyNumberFormat="1" applyFont="1" applyFill="1"/>
    <xf numFmtId="166" fontId="2" fillId="0" borderId="23" xfId="614" applyNumberFormat="1" applyFont="1" applyFill="1" applyBorder="1" applyAlignment="1">
      <alignment horizontal="right"/>
    </xf>
    <xf numFmtId="0" fontId="5" fillId="0" borderId="0" xfId="0" applyFont="1" applyAlignment="1">
      <alignment horizontal="centerContinuous"/>
    </xf>
    <xf numFmtId="43" fontId="2" fillId="0" borderId="0" xfId="591"/>
    <xf numFmtId="0" fontId="0" fillId="0" borderId="0" xfId="0" applyBorder="1"/>
    <xf numFmtId="43" fontId="2" fillId="0" borderId="23" xfId="591" applyFont="1" applyBorder="1" applyAlignment="1">
      <alignment horizontal="centerContinuous"/>
    </xf>
    <xf numFmtId="43" fontId="2" fillId="0" borderId="23" xfId="591" applyBorder="1" applyAlignment="1">
      <alignment horizontal="centerContinuous"/>
    </xf>
    <xf numFmtId="43" fontId="2" fillId="0" borderId="0" xfId="591" applyFont="1" applyAlignment="1">
      <alignment horizontal="center"/>
    </xf>
    <xf numFmtId="43" fontId="2" fillId="0" borderId="0" xfId="591" applyAlignment="1">
      <alignment horizontal="center"/>
    </xf>
    <xf numFmtId="43" fontId="2" fillId="0" borderId="0" xfId="591" applyFont="1" applyBorder="1" applyAlignment="1">
      <alignment horizontal="centerContinuous"/>
    </xf>
    <xf numFmtId="43" fontId="2" fillId="0" borderId="0" xfId="591" applyBorder="1" applyAlignment="1">
      <alignment horizontal="centerContinuous"/>
    </xf>
    <xf numFmtId="43" fontId="2" fillId="0" borderId="0" xfId="591" applyAlignment="1">
      <alignment horizontal="centerContinuous"/>
    </xf>
    <xf numFmtId="43" fontId="2" fillId="0" borderId="23" xfId="591" applyFont="1" applyBorder="1" applyAlignment="1">
      <alignment horizontal="center"/>
    </xf>
    <xf numFmtId="43" fontId="2" fillId="0" borderId="23" xfId="591" applyBorder="1" applyAlignment="1">
      <alignment horizontal="center"/>
    </xf>
    <xf numFmtId="187" fontId="2" fillId="0" borderId="0" xfId="0" applyNumberFormat="1" applyFont="1"/>
    <xf numFmtId="0" fontId="0" fillId="0" borderId="0" xfId="0" quotePrefix="1"/>
    <xf numFmtId="43" fontId="2" fillId="0" borderId="0" xfId="591" applyBorder="1"/>
    <xf numFmtId="43" fontId="2" fillId="0" borderId="0" xfId="591" applyNumberFormat="1" applyBorder="1"/>
    <xf numFmtId="43" fontId="2" fillId="0" borderId="23" xfId="591" applyBorder="1"/>
    <xf numFmtId="43" fontId="2" fillId="0" borderId="23" xfId="591" applyNumberFormat="1" applyBorder="1"/>
    <xf numFmtId="43" fontId="2" fillId="0" borderId="0" xfId="591" applyAlignment="1">
      <alignment horizontal="right"/>
    </xf>
    <xf numFmtId="0" fontId="0" fillId="0" borderId="0" xfId="0" applyAlignment="1"/>
    <xf numFmtId="43" fontId="2" fillId="0" borderId="0" xfId="591" applyNumberFormat="1"/>
    <xf numFmtId="10" fontId="0" fillId="0" borderId="0" xfId="0" applyNumberFormat="1"/>
    <xf numFmtId="43" fontId="2" fillId="0" borderId="0" xfId="591" applyNumberFormat="1" applyAlignment="1">
      <alignment horizontal="right"/>
    </xf>
    <xf numFmtId="43" fontId="2" fillId="0" borderId="23" xfId="591" applyNumberFormat="1" applyFont="1" applyBorder="1"/>
    <xf numFmtId="43" fontId="2" fillId="0" borderId="24" xfId="591" applyNumberFormat="1" applyBorder="1"/>
    <xf numFmtId="10" fontId="1" fillId="0" borderId="31" xfId="1339" applyNumberFormat="1" applyFont="1" applyFill="1" applyBorder="1"/>
    <xf numFmtId="10" fontId="1" fillId="0" borderId="31" xfId="1339" applyNumberFormat="1" applyFont="1" applyBorder="1"/>
    <xf numFmtId="0" fontId="2" fillId="0" borderId="0" xfId="0" quotePrefix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3" fontId="3" fillId="0" borderId="0" xfId="577" quotePrefix="1" applyFont="1" applyAlignment="1">
      <alignment horizontal="center"/>
    </xf>
    <xf numFmtId="43" fontId="3" fillId="0" borderId="0" xfId="577" applyFont="1" applyAlignment="1">
      <alignment horizontal="center"/>
    </xf>
    <xf numFmtId="0" fontId="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83" fontId="52" fillId="0" borderId="0" xfId="0" applyNumberFormat="1" applyFont="1" applyFill="1" applyAlignment="1">
      <alignment horizontal="center"/>
    </xf>
    <xf numFmtId="37" fontId="52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183" fontId="52" fillId="0" borderId="0" xfId="0" applyNumberFormat="1" applyFont="1" applyAlignment="1">
      <alignment horizontal="center"/>
    </xf>
    <xf numFmtId="183" fontId="52" fillId="0" borderId="0" xfId="0" quotePrefix="1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83" fontId="51" fillId="0" borderId="0" xfId="1115" applyNumberFormat="1" applyFont="1" applyFill="1" applyAlignment="1">
      <alignment horizontal="center"/>
    </xf>
    <xf numFmtId="37" fontId="51" fillId="0" borderId="0" xfId="1115" applyFont="1" applyFill="1" applyAlignment="1">
      <alignment horizontal="center"/>
    </xf>
    <xf numFmtId="37" fontId="5" fillId="0" borderId="0" xfId="1115" applyFont="1" applyFill="1" applyAlignment="1">
      <alignment horizontal="center"/>
    </xf>
    <xf numFmtId="183" fontId="51" fillId="0" borderId="0" xfId="1115" quotePrefix="1" applyNumberFormat="1" applyFont="1" applyFill="1" applyAlignment="1">
      <alignment horizontal="center"/>
    </xf>
    <xf numFmtId="183" fontId="51" fillId="0" borderId="0" xfId="1148" quotePrefix="1" applyNumberFormat="1" applyFont="1" applyFill="1" applyAlignment="1">
      <alignment horizontal="center"/>
    </xf>
    <xf numFmtId="183" fontId="51" fillId="0" borderId="0" xfId="1148" applyNumberFormat="1" applyFont="1" applyFill="1" applyAlignment="1">
      <alignment horizontal="center"/>
    </xf>
    <xf numFmtId="37" fontId="51" fillId="0" borderId="0" xfId="1148" applyFont="1" applyFill="1" applyAlignment="1">
      <alignment horizontal="center"/>
    </xf>
    <xf numFmtId="37" fontId="5" fillId="0" borderId="0" xfId="1148" applyFont="1" applyFill="1" applyAlignment="1">
      <alignment horizontal="center"/>
    </xf>
    <xf numFmtId="37" fontId="51" fillId="0" borderId="0" xfId="1148" applyFont="1" applyAlignment="1">
      <alignment horizontal="center"/>
    </xf>
    <xf numFmtId="37" fontId="5" fillId="0" borderId="0" xfId="1148" applyFont="1" applyAlignment="1">
      <alignment horizontal="center"/>
    </xf>
    <xf numFmtId="183" fontId="52" fillId="0" borderId="0" xfId="1148" applyNumberFormat="1" applyFont="1" applyAlignment="1">
      <alignment horizontal="center"/>
    </xf>
    <xf numFmtId="183" fontId="52" fillId="0" borderId="0" xfId="1148" quotePrefix="1" applyNumberFormat="1" applyFont="1" applyAlignment="1">
      <alignment horizontal="center"/>
    </xf>
    <xf numFmtId="0" fontId="5" fillId="0" borderId="0" xfId="1055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5" fontId="5" fillId="0" borderId="0" xfId="0" quotePrefix="1" applyNumberFormat="1" applyFont="1" applyAlignment="1">
      <alignment horizontal="center"/>
    </xf>
    <xf numFmtId="0" fontId="5" fillId="0" borderId="0" xfId="1090" applyFont="1" applyAlignment="1">
      <alignment horizontal="center"/>
    </xf>
    <xf numFmtId="187" fontId="2" fillId="0" borderId="0" xfId="1090" applyNumberFormat="1" applyFont="1" applyAlignment="1">
      <alignment horizontal="left"/>
    </xf>
    <xf numFmtId="187" fontId="10" fillId="0" borderId="0" xfId="1090" applyNumberFormat="1" applyAlignment="1">
      <alignment horizontal="left"/>
    </xf>
    <xf numFmtId="0" fontId="10" fillId="0" borderId="0" xfId="1090" applyAlignment="1">
      <alignment horizontal="center"/>
    </xf>
    <xf numFmtId="0" fontId="10" fillId="0" borderId="0" xfId="1090" applyAlignment="1"/>
    <xf numFmtId="43" fontId="10" fillId="0" borderId="0" xfId="609" applyFont="1" applyAlignment="1">
      <alignment horizontal="center"/>
    </xf>
    <xf numFmtId="187" fontId="2" fillId="0" borderId="0" xfId="609" applyNumberFormat="1" applyFont="1" applyAlignment="1"/>
    <xf numFmtId="15" fontId="5" fillId="0" borderId="0" xfId="1090" quotePrefix="1" applyNumberFormat="1" applyFont="1" applyAlignment="1">
      <alignment horizontal="center"/>
    </xf>
    <xf numFmtId="43" fontId="10" fillId="0" borderId="0" xfId="609" applyFont="1" applyAlignment="1">
      <alignment horizontal="left"/>
    </xf>
    <xf numFmtId="0" fontId="10" fillId="0" borderId="0" xfId="1156" applyAlignment="1">
      <alignment horizontal="center"/>
    </xf>
    <xf numFmtId="37" fontId="6" fillId="0" borderId="0" xfId="0" applyNumberFormat="1" applyFont="1" applyFill="1" applyAlignment="1" applyProtection="1">
      <alignment horizontal="center"/>
    </xf>
    <xf numFmtId="37" fontId="63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Alignment="1" applyProtection="1">
      <alignment horizontal="center"/>
    </xf>
    <xf numFmtId="37" fontId="4" fillId="0" borderId="0" xfId="1149" applyNumberFormat="1" applyFont="1" applyFill="1" applyAlignment="1" applyProtection="1">
      <alignment horizontal="center"/>
    </xf>
    <xf numFmtId="37" fontId="6" fillId="0" borderId="0" xfId="1149" applyNumberFormat="1" applyFont="1" applyFill="1" applyAlignment="1" applyProtection="1">
      <alignment horizontal="center"/>
    </xf>
    <xf numFmtId="37" fontId="63" fillId="0" borderId="0" xfId="1149" applyNumberFormat="1" applyFont="1" applyFill="1" applyAlignment="1" applyProtection="1">
      <alignment horizontal="center"/>
    </xf>
    <xf numFmtId="15" fontId="5" fillId="0" borderId="0" xfId="1155" applyNumberFormat="1" applyFont="1" applyAlignment="1">
      <alignment horizontal="center"/>
    </xf>
    <xf numFmtId="15" fontId="5" fillId="0" borderId="0" xfId="1154" applyNumberFormat="1" applyFont="1" applyAlignment="1">
      <alignment horizontal="center"/>
    </xf>
    <xf numFmtId="15" fontId="5" fillId="0" borderId="0" xfId="1153" applyNumberFormat="1" applyFont="1" applyAlignment="1">
      <alignment horizontal="center"/>
    </xf>
    <xf numFmtId="15" fontId="5" fillId="0" borderId="0" xfId="1152" applyNumberFormat="1" applyFont="1" applyAlignment="1">
      <alignment horizontal="center"/>
    </xf>
  </cellXfs>
  <cellStyles count="1682">
    <cellStyle name="_x0013_" xfId="1"/>
    <cellStyle name="_Row1" xfId="2"/>
    <cellStyle name="_Row1 2" xfId="3"/>
    <cellStyle name="20% - Accent1" xfId="4" builtinId="30" customBuiltin="1"/>
    <cellStyle name="20% - Accent1 10" xfId="5"/>
    <cellStyle name="20% - Accent1 11" xfId="6"/>
    <cellStyle name="20% - Accent1 12" xfId="7"/>
    <cellStyle name="20% - Accent1 13" xfId="8"/>
    <cellStyle name="20% - Accent1 14" xfId="9"/>
    <cellStyle name="20% - Accent1 15" xfId="10"/>
    <cellStyle name="20% - Accent1 16" xfId="11"/>
    <cellStyle name="20% - Accent1 2" xfId="12"/>
    <cellStyle name="20% - Accent1 2 2" xfId="13"/>
    <cellStyle name="20% - Accent1 3" xfId="14"/>
    <cellStyle name="20% - Accent1 4" xfId="15"/>
    <cellStyle name="20% - Accent1 5" xfId="16"/>
    <cellStyle name="20% - Accent1 6" xfId="17"/>
    <cellStyle name="20% - Accent1 7" xfId="18"/>
    <cellStyle name="20% - Accent1 8" xfId="19"/>
    <cellStyle name="20% - Accent1 9" xfId="20"/>
    <cellStyle name="20% - Accent2" xfId="21" builtinId="34" customBuiltin="1"/>
    <cellStyle name="20% - Accent2 10" xfId="22"/>
    <cellStyle name="20% - Accent2 11" xfId="23"/>
    <cellStyle name="20% - Accent2 12" xfId="24"/>
    <cellStyle name="20% - Accent2 13" xfId="25"/>
    <cellStyle name="20% - Accent2 14" xfId="26"/>
    <cellStyle name="20% - Accent2 15" xfId="27"/>
    <cellStyle name="20% - Accent2 16" xfId="28"/>
    <cellStyle name="20% - Accent2 2" xfId="29"/>
    <cellStyle name="20% - Accent2 2 2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3" xfId="38" builtinId="38" customBuiltin="1"/>
    <cellStyle name="20% - Accent3 10" xfId="39"/>
    <cellStyle name="20% - Accent3 11" xfId="40"/>
    <cellStyle name="20% - Accent3 12" xfId="41"/>
    <cellStyle name="20% - Accent3 13" xfId="42"/>
    <cellStyle name="20% - Accent3 14" xfId="43"/>
    <cellStyle name="20% - Accent3 15" xfId="44"/>
    <cellStyle name="20% - Accent3 16" xfId="45"/>
    <cellStyle name="20% - Accent3 2" xfId="46"/>
    <cellStyle name="20% - Accent3 2 2" xfId="47"/>
    <cellStyle name="20% - Accent3 3" xfId="48"/>
    <cellStyle name="20% - Accent3 4" xfId="49"/>
    <cellStyle name="20% - Accent3 5" xfId="50"/>
    <cellStyle name="20% - Accent3 6" xfId="51"/>
    <cellStyle name="20% - Accent3 7" xfId="52"/>
    <cellStyle name="20% - Accent3 8" xfId="53"/>
    <cellStyle name="20% - Accent3 9" xfId="54"/>
    <cellStyle name="20% - Accent4" xfId="55" builtinId="42" customBuiltin="1"/>
    <cellStyle name="20% - Accent4 10" xfId="56"/>
    <cellStyle name="20% - Accent4 11" xfId="57"/>
    <cellStyle name="20% - Accent4 12" xfId="58"/>
    <cellStyle name="20% - Accent4 13" xfId="59"/>
    <cellStyle name="20% - Accent4 14" xfId="60"/>
    <cellStyle name="20% - Accent4 15" xfId="61"/>
    <cellStyle name="20% - Accent4 16" xfId="62"/>
    <cellStyle name="20% - Accent4 2" xfId="63"/>
    <cellStyle name="20% - Accent4 2 2" xfId="64"/>
    <cellStyle name="20% - Accent4 2 2 2" xfId="65"/>
    <cellStyle name="20% - Accent4 2 3" xfId="66"/>
    <cellStyle name="20% - Accent4 2 3 2" xfId="67"/>
    <cellStyle name="20% - Accent4 2 4" xfId="68"/>
    <cellStyle name="20% - Accent4 2 4 2" xfId="69"/>
    <cellStyle name="20% - Accent4 2 5" xfId="70"/>
    <cellStyle name="20% - Accent4 2 6" xfId="71"/>
    <cellStyle name="20% - Accent4 3" xfId="72"/>
    <cellStyle name="20% - Accent4 3 2" xfId="73"/>
    <cellStyle name="20% - Accent4 3 2 2" xfId="74"/>
    <cellStyle name="20% - Accent4 3 3" xfId="75"/>
    <cellStyle name="20% - Accent4 3 3 2" xfId="76"/>
    <cellStyle name="20% - Accent4 3 4" xfId="77"/>
    <cellStyle name="20% - Accent4 3 4 2" xfId="78"/>
    <cellStyle name="20% - Accent4 3 5" xfId="79"/>
    <cellStyle name="20% - Accent4 3 6" xfId="80"/>
    <cellStyle name="20% - Accent4 4" xfId="81"/>
    <cellStyle name="20% - Accent4 4 2" xfId="82"/>
    <cellStyle name="20% - Accent4 4 2 2" xfId="83"/>
    <cellStyle name="20% - Accent4 4 3" xfId="84"/>
    <cellStyle name="20% - Accent4 4 3 2" xfId="85"/>
    <cellStyle name="20% - Accent4 4 4" xfId="86"/>
    <cellStyle name="20% - Accent4 4 4 2" xfId="87"/>
    <cellStyle name="20% - Accent4 4 5" xfId="88"/>
    <cellStyle name="20% - Accent4 4 6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 builtinId="46" customBuiltin="1"/>
    <cellStyle name="20% - Accent5 10" xfId="99"/>
    <cellStyle name="20% - Accent5 11" xfId="100"/>
    <cellStyle name="20% - Accent5 12" xfId="101"/>
    <cellStyle name="20% - Accent5 13" xfId="102"/>
    <cellStyle name="20% - Accent5 14" xfId="103"/>
    <cellStyle name="20% - Accent5 15" xfId="104"/>
    <cellStyle name="20% - Accent5 16" xfId="105"/>
    <cellStyle name="20% - Accent5 2" xfId="106"/>
    <cellStyle name="20% - Accent5 2 2" xfId="107"/>
    <cellStyle name="20% - Accent5 3" xfId="108"/>
    <cellStyle name="20% - Accent5 4" xfId="109"/>
    <cellStyle name="20% - Accent5 5" xfId="110"/>
    <cellStyle name="20% - Accent5 6" xfId="111"/>
    <cellStyle name="20% - Accent5 7" xfId="112"/>
    <cellStyle name="20% - Accent5 8" xfId="113"/>
    <cellStyle name="20% - Accent5 9" xfId="114"/>
    <cellStyle name="20% - Accent6" xfId="115" builtinId="50" customBuiltin="1"/>
    <cellStyle name="20% - Accent6 10" xfId="116"/>
    <cellStyle name="20% - Accent6 11" xfId="117"/>
    <cellStyle name="20% - Accent6 12" xfId="118"/>
    <cellStyle name="20% - Accent6 13" xfId="119"/>
    <cellStyle name="20% - Accent6 14" xfId="120"/>
    <cellStyle name="20% - Accent6 15" xfId="121"/>
    <cellStyle name="20% - Accent6 16" xfId="122"/>
    <cellStyle name="20% - Accent6 2" xfId="123"/>
    <cellStyle name="20% - Accent6 2 2" xfId="124"/>
    <cellStyle name="20% - Accent6 3" xfId="125"/>
    <cellStyle name="20% - Accent6 4" xfId="126"/>
    <cellStyle name="20% - Accent6 5" xfId="127"/>
    <cellStyle name="20% - Accent6 6" xfId="128"/>
    <cellStyle name="20% - Accent6 7" xfId="129"/>
    <cellStyle name="20% - Accent6 8" xfId="130"/>
    <cellStyle name="20% - Accent6 9" xfId="131"/>
    <cellStyle name="40% - Accent1" xfId="132" builtinId="31" customBuiltin="1"/>
    <cellStyle name="40% - Accent1 10" xfId="133"/>
    <cellStyle name="40% - Accent1 11" xfId="134"/>
    <cellStyle name="40% - Accent1 12" xfId="135"/>
    <cellStyle name="40% - Accent1 13" xfId="136"/>
    <cellStyle name="40% - Accent1 14" xfId="137"/>
    <cellStyle name="40% - Accent1 15" xfId="138"/>
    <cellStyle name="40% - Accent1 16" xfId="139"/>
    <cellStyle name="40% - Accent1 2" xfId="140"/>
    <cellStyle name="40% - Accent1 2 2" xfId="141"/>
    <cellStyle name="40% - Accent1 3" xfId="142"/>
    <cellStyle name="40% - Accent1 4" xfId="143"/>
    <cellStyle name="40% - Accent1 5" xfId="144"/>
    <cellStyle name="40% - Accent1 6" xfId="145"/>
    <cellStyle name="40% - Accent1 7" xfId="146"/>
    <cellStyle name="40% - Accent1 8" xfId="147"/>
    <cellStyle name="40% - Accent1 9" xfId="148"/>
    <cellStyle name="40% - Accent2" xfId="149" builtinId="35" customBuiltin="1"/>
    <cellStyle name="40% - Accent2 10" xfId="150"/>
    <cellStyle name="40% - Accent2 11" xfId="151"/>
    <cellStyle name="40% - Accent2 12" xfId="152"/>
    <cellStyle name="40% - Accent2 13" xfId="153"/>
    <cellStyle name="40% - Accent2 14" xfId="154"/>
    <cellStyle name="40% - Accent2 15" xfId="155"/>
    <cellStyle name="40% - Accent2 16" xfId="156"/>
    <cellStyle name="40% - Accent2 2" xfId="157"/>
    <cellStyle name="40% - Accent2 2 2" xfId="158"/>
    <cellStyle name="40% - Accent2 3" xfId="159"/>
    <cellStyle name="40% - Accent2 4" xfId="160"/>
    <cellStyle name="40% - Accent2 5" xfId="161"/>
    <cellStyle name="40% - Accent2 6" xfId="162"/>
    <cellStyle name="40% - Accent2 7" xfId="163"/>
    <cellStyle name="40% - Accent2 8" xfId="164"/>
    <cellStyle name="40% - Accent2 9" xfId="165"/>
    <cellStyle name="40% - Accent3" xfId="166" builtinId="39" customBuiltin="1"/>
    <cellStyle name="40% - Accent3 10" xfId="167"/>
    <cellStyle name="40% - Accent3 11" xfId="168"/>
    <cellStyle name="40% - Accent3 12" xfId="169"/>
    <cellStyle name="40% - Accent3 13" xfId="170"/>
    <cellStyle name="40% - Accent3 14" xfId="171"/>
    <cellStyle name="40% - Accent3 15" xfId="172"/>
    <cellStyle name="40% - Accent3 16" xfId="173"/>
    <cellStyle name="40% - Accent3 2" xfId="174"/>
    <cellStyle name="40% - Accent3 2 2" xfId="175"/>
    <cellStyle name="40% - Accent3 3" xfId="176"/>
    <cellStyle name="40% - Accent3 4" xfId="177"/>
    <cellStyle name="40% - Accent3 5" xfId="178"/>
    <cellStyle name="40% - Accent3 6" xfId="179"/>
    <cellStyle name="40% - Accent3 7" xfId="180"/>
    <cellStyle name="40% - Accent3 8" xfId="181"/>
    <cellStyle name="40% - Accent3 9" xfId="182"/>
    <cellStyle name="40% - Accent4" xfId="183" builtinId="43" customBuiltin="1"/>
    <cellStyle name="40% - Accent4 10" xfId="184"/>
    <cellStyle name="40% - Accent4 11" xfId="185"/>
    <cellStyle name="40% - Accent4 12" xfId="186"/>
    <cellStyle name="40% - Accent4 13" xfId="187"/>
    <cellStyle name="40% - Accent4 14" xfId="188"/>
    <cellStyle name="40% - Accent4 15" xfId="189"/>
    <cellStyle name="40% - Accent4 16" xfId="190"/>
    <cellStyle name="40% - Accent4 2" xfId="191"/>
    <cellStyle name="40% - Accent4 2 2" xfId="192"/>
    <cellStyle name="40% - Accent4 3" xfId="193"/>
    <cellStyle name="40% - Accent4 4" xfId="194"/>
    <cellStyle name="40% - Accent4 5" xfId="195"/>
    <cellStyle name="40% - Accent4 6" xfId="196"/>
    <cellStyle name="40% - Accent4 7" xfId="197"/>
    <cellStyle name="40% - Accent4 8" xfId="198"/>
    <cellStyle name="40% - Accent4 9" xfId="199"/>
    <cellStyle name="40% - Accent5" xfId="200" builtinId="47" customBuiltin="1"/>
    <cellStyle name="40% - Accent5 10" xfId="201"/>
    <cellStyle name="40% - Accent5 11" xfId="202"/>
    <cellStyle name="40% - Accent5 12" xfId="203"/>
    <cellStyle name="40% - Accent5 13" xfId="204"/>
    <cellStyle name="40% - Accent5 14" xfId="205"/>
    <cellStyle name="40% - Accent5 15" xfId="206"/>
    <cellStyle name="40% - Accent5 16" xfId="207"/>
    <cellStyle name="40% - Accent5 2" xfId="208"/>
    <cellStyle name="40% - Accent5 2 2" xfId="209"/>
    <cellStyle name="40% - Accent5 3" xfId="210"/>
    <cellStyle name="40% - Accent5 4" xfId="211"/>
    <cellStyle name="40% - Accent5 5" xfId="212"/>
    <cellStyle name="40% - Accent5 6" xfId="213"/>
    <cellStyle name="40% - Accent5 7" xfId="214"/>
    <cellStyle name="40% - Accent5 8" xfId="215"/>
    <cellStyle name="40% - Accent5 9" xfId="216"/>
    <cellStyle name="40% - Accent6" xfId="217" builtinId="51" customBuiltin="1"/>
    <cellStyle name="40% - Accent6 10" xfId="218"/>
    <cellStyle name="40% - Accent6 11" xfId="219"/>
    <cellStyle name="40% - Accent6 12" xfId="220"/>
    <cellStyle name="40% - Accent6 13" xfId="221"/>
    <cellStyle name="40% - Accent6 14" xfId="222"/>
    <cellStyle name="40% - Accent6 15" xfId="223"/>
    <cellStyle name="40% - Accent6 16" xfId="224"/>
    <cellStyle name="40% - Accent6 2" xfId="225"/>
    <cellStyle name="40% - Accent6 2 2" xfId="226"/>
    <cellStyle name="40% - Accent6 3" xfId="227"/>
    <cellStyle name="40% - Accent6 4" xfId="228"/>
    <cellStyle name="40% - Accent6 5" xfId="229"/>
    <cellStyle name="40% - Accent6 6" xfId="230"/>
    <cellStyle name="40% - Accent6 7" xfId="231"/>
    <cellStyle name="40% - Accent6 8" xfId="232"/>
    <cellStyle name="40% - Accent6 9" xfId="233"/>
    <cellStyle name="60% - Accent1" xfId="234" builtinId="32" customBuiltin="1"/>
    <cellStyle name="60% - Accent1 10" xfId="235"/>
    <cellStyle name="60% - Accent1 11" xfId="236"/>
    <cellStyle name="60% - Accent1 12" xfId="237"/>
    <cellStyle name="60% - Accent1 13" xfId="238"/>
    <cellStyle name="60% - Accent1 14" xfId="239"/>
    <cellStyle name="60% - Accent1 15" xfId="240"/>
    <cellStyle name="60% - Accent1 16" xfId="241"/>
    <cellStyle name="60% - Accent1 2" xfId="242"/>
    <cellStyle name="60% - Accent1 2 2" xfId="243"/>
    <cellStyle name="60% - Accent1 3" xfId="244"/>
    <cellStyle name="60% - Accent1 4" xfId="245"/>
    <cellStyle name="60% - Accent1 5" xfId="246"/>
    <cellStyle name="60% - Accent1 6" xfId="247"/>
    <cellStyle name="60% - Accent1 7" xfId="248"/>
    <cellStyle name="60% - Accent1 8" xfId="249"/>
    <cellStyle name="60% - Accent1 9" xfId="250"/>
    <cellStyle name="60% - Accent2" xfId="251" builtinId="36" customBuiltin="1"/>
    <cellStyle name="60% - Accent2 10" xfId="252"/>
    <cellStyle name="60% - Accent2 11" xfId="253"/>
    <cellStyle name="60% - Accent2 12" xfId="254"/>
    <cellStyle name="60% - Accent2 13" xfId="255"/>
    <cellStyle name="60% - Accent2 14" xfId="256"/>
    <cellStyle name="60% - Accent2 15" xfId="257"/>
    <cellStyle name="60% - Accent2 16" xfId="258"/>
    <cellStyle name="60% - Accent2 2" xfId="259"/>
    <cellStyle name="60% - Accent2 2 2" xfId="260"/>
    <cellStyle name="60% - Accent2 3" xfId="261"/>
    <cellStyle name="60% - Accent2 4" xfId="262"/>
    <cellStyle name="60% - Accent2 5" xfId="263"/>
    <cellStyle name="60% - Accent2 6" xfId="264"/>
    <cellStyle name="60% - Accent2 7" xfId="265"/>
    <cellStyle name="60% - Accent2 8" xfId="266"/>
    <cellStyle name="60% - Accent2 9" xfId="267"/>
    <cellStyle name="60% - Accent3" xfId="268" builtinId="40" customBuiltin="1"/>
    <cellStyle name="60% - Accent3 10" xfId="269"/>
    <cellStyle name="60% - Accent3 11" xfId="270"/>
    <cellStyle name="60% - Accent3 12" xfId="271"/>
    <cellStyle name="60% - Accent3 13" xfId="272"/>
    <cellStyle name="60% - Accent3 14" xfId="273"/>
    <cellStyle name="60% - Accent3 15" xfId="274"/>
    <cellStyle name="60% - Accent3 16" xfId="275"/>
    <cellStyle name="60% - Accent3 2" xfId="276"/>
    <cellStyle name="60% - Accent3 2 2" xfId="277"/>
    <cellStyle name="60% - Accent3 3" xfId="278"/>
    <cellStyle name="60% - Accent3 4" xfId="279"/>
    <cellStyle name="60% - Accent3 5" xfId="280"/>
    <cellStyle name="60% - Accent3 6" xfId="281"/>
    <cellStyle name="60% - Accent3 7" xfId="282"/>
    <cellStyle name="60% - Accent3 8" xfId="283"/>
    <cellStyle name="60% - Accent3 9" xfId="284"/>
    <cellStyle name="60% - Accent4" xfId="285" builtinId="44" customBuiltin="1"/>
    <cellStyle name="60% - Accent4 10" xfId="286"/>
    <cellStyle name="60% - Accent4 11" xfId="287"/>
    <cellStyle name="60% - Accent4 12" xfId="288"/>
    <cellStyle name="60% - Accent4 13" xfId="289"/>
    <cellStyle name="60% - Accent4 14" xfId="290"/>
    <cellStyle name="60% - Accent4 15" xfId="291"/>
    <cellStyle name="60% - Accent4 16" xfId="292"/>
    <cellStyle name="60% - Accent4 2" xfId="293"/>
    <cellStyle name="60% - Accent4 2 2" xfId="294"/>
    <cellStyle name="60% - Accent4 3" xfId="295"/>
    <cellStyle name="60% - Accent4 4" xfId="296"/>
    <cellStyle name="60% - Accent4 5" xfId="297"/>
    <cellStyle name="60% - Accent4 6" xfId="298"/>
    <cellStyle name="60% - Accent4 7" xfId="299"/>
    <cellStyle name="60% - Accent4 8" xfId="300"/>
    <cellStyle name="60% - Accent4 9" xfId="301"/>
    <cellStyle name="60% - Accent5" xfId="302" builtinId="48" customBuiltin="1"/>
    <cellStyle name="60% - Accent5 10" xfId="303"/>
    <cellStyle name="60% - Accent5 11" xfId="304"/>
    <cellStyle name="60% - Accent5 12" xfId="305"/>
    <cellStyle name="60% - Accent5 13" xfId="306"/>
    <cellStyle name="60% - Accent5 14" xfId="307"/>
    <cellStyle name="60% - Accent5 15" xfId="308"/>
    <cellStyle name="60% - Accent5 16" xfId="309"/>
    <cellStyle name="60% - Accent5 2" xfId="310"/>
    <cellStyle name="60% - Accent5 2 2" xfId="311"/>
    <cellStyle name="60% - Accent5 3" xfId="312"/>
    <cellStyle name="60% - Accent5 4" xfId="313"/>
    <cellStyle name="60% - Accent5 5" xfId="314"/>
    <cellStyle name="60% - Accent5 6" xfId="315"/>
    <cellStyle name="60% - Accent5 7" xfId="316"/>
    <cellStyle name="60% - Accent5 8" xfId="317"/>
    <cellStyle name="60% - Accent5 9" xfId="318"/>
    <cellStyle name="60% - Accent6" xfId="319" builtinId="52" customBuiltin="1"/>
    <cellStyle name="60% - Accent6 10" xfId="320"/>
    <cellStyle name="60% - Accent6 11" xfId="321"/>
    <cellStyle name="60% - Accent6 12" xfId="322"/>
    <cellStyle name="60% - Accent6 13" xfId="323"/>
    <cellStyle name="60% - Accent6 14" xfId="324"/>
    <cellStyle name="60% - Accent6 15" xfId="325"/>
    <cellStyle name="60% - Accent6 16" xfId="326"/>
    <cellStyle name="60% - Accent6 2" xfId="327"/>
    <cellStyle name="60% - Accent6 2 2" xfId="328"/>
    <cellStyle name="60% - Accent6 3" xfId="329"/>
    <cellStyle name="60% - Accent6 4" xfId="330"/>
    <cellStyle name="60% - Accent6 5" xfId="331"/>
    <cellStyle name="60% - Accent6 6" xfId="332"/>
    <cellStyle name="60% - Accent6 7" xfId="333"/>
    <cellStyle name="60% - Accent6 8" xfId="334"/>
    <cellStyle name="60% - Accent6 9" xfId="335"/>
    <cellStyle name="Accent1" xfId="336" builtinId="29" customBuiltin="1"/>
    <cellStyle name="Accent1 10" xfId="337"/>
    <cellStyle name="Accent1 11" xfId="338"/>
    <cellStyle name="Accent1 12" xfId="339"/>
    <cellStyle name="Accent1 13" xfId="340"/>
    <cellStyle name="Accent1 14" xfId="341"/>
    <cellStyle name="Accent1 15" xfId="342"/>
    <cellStyle name="Accent1 16" xfId="343"/>
    <cellStyle name="Accent1 2" xfId="344"/>
    <cellStyle name="Accent1 2 2" xfId="345"/>
    <cellStyle name="Accent1 3" xfId="346"/>
    <cellStyle name="Accent1 4" xfId="347"/>
    <cellStyle name="Accent1 5" xfId="348"/>
    <cellStyle name="Accent1 6" xfId="349"/>
    <cellStyle name="Accent1 7" xfId="350"/>
    <cellStyle name="Accent1 8" xfId="351"/>
    <cellStyle name="Accent1 9" xfId="352"/>
    <cellStyle name="Accent2" xfId="353" builtinId="33" customBuiltin="1"/>
    <cellStyle name="Accent2 10" xfId="354"/>
    <cellStyle name="Accent2 11" xfId="355"/>
    <cellStyle name="Accent2 12" xfId="356"/>
    <cellStyle name="Accent2 13" xfId="357"/>
    <cellStyle name="Accent2 14" xfId="358"/>
    <cellStyle name="Accent2 15" xfId="359"/>
    <cellStyle name="Accent2 16" xfId="360"/>
    <cellStyle name="Accent2 2" xfId="361"/>
    <cellStyle name="Accent2 2 2" xfId="362"/>
    <cellStyle name="Accent2 3" xfId="363"/>
    <cellStyle name="Accent2 4" xfId="364"/>
    <cellStyle name="Accent2 5" xfId="365"/>
    <cellStyle name="Accent2 6" xfId="366"/>
    <cellStyle name="Accent2 7" xfId="367"/>
    <cellStyle name="Accent2 8" xfId="368"/>
    <cellStyle name="Accent2 9" xfId="369"/>
    <cellStyle name="Accent3" xfId="370" builtinId="37" customBuiltin="1"/>
    <cellStyle name="Accent3 10" xfId="371"/>
    <cellStyle name="Accent3 11" xfId="372"/>
    <cellStyle name="Accent3 12" xfId="373"/>
    <cellStyle name="Accent3 13" xfId="374"/>
    <cellStyle name="Accent3 14" xfId="375"/>
    <cellStyle name="Accent3 15" xfId="376"/>
    <cellStyle name="Accent3 16" xfId="377"/>
    <cellStyle name="Accent3 2" xfId="378"/>
    <cellStyle name="Accent3 2 2" xfId="379"/>
    <cellStyle name="Accent3 3" xfId="380"/>
    <cellStyle name="Accent3 4" xfId="381"/>
    <cellStyle name="Accent3 5" xfId="382"/>
    <cellStyle name="Accent3 6" xfId="383"/>
    <cellStyle name="Accent3 7" xfId="384"/>
    <cellStyle name="Accent3 8" xfId="385"/>
    <cellStyle name="Accent3 9" xfId="386"/>
    <cellStyle name="Accent4" xfId="387" builtinId="41" customBuiltin="1"/>
    <cellStyle name="Accent4 10" xfId="388"/>
    <cellStyle name="Accent4 11" xfId="389"/>
    <cellStyle name="Accent4 12" xfId="390"/>
    <cellStyle name="Accent4 13" xfId="391"/>
    <cellStyle name="Accent4 14" xfId="392"/>
    <cellStyle name="Accent4 15" xfId="393"/>
    <cellStyle name="Accent4 16" xfId="394"/>
    <cellStyle name="Accent4 2" xfId="395"/>
    <cellStyle name="Accent4 2 2" xfId="396"/>
    <cellStyle name="Accent4 3" xfId="397"/>
    <cellStyle name="Accent4 4" xfId="398"/>
    <cellStyle name="Accent4 5" xfId="399"/>
    <cellStyle name="Accent4 6" xfId="400"/>
    <cellStyle name="Accent4 7" xfId="401"/>
    <cellStyle name="Accent4 8" xfId="402"/>
    <cellStyle name="Accent4 9" xfId="403"/>
    <cellStyle name="Accent5" xfId="404" builtinId="45" customBuiltin="1"/>
    <cellStyle name="Accent5 10" xfId="405"/>
    <cellStyle name="Accent5 11" xfId="406"/>
    <cellStyle name="Accent5 12" xfId="407"/>
    <cellStyle name="Accent5 13" xfId="408"/>
    <cellStyle name="Accent5 14" xfId="409"/>
    <cellStyle name="Accent5 15" xfId="410"/>
    <cellStyle name="Accent5 16" xfId="411"/>
    <cellStyle name="Accent5 2" xfId="412"/>
    <cellStyle name="Accent5 2 2" xfId="413"/>
    <cellStyle name="Accent5 3" xfId="414"/>
    <cellStyle name="Accent5 4" xfId="415"/>
    <cellStyle name="Accent5 5" xfId="416"/>
    <cellStyle name="Accent5 6" xfId="417"/>
    <cellStyle name="Accent5 7" xfId="418"/>
    <cellStyle name="Accent5 8" xfId="419"/>
    <cellStyle name="Accent5 9" xfId="420"/>
    <cellStyle name="Accent6" xfId="421" builtinId="49" customBuiltin="1"/>
    <cellStyle name="Accent6 10" xfId="422"/>
    <cellStyle name="Accent6 11" xfId="423"/>
    <cellStyle name="Accent6 12" xfId="424"/>
    <cellStyle name="Accent6 13" xfId="425"/>
    <cellStyle name="Accent6 14" xfId="426"/>
    <cellStyle name="Accent6 15" xfId="427"/>
    <cellStyle name="Accent6 16" xfId="428"/>
    <cellStyle name="Accent6 2" xfId="429"/>
    <cellStyle name="Accent6 2 2" xfId="430"/>
    <cellStyle name="Accent6 3" xfId="431"/>
    <cellStyle name="Accent6 4" xfId="432"/>
    <cellStyle name="Accent6 5" xfId="433"/>
    <cellStyle name="Accent6 6" xfId="434"/>
    <cellStyle name="Accent6 7" xfId="435"/>
    <cellStyle name="Accent6 8" xfId="436"/>
    <cellStyle name="Accent6 9" xfId="437"/>
    <cellStyle name="Bad" xfId="438" builtinId="27" customBuiltin="1"/>
    <cellStyle name="Bad 10" xfId="439"/>
    <cellStyle name="Bad 11" xfId="440"/>
    <cellStyle name="Bad 12" xfId="441"/>
    <cellStyle name="Bad 13" xfId="442"/>
    <cellStyle name="Bad 14" xfId="443"/>
    <cellStyle name="Bad 15" xfId="444"/>
    <cellStyle name="Bad 16" xfId="445"/>
    <cellStyle name="Bad 2" xfId="446"/>
    <cellStyle name="Bad 2 2" xfId="447"/>
    <cellStyle name="Bad 3" xfId="448"/>
    <cellStyle name="Bad 4" xfId="449"/>
    <cellStyle name="Bad 5" xfId="450"/>
    <cellStyle name="Bad 6" xfId="451"/>
    <cellStyle name="Bad 7" xfId="452"/>
    <cellStyle name="Bad 8" xfId="453"/>
    <cellStyle name="Bad 9" xfId="454"/>
    <cellStyle name="c" xfId="455"/>
    <cellStyle name="Calculation" xfId="456" builtinId="22" customBuiltin="1"/>
    <cellStyle name="Calculation 10" xfId="457"/>
    <cellStyle name="Calculation 10 2" xfId="458"/>
    <cellStyle name="Calculation 10 2 2" xfId="459"/>
    <cellStyle name="Calculation 10 3" xfId="460"/>
    <cellStyle name="Calculation 10 4" xfId="461"/>
    <cellStyle name="Calculation 11" xfId="462"/>
    <cellStyle name="Calculation 11 2" xfId="463"/>
    <cellStyle name="Calculation 11 2 2" xfId="464"/>
    <cellStyle name="Calculation 11 3" xfId="465"/>
    <cellStyle name="Calculation 11 4" xfId="466"/>
    <cellStyle name="Calculation 12" xfId="467"/>
    <cellStyle name="Calculation 12 2" xfId="468"/>
    <cellStyle name="Calculation 12 2 2" xfId="469"/>
    <cellStyle name="Calculation 12 3" xfId="470"/>
    <cellStyle name="Calculation 12 4" xfId="471"/>
    <cellStyle name="Calculation 13" xfId="472"/>
    <cellStyle name="Calculation 13 2" xfId="473"/>
    <cellStyle name="Calculation 13 2 2" xfId="474"/>
    <cellStyle name="Calculation 13 3" xfId="475"/>
    <cellStyle name="Calculation 13 4" xfId="476"/>
    <cellStyle name="Calculation 14" xfId="477"/>
    <cellStyle name="Calculation 14 2" xfId="478"/>
    <cellStyle name="Calculation 14 2 2" xfId="479"/>
    <cellStyle name="Calculation 14 3" xfId="480"/>
    <cellStyle name="Calculation 14 4" xfId="481"/>
    <cellStyle name="Calculation 15" xfId="482"/>
    <cellStyle name="Calculation 15 2" xfId="483"/>
    <cellStyle name="Calculation 15 2 2" xfId="484"/>
    <cellStyle name="Calculation 15 3" xfId="485"/>
    <cellStyle name="Calculation 15 4" xfId="486"/>
    <cellStyle name="Calculation 16" xfId="487"/>
    <cellStyle name="Calculation 16 2" xfId="488"/>
    <cellStyle name="Calculation 16 2 2" xfId="489"/>
    <cellStyle name="Calculation 16 3" xfId="490"/>
    <cellStyle name="Calculation 16 4" xfId="491"/>
    <cellStyle name="Calculation 17" xfId="492"/>
    <cellStyle name="Calculation 17 2" xfId="493"/>
    <cellStyle name="Calculation 17 2 2" xfId="494"/>
    <cellStyle name="Calculation 17 3" xfId="495"/>
    <cellStyle name="Calculation 18" xfId="496"/>
    <cellStyle name="Calculation 18 2" xfId="497"/>
    <cellStyle name="Calculation 18 2 2" xfId="498"/>
    <cellStyle name="Calculation 18 3" xfId="499"/>
    <cellStyle name="Calculation 19" xfId="500"/>
    <cellStyle name="Calculation 19 2" xfId="501"/>
    <cellStyle name="Calculation 19 2 2" xfId="502"/>
    <cellStyle name="Calculation 19 3" xfId="503"/>
    <cellStyle name="Calculation 2" xfId="504"/>
    <cellStyle name="Calculation 2 2" xfId="505"/>
    <cellStyle name="Calculation 2 2 2" xfId="506"/>
    <cellStyle name="Calculation 2 3" xfId="507"/>
    <cellStyle name="Calculation 2 4" xfId="508"/>
    <cellStyle name="Calculation 20" xfId="509"/>
    <cellStyle name="Calculation 20 2" xfId="510"/>
    <cellStyle name="Calculation 20 2 2" xfId="511"/>
    <cellStyle name="Calculation 20 3" xfId="512"/>
    <cellStyle name="Calculation 21" xfId="513"/>
    <cellStyle name="Calculation 21 2" xfId="514"/>
    <cellStyle name="Calculation 21 2 2" xfId="515"/>
    <cellStyle name="Calculation 21 3" xfId="516"/>
    <cellStyle name="Calculation 22" xfId="517"/>
    <cellStyle name="Calculation 22 2" xfId="518"/>
    <cellStyle name="Calculation 3" xfId="519"/>
    <cellStyle name="Calculation 3 2" xfId="520"/>
    <cellStyle name="Calculation 3 2 2" xfId="521"/>
    <cellStyle name="Calculation 3 3" xfId="522"/>
    <cellStyle name="Calculation 3 4" xfId="523"/>
    <cellStyle name="Calculation 4" xfId="524"/>
    <cellStyle name="Calculation 4 2" xfId="525"/>
    <cellStyle name="Calculation 4 2 2" xfId="526"/>
    <cellStyle name="Calculation 4 3" xfId="527"/>
    <cellStyle name="Calculation 4 4" xfId="528"/>
    <cellStyle name="Calculation 5" xfId="529"/>
    <cellStyle name="Calculation 5 2" xfId="530"/>
    <cellStyle name="Calculation 5 2 2" xfId="531"/>
    <cellStyle name="Calculation 5 3" xfId="532"/>
    <cellStyle name="Calculation 5 4" xfId="533"/>
    <cellStyle name="Calculation 6" xfId="534"/>
    <cellStyle name="Calculation 6 2" xfId="535"/>
    <cellStyle name="Calculation 6 2 2" xfId="536"/>
    <cellStyle name="Calculation 6 3" xfId="537"/>
    <cellStyle name="Calculation 6 4" xfId="538"/>
    <cellStyle name="Calculation 7" xfId="539"/>
    <cellStyle name="Calculation 7 2" xfId="540"/>
    <cellStyle name="Calculation 7 2 2" xfId="541"/>
    <cellStyle name="Calculation 7 3" xfId="542"/>
    <cellStyle name="Calculation 7 4" xfId="543"/>
    <cellStyle name="Calculation 8" xfId="544"/>
    <cellStyle name="Calculation 8 2" xfId="545"/>
    <cellStyle name="Calculation 8 2 2" xfId="546"/>
    <cellStyle name="Calculation 8 3" xfId="547"/>
    <cellStyle name="Calculation 8 4" xfId="548"/>
    <cellStyle name="Calculation 9" xfId="549"/>
    <cellStyle name="Calculation 9 2" xfId="550"/>
    <cellStyle name="Calculation 9 2 2" xfId="551"/>
    <cellStyle name="Calculation 9 3" xfId="552"/>
    <cellStyle name="Calculation 9 4" xfId="553"/>
    <cellStyle name="Check Cell" xfId="554" builtinId="23" customBuiltin="1"/>
    <cellStyle name="Check Cell 10" xfId="555"/>
    <cellStyle name="Check Cell 11" xfId="556"/>
    <cellStyle name="Check Cell 12" xfId="557"/>
    <cellStyle name="Check Cell 13" xfId="558"/>
    <cellStyle name="Check Cell 14" xfId="559"/>
    <cellStyle name="Check Cell 15" xfId="560"/>
    <cellStyle name="Check Cell 16" xfId="561"/>
    <cellStyle name="Check Cell 2" xfId="562"/>
    <cellStyle name="Check Cell 2 2" xfId="563"/>
    <cellStyle name="Check Cell 3" xfId="564"/>
    <cellStyle name="Check Cell 4" xfId="565"/>
    <cellStyle name="Check Cell 5" xfId="566"/>
    <cellStyle name="Check Cell 6" xfId="567"/>
    <cellStyle name="Check Cell 7" xfId="568"/>
    <cellStyle name="Check Cell 8" xfId="569"/>
    <cellStyle name="Check Cell 9" xfId="570"/>
    <cellStyle name="CodeEingabe" xfId="571"/>
    <cellStyle name="ColumnAttributeAbovePrompt" xfId="572"/>
    <cellStyle name="ColumnAttributePrompt" xfId="573"/>
    <cellStyle name="ColumnAttributeValue" xfId="574"/>
    <cellStyle name="ColumnHeadingPrompt" xfId="575"/>
    <cellStyle name="ColumnHeadingValue" xfId="576"/>
    <cellStyle name="Comma" xfId="577" builtinId="3"/>
    <cellStyle name="Comma [0] 2" xfId="578"/>
    <cellStyle name="Comma [0] 3" xfId="579"/>
    <cellStyle name="Comma [0] 4" xfId="580"/>
    <cellStyle name="Comma 10" xfId="581"/>
    <cellStyle name="Comma 11" xfId="582"/>
    <cellStyle name="Comma 12" xfId="583"/>
    <cellStyle name="Comma 13" xfId="584"/>
    <cellStyle name="Comma 2" xfId="585"/>
    <cellStyle name="Comma 2 10" xfId="586"/>
    <cellStyle name="Comma 2 11" xfId="587"/>
    <cellStyle name="Comma 2 12" xfId="588"/>
    <cellStyle name="Comma 2 13" xfId="589"/>
    <cellStyle name="Comma 2 14" xfId="590"/>
    <cellStyle name="Comma 2 15" xfId="591"/>
    <cellStyle name="Comma 2 2" xfId="592"/>
    <cellStyle name="Comma 2 2 2" xfId="593"/>
    <cellStyle name="Comma 2 2 2 2" xfId="594"/>
    <cellStyle name="Comma 2 2 2 2 2" xfId="595"/>
    <cellStyle name="Comma 2 2 2 3" xfId="596"/>
    <cellStyle name="Comma 2 2 3" xfId="597"/>
    <cellStyle name="Comma 2 3" xfId="598"/>
    <cellStyle name="Comma 2 3 2" xfId="599"/>
    <cellStyle name="Comma 2 3 2 2" xfId="600"/>
    <cellStyle name="Comma 2 3 3" xfId="601"/>
    <cellStyle name="Comma 2 3 4" xfId="602"/>
    <cellStyle name="Comma 2 4" xfId="603"/>
    <cellStyle name="Comma 2 5" xfId="604"/>
    <cellStyle name="Comma 2 6" xfId="605"/>
    <cellStyle name="Comma 2 7" xfId="606"/>
    <cellStyle name="Comma 2 8" xfId="607"/>
    <cellStyle name="Comma 2 9" xfId="608"/>
    <cellStyle name="Comma 3" xfId="609"/>
    <cellStyle name="Comma 3 2" xfId="610"/>
    <cellStyle name="Comma 3 2 2" xfId="611"/>
    <cellStyle name="Comma 3 2 2 2" xfId="612"/>
    <cellStyle name="Comma 3 2 3" xfId="613"/>
    <cellStyle name="Comma 3 2 4" xfId="614"/>
    <cellStyle name="Comma 3 3" xfId="615"/>
    <cellStyle name="Comma 3 3 2" xfId="616"/>
    <cellStyle name="Comma 3 3 2 2" xfId="617"/>
    <cellStyle name="Comma 3 3 3" xfId="618"/>
    <cellStyle name="Comma 3 4" xfId="619"/>
    <cellStyle name="Comma 3 4 2" xfId="620"/>
    <cellStyle name="Comma 3 4 2 2" xfId="621"/>
    <cellStyle name="Comma 3 4 3" xfId="622"/>
    <cellStyle name="Comma 3 5" xfId="623"/>
    <cellStyle name="Comma 3 5 2" xfId="624"/>
    <cellStyle name="Comma 3 6" xfId="625"/>
    <cellStyle name="Comma 3 6 2" xfId="626"/>
    <cellStyle name="Comma 3 7" xfId="627"/>
    <cellStyle name="Comma 31" xfId="628"/>
    <cellStyle name="Comma 4" xfId="629"/>
    <cellStyle name="Comma 4 2" xfId="630"/>
    <cellStyle name="Comma 4 2 2" xfId="631"/>
    <cellStyle name="Comma 4 2 2 2" xfId="632"/>
    <cellStyle name="Comma 4 2 3" xfId="633"/>
    <cellStyle name="Comma 4 3" xfId="634"/>
    <cellStyle name="Comma 4 3 2" xfId="635"/>
    <cellStyle name="Comma 4 4" xfId="636"/>
    <cellStyle name="Comma 4 5" xfId="637"/>
    <cellStyle name="Comma 5" xfId="638"/>
    <cellStyle name="Comma 5 2" xfId="639"/>
    <cellStyle name="Comma 6" xfId="640"/>
    <cellStyle name="Comma 6 2" xfId="641"/>
    <cellStyle name="Comma 7" xfId="642"/>
    <cellStyle name="Comma 7 10" xfId="643"/>
    <cellStyle name="Comma 7 11" xfId="644"/>
    <cellStyle name="Comma 7 2" xfId="645"/>
    <cellStyle name="Comma 7 2 2" xfId="646"/>
    <cellStyle name="Comma 7 2 2 2" xfId="647"/>
    <cellStyle name="Comma 7 2 3" xfId="648"/>
    <cellStyle name="Comma 7 3" xfId="649"/>
    <cellStyle name="Comma 7 3 2" xfId="650"/>
    <cellStyle name="Comma 7 4" xfId="651"/>
    <cellStyle name="Comma 7 4 2" xfId="652"/>
    <cellStyle name="Comma 7 5" xfId="653"/>
    <cellStyle name="Comma 7 5 2" xfId="654"/>
    <cellStyle name="Comma 7 6" xfId="655"/>
    <cellStyle name="Comma 7 6 2" xfId="656"/>
    <cellStyle name="Comma 7 7" xfId="657"/>
    <cellStyle name="Comma 7 7 2" xfId="658"/>
    <cellStyle name="Comma 7 8" xfId="659"/>
    <cellStyle name="Comma 7 8 2" xfId="660"/>
    <cellStyle name="Comma 7 9" xfId="661"/>
    <cellStyle name="Comma 8" xfId="662"/>
    <cellStyle name="Comma 8 2" xfId="663"/>
    <cellStyle name="Comma 8 2 2" xfId="664"/>
    <cellStyle name="Comma 8 3" xfId="665"/>
    <cellStyle name="Comma 8 4" xfId="666"/>
    <cellStyle name="Comma 9" xfId="667"/>
    <cellStyle name="Comma0" xfId="668"/>
    <cellStyle name="Comma0 2" xfId="669"/>
    <cellStyle name="Comma0 3" xfId="670"/>
    <cellStyle name="Comma0 4" xfId="671"/>
    <cellStyle name="Comma0_SCH11 Not Done" xfId="672"/>
    <cellStyle name="Currency" xfId="673" builtinId="4"/>
    <cellStyle name="Currency 10" xfId="674"/>
    <cellStyle name="Currency 2" xfId="675"/>
    <cellStyle name="Currency 2 2" xfId="676"/>
    <cellStyle name="Currency 2 3" xfId="677"/>
    <cellStyle name="Currency 2 3 2" xfId="678"/>
    <cellStyle name="Currency 2 4" xfId="679"/>
    <cellStyle name="Currency 3" xfId="680"/>
    <cellStyle name="Currency 3 2" xfId="681"/>
    <cellStyle name="Currency 3 2 2" xfId="682"/>
    <cellStyle name="Currency 3 2 3" xfId="683"/>
    <cellStyle name="Currency 3 3" xfId="684"/>
    <cellStyle name="Currency 3 4" xfId="685"/>
    <cellStyle name="Currency 4" xfId="686"/>
    <cellStyle name="Currency 4 2" xfId="687"/>
    <cellStyle name="Currency 4 2 2" xfId="688"/>
    <cellStyle name="Currency 4 3" xfId="689"/>
    <cellStyle name="Currency 4 4" xfId="690"/>
    <cellStyle name="Currency 5" xfId="691"/>
    <cellStyle name="Currency 5 2" xfId="692"/>
    <cellStyle name="Currency 5 3" xfId="693"/>
    <cellStyle name="Currency 6" xfId="694"/>
    <cellStyle name="Currency 6 2" xfId="695"/>
    <cellStyle name="Currency 6 3" xfId="696"/>
    <cellStyle name="Currency 7" xfId="697"/>
    <cellStyle name="Currency 7 2" xfId="698"/>
    <cellStyle name="Currency 7 3" xfId="699"/>
    <cellStyle name="Currency0" xfId="700"/>
    <cellStyle name="Currency0 2" xfId="701"/>
    <cellStyle name="Currency0 3" xfId="702"/>
    <cellStyle name="Currency0 4" xfId="703"/>
    <cellStyle name="Currency0 5" xfId="704"/>
    <cellStyle name="Date" xfId="705"/>
    <cellStyle name="Date 2" xfId="706"/>
    <cellStyle name="Date 3" xfId="707"/>
    <cellStyle name="Date 4" xfId="708"/>
    <cellStyle name="Date 5" xfId="709"/>
    <cellStyle name="Eingabe" xfId="710"/>
    <cellStyle name="Eingabe 2" xfId="711"/>
    <cellStyle name="Euro" xfId="712"/>
    <cellStyle name="Euro 2" xfId="713"/>
    <cellStyle name="Euro 2 2" xfId="714"/>
    <cellStyle name="Euro 3" xfId="715"/>
    <cellStyle name="Euro 4" xfId="716"/>
    <cellStyle name="Explanatory Text" xfId="717" builtinId="53" customBuiltin="1"/>
    <cellStyle name="Explanatory Text 10" xfId="718"/>
    <cellStyle name="Explanatory Text 11" xfId="719"/>
    <cellStyle name="Explanatory Text 12" xfId="720"/>
    <cellStyle name="Explanatory Text 13" xfId="721"/>
    <cellStyle name="Explanatory Text 14" xfId="722"/>
    <cellStyle name="Explanatory Text 15" xfId="723"/>
    <cellStyle name="Explanatory Text 16" xfId="724"/>
    <cellStyle name="Explanatory Text 2" xfId="725"/>
    <cellStyle name="Explanatory Text 2 2" xfId="726"/>
    <cellStyle name="Explanatory Text 3" xfId="727"/>
    <cellStyle name="Explanatory Text 4" xfId="728"/>
    <cellStyle name="Explanatory Text 5" xfId="729"/>
    <cellStyle name="Explanatory Text 6" xfId="730"/>
    <cellStyle name="Explanatory Text 7" xfId="731"/>
    <cellStyle name="Explanatory Text 8" xfId="732"/>
    <cellStyle name="Explanatory Text 9" xfId="733"/>
    <cellStyle name="F2" xfId="734"/>
    <cellStyle name="F2 2" xfId="735"/>
    <cellStyle name="F2 3" xfId="736"/>
    <cellStyle name="F2 4" xfId="737"/>
    <cellStyle name="F2 5" xfId="738"/>
    <cellStyle name="F2 6" xfId="739"/>
    <cellStyle name="F2 7" xfId="740"/>
    <cellStyle name="F2 8" xfId="741"/>
    <cellStyle name="F2 9" xfId="742"/>
    <cellStyle name="F2_Regenerated Revenues LGE Gas 2008-04 with Elec Gen-Seelye final version " xfId="743"/>
    <cellStyle name="F3" xfId="744"/>
    <cellStyle name="F3 2" xfId="745"/>
    <cellStyle name="F3 2 2" xfId="746"/>
    <cellStyle name="F3 3" xfId="747"/>
    <cellStyle name="F3 4" xfId="748"/>
    <cellStyle name="F3 5" xfId="749"/>
    <cellStyle name="F3 6" xfId="750"/>
    <cellStyle name="F3 7" xfId="751"/>
    <cellStyle name="F3 8" xfId="752"/>
    <cellStyle name="F3 9" xfId="753"/>
    <cellStyle name="F3_Regenerated Revenues LGE Gas 2008-04 with Elec Gen-Seelye final version " xfId="754"/>
    <cellStyle name="F4" xfId="755"/>
    <cellStyle name="F4 2" xfId="756"/>
    <cellStyle name="F4 2 2" xfId="757"/>
    <cellStyle name="F4 3" xfId="758"/>
    <cellStyle name="F4 4" xfId="759"/>
    <cellStyle name="F4 5" xfId="760"/>
    <cellStyle name="F4 6" xfId="761"/>
    <cellStyle name="F4 7" xfId="762"/>
    <cellStyle name="F4 8" xfId="763"/>
    <cellStyle name="F4 9" xfId="764"/>
    <cellStyle name="F4_Regenerated Revenues LGE Gas 2008-04 with Elec Gen-Seelye final version " xfId="765"/>
    <cellStyle name="F5" xfId="766"/>
    <cellStyle name="F5 2" xfId="767"/>
    <cellStyle name="F5 2 2" xfId="768"/>
    <cellStyle name="F5 3" xfId="769"/>
    <cellStyle name="F5 4" xfId="770"/>
    <cellStyle name="F5 5" xfId="771"/>
    <cellStyle name="F5 6" xfId="772"/>
    <cellStyle name="F5 7" xfId="773"/>
    <cellStyle name="F5 8" xfId="774"/>
    <cellStyle name="F5 9" xfId="775"/>
    <cellStyle name="F5_Regenerated Revenues LGE Gas 2008-04 with Elec Gen-Seelye final version " xfId="776"/>
    <cellStyle name="F6" xfId="777"/>
    <cellStyle name="F6 2" xfId="778"/>
    <cellStyle name="F6 3" xfId="779"/>
    <cellStyle name="F6 4" xfId="780"/>
    <cellStyle name="F6 5" xfId="781"/>
    <cellStyle name="F6 6" xfId="782"/>
    <cellStyle name="F6 7" xfId="783"/>
    <cellStyle name="F6 8" xfId="784"/>
    <cellStyle name="F6 9" xfId="785"/>
    <cellStyle name="F6_Regenerated Revenues LGE Gas 2008-04 with Elec Gen-Seelye final version " xfId="786"/>
    <cellStyle name="F7" xfId="787"/>
    <cellStyle name="F7 2" xfId="788"/>
    <cellStyle name="F7 3" xfId="789"/>
    <cellStyle name="F7 4" xfId="790"/>
    <cellStyle name="F7 5" xfId="791"/>
    <cellStyle name="F7 6" xfId="792"/>
    <cellStyle name="F7 7" xfId="793"/>
    <cellStyle name="F7 8" xfId="794"/>
    <cellStyle name="F7 9" xfId="795"/>
    <cellStyle name="F7_Regenerated Revenues LGE Gas 2008-04 with Elec Gen-Seelye final version " xfId="796"/>
    <cellStyle name="F8" xfId="797"/>
    <cellStyle name="F8 2" xfId="798"/>
    <cellStyle name="F8 2 2" xfId="799"/>
    <cellStyle name="F8 3" xfId="800"/>
    <cellStyle name="F8 4" xfId="801"/>
    <cellStyle name="F8 5" xfId="802"/>
    <cellStyle name="F8 6" xfId="803"/>
    <cellStyle name="F8 7" xfId="804"/>
    <cellStyle name="F8 8" xfId="805"/>
    <cellStyle name="F8 9" xfId="806"/>
    <cellStyle name="F8_Regenerated Revenues LGE Gas 2008-04 with Elec Gen-Seelye final version " xfId="807"/>
    <cellStyle name="Fixed" xfId="808"/>
    <cellStyle name="Fixed 2" xfId="809"/>
    <cellStyle name="Fixed 3" xfId="810"/>
    <cellStyle name="Fixed 4" xfId="811"/>
    <cellStyle name="Fixed 5" xfId="812"/>
    <cellStyle name="Good" xfId="813" builtinId="26" customBuiltin="1"/>
    <cellStyle name="Good 10" xfId="814"/>
    <cellStyle name="Good 11" xfId="815"/>
    <cellStyle name="Good 12" xfId="816"/>
    <cellStyle name="Good 13" xfId="817"/>
    <cellStyle name="Good 14" xfId="818"/>
    <cellStyle name="Good 15" xfId="819"/>
    <cellStyle name="Good 16" xfId="820"/>
    <cellStyle name="Good 2" xfId="821"/>
    <cellStyle name="Good 2 2" xfId="822"/>
    <cellStyle name="Good 3" xfId="823"/>
    <cellStyle name="Good 4" xfId="824"/>
    <cellStyle name="Good 5" xfId="825"/>
    <cellStyle name="Good 6" xfId="826"/>
    <cellStyle name="Good 7" xfId="827"/>
    <cellStyle name="Good 8" xfId="828"/>
    <cellStyle name="Good 9" xfId="829"/>
    <cellStyle name="Heading 1" xfId="830" builtinId="16" customBuiltin="1"/>
    <cellStyle name="Heading 1 10" xfId="831"/>
    <cellStyle name="Heading 1 11" xfId="832"/>
    <cellStyle name="Heading 1 12" xfId="833"/>
    <cellStyle name="Heading 1 13" xfId="834"/>
    <cellStyle name="Heading 1 14" xfId="835"/>
    <cellStyle name="Heading 1 15" xfId="836"/>
    <cellStyle name="Heading 1 16" xfId="837"/>
    <cellStyle name="Heading 1 17" xfId="838"/>
    <cellStyle name="Heading 1 2" xfId="839"/>
    <cellStyle name="Heading 1 2 2" xfId="840"/>
    <cellStyle name="Heading 1 3" xfId="841"/>
    <cellStyle name="Heading 1 4" xfId="842"/>
    <cellStyle name="Heading 1 5" xfId="843"/>
    <cellStyle name="Heading 1 6" xfId="844"/>
    <cellStyle name="Heading 1 7" xfId="845"/>
    <cellStyle name="Heading 1 8" xfId="846"/>
    <cellStyle name="Heading 1 9" xfId="847"/>
    <cellStyle name="Heading 2" xfId="848" builtinId="17" customBuiltin="1"/>
    <cellStyle name="Heading 2 10" xfId="849"/>
    <cellStyle name="Heading 2 11" xfId="850"/>
    <cellStyle name="Heading 2 12" xfId="851"/>
    <cellStyle name="Heading 2 13" xfId="852"/>
    <cellStyle name="Heading 2 14" xfId="853"/>
    <cellStyle name="Heading 2 15" xfId="854"/>
    <cellStyle name="Heading 2 16" xfId="855"/>
    <cellStyle name="Heading 2 17" xfId="856"/>
    <cellStyle name="Heading 2 2" xfId="857"/>
    <cellStyle name="Heading 2 2 2" xfId="858"/>
    <cellStyle name="Heading 2 3" xfId="859"/>
    <cellStyle name="Heading 2 4" xfId="860"/>
    <cellStyle name="Heading 2 5" xfId="861"/>
    <cellStyle name="Heading 2 6" xfId="862"/>
    <cellStyle name="Heading 2 7" xfId="863"/>
    <cellStyle name="Heading 2 8" xfId="864"/>
    <cellStyle name="Heading 2 9" xfId="865"/>
    <cellStyle name="Heading 3" xfId="866" builtinId="18" customBuiltin="1"/>
    <cellStyle name="Heading 3 10" xfId="867"/>
    <cellStyle name="Heading 3 11" xfId="868"/>
    <cellStyle name="Heading 3 12" xfId="869"/>
    <cellStyle name="Heading 3 13" xfId="870"/>
    <cellStyle name="Heading 3 14" xfId="871"/>
    <cellStyle name="Heading 3 15" xfId="872"/>
    <cellStyle name="Heading 3 16" xfId="873"/>
    <cellStyle name="Heading 3 2" xfId="874"/>
    <cellStyle name="Heading 3 2 2" xfId="875"/>
    <cellStyle name="Heading 3 3" xfId="876"/>
    <cellStyle name="Heading 3 4" xfId="877"/>
    <cellStyle name="Heading 3 5" xfId="878"/>
    <cellStyle name="Heading 3 6" xfId="879"/>
    <cellStyle name="Heading 3 7" xfId="880"/>
    <cellStyle name="Heading 3 8" xfId="881"/>
    <cellStyle name="Heading 3 9" xfId="882"/>
    <cellStyle name="Heading 4" xfId="883" builtinId="19" customBuiltin="1"/>
    <cellStyle name="Heading 4 10" xfId="884"/>
    <cellStyle name="Heading 4 11" xfId="885"/>
    <cellStyle name="Heading 4 12" xfId="886"/>
    <cellStyle name="Heading 4 13" xfId="887"/>
    <cellStyle name="Heading 4 14" xfId="888"/>
    <cellStyle name="Heading 4 15" xfId="889"/>
    <cellStyle name="Heading 4 16" xfId="890"/>
    <cellStyle name="Heading 4 2" xfId="891"/>
    <cellStyle name="Heading 4 2 2" xfId="892"/>
    <cellStyle name="Heading 4 3" xfId="893"/>
    <cellStyle name="Heading 4 4" xfId="894"/>
    <cellStyle name="Heading 4 5" xfId="895"/>
    <cellStyle name="Heading 4 6" xfId="896"/>
    <cellStyle name="Heading 4 7" xfId="897"/>
    <cellStyle name="Heading 4 8" xfId="898"/>
    <cellStyle name="Heading 4 9" xfId="899"/>
    <cellStyle name="Input" xfId="900" builtinId="20" customBuiltin="1"/>
    <cellStyle name="Input 10" xfId="901"/>
    <cellStyle name="Input 10 2" xfId="902"/>
    <cellStyle name="Input 10 2 2" xfId="903"/>
    <cellStyle name="Input 10 3" xfId="904"/>
    <cellStyle name="Input 10 4" xfId="905"/>
    <cellStyle name="Input 11" xfId="906"/>
    <cellStyle name="Input 11 2" xfId="907"/>
    <cellStyle name="Input 11 2 2" xfId="908"/>
    <cellStyle name="Input 11 3" xfId="909"/>
    <cellStyle name="Input 11 4" xfId="910"/>
    <cellStyle name="Input 12" xfId="911"/>
    <cellStyle name="Input 12 2" xfId="912"/>
    <cellStyle name="Input 12 2 2" xfId="913"/>
    <cellStyle name="Input 12 3" xfId="914"/>
    <cellStyle name="Input 12 4" xfId="915"/>
    <cellStyle name="Input 13" xfId="916"/>
    <cellStyle name="Input 13 2" xfId="917"/>
    <cellStyle name="Input 13 2 2" xfId="918"/>
    <cellStyle name="Input 13 3" xfId="919"/>
    <cellStyle name="Input 13 4" xfId="920"/>
    <cellStyle name="Input 14" xfId="921"/>
    <cellStyle name="Input 14 2" xfId="922"/>
    <cellStyle name="Input 14 2 2" xfId="923"/>
    <cellStyle name="Input 14 3" xfId="924"/>
    <cellStyle name="Input 14 4" xfId="925"/>
    <cellStyle name="Input 15" xfId="926"/>
    <cellStyle name="Input 15 2" xfId="927"/>
    <cellStyle name="Input 15 2 2" xfId="928"/>
    <cellStyle name="Input 15 3" xfId="929"/>
    <cellStyle name="Input 15 4" xfId="930"/>
    <cellStyle name="Input 16" xfId="931"/>
    <cellStyle name="Input 16 2" xfId="932"/>
    <cellStyle name="Input 16 2 2" xfId="933"/>
    <cellStyle name="Input 16 3" xfId="934"/>
    <cellStyle name="Input 16 4" xfId="935"/>
    <cellStyle name="Input 17" xfId="936"/>
    <cellStyle name="Input 17 2" xfId="937"/>
    <cellStyle name="Input 17 2 2" xfId="938"/>
    <cellStyle name="Input 17 3" xfId="939"/>
    <cellStyle name="Input 18" xfId="940"/>
    <cellStyle name="Input 18 2" xfId="941"/>
    <cellStyle name="Input 18 2 2" xfId="942"/>
    <cellStyle name="Input 18 3" xfId="943"/>
    <cellStyle name="Input 19" xfId="944"/>
    <cellStyle name="Input 19 2" xfId="945"/>
    <cellStyle name="Input 19 2 2" xfId="946"/>
    <cellStyle name="Input 19 3" xfId="947"/>
    <cellStyle name="Input 2" xfId="948"/>
    <cellStyle name="Input 2 2" xfId="949"/>
    <cellStyle name="Input 2 2 2" xfId="950"/>
    <cellStyle name="Input 2 3" xfId="951"/>
    <cellStyle name="Input 2 4" xfId="952"/>
    <cellStyle name="Input 20" xfId="953"/>
    <cellStyle name="Input 20 2" xfId="954"/>
    <cellStyle name="Input 20 2 2" xfId="955"/>
    <cellStyle name="Input 20 3" xfId="956"/>
    <cellStyle name="Input 21" xfId="957"/>
    <cellStyle name="Input 21 2" xfId="958"/>
    <cellStyle name="Input 21 2 2" xfId="959"/>
    <cellStyle name="Input 21 3" xfId="960"/>
    <cellStyle name="Input 22" xfId="961"/>
    <cellStyle name="Input 22 2" xfId="962"/>
    <cellStyle name="Input 3" xfId="963"/>
    <cellStyle name="Input 3 2" xfId="964"/>
    <cellStyle name="Input 3 2 2" xfId="965"/>
    <cellStyle name="Input 3 3" xfId="966"/>
    <cellStyle name="Input 3 4" xfId="967"/>
    <cellStyle name="Input 4" xfId="968"/>
    <cellStyle name="Input 4 2" xfId="969"/>
    <cellStyle name="Input 4 2 2" xfId="970"/>
    <cellStyle name="Input 4 3" xfId="971"/>
    <cellStyle name="Input 4 4" xfId="972"/>
    <cellStyle name="Input 5" xfId="973"/>
    <cellStyle name="Input 5 2" xfId="974"/>
    <cellStyle name="Input 5 2 2" xfId="975"/>
    <cellStyle name="Input 5 3" xfId="976"/>
    <cellStyle name="Input 5 4" xfId="977"/>
    <cellStyle name="Input 6" xfId="978"/>
    <cellStyle name="Input 6 2" xfId="979"/>
    <cellStyle name="Input 6 2 2" xfId="980"/>
    <cellStyle name="Input 6 3" xfId="981"/>
    <cellStyle name="Input 6 4" xfId="982"/>
    <cellStyle name="Input 7" xfId="983"/>
    <cellStyle name="Input 7 2" xfId="984"/>
    <cellStyle name="Input 7 2 2" xfId="985"/>
    <cellStyle name="Input 7 3" xfId="986"/>
    <cellStyle name="Input 7 4" xfId="987"/>
    <cellStyle name="Input 8" xfId="988"/>
    <cellStyle name="Input 8 2" xfId="989"/>
    <cellStyle name="Input 8 2 2" xfId="990"/>
    <cellStyle name="Input 8 3" xfId="991"/>
    <cellStyle name="Input 8 4" xfId="992"/>
    <cellStyle name="Input 9" xfId="993"/>
    <cellStyle name="Input 9 2" xfId="994"/>
    <cellStyle name="Input 9 2 2" xfId="995"/>
    <cellStyle name="Input 9 3" xfId="996"/>
    <cellStyle name="Input 9 4" xfId="997"/>
    <cellStyle name="LineItemPrompt" xfId="998"/>
    <cellStyle name="LineItemValue" xfId="999"/>
    <cellStyle name="LineItemValue 2" xfId="1000"/>
    <cellStyle name="Linked Cell" xfId="1001" builtinId="24" customBuiltin="1"/>
    <cellStyle name="Linked Cell 10" xfId="1002"/>
    <cellStyle name="Linked Cell 11" xfId="1003"/>
    <cellStyle name="Linked Cell 12" xfId="1004"/>
    <cellStyle name="Linked Cell 13" xfId="1005"/>
    <cellStyle name="Linked Cell 14" xfId="1006"/>
    <cellStyle name="Linked Cell 15" xfId="1007"/>
    <cellStyle name="Linked Cell 16" xfId="1008"/>
    <cellStyle name="Linked Cell 2" xfId="1009"/>
    <cellStyle name="Linked Cell 2 2" xfId="1010"/>
    <cellStyle name="Linked Cell 3" xfId="1011"/>
    <cellStyle name="Linked Cell 4" xfId="1012"/>
    <cellStyle name="Linked Cell 5" xfId="1013"/>
    <cellStyle name="Linked Cell 6" xfId="1014"/>
    <cellStyle name="Linked Cell 7" xfId="1015"/>
    <cellStyle name="Linked Cell 8" xfId="1016"/>
    <cellStyle name="Linked Cell 9" xfId="1017"/>
    <cellStyle name="Neutral" xfId="1018" builtinId="28" customBuiltin="1"/>
    <cellStyle name="Neutral 10" xfId="1019"/>
    <cellStyle name="Neutral 11" xfId="1020"/>
    <cellStyle name="Neutral 12" xfId="1021"/>
    <cellStyle name="Neutral 13" xfId="1022"/>
    <cellStyle name="Neutral 14" xfId="1023"/>
    <cellStyle name="Neutral 15" xfId="1024"/>
    <cellStyle name="Neutral 16" xfId="1025"/>
    <cellStyle name="Neutral 2" xfId="1026"/>
    <cellStyle name="Neutral 2 2" xfId="1027"/>
    <cellStyle name="Neutral 3" xfId="1028"/>
    <cellStyle name="Neutral 4" xfId="1029"/>
    <cellStyle name="Neutral 5" xfId="1030"/>
    <cellStyle name="Neutral 6" xfId="1031"/>
    <cellStyle name="Neutral 7" xfId="1032"/>
    <cellStyle name="Neutral 8" xfId="1033"/>
    <cellStyle name="Neutral 9" xfId="1034"/>
    <cellStyle name="Normal" xfId="0" builtinId="0"/>
    <cellStyle name="Normal 10" xfId="1035"/>
    <cellStyle name="Normal 10 2" xfId="1036"/>
    <cellStyle name="Normal 11" xfId="1037"/>
    <cellStyle name="Normal 11 2" xfId="1038"/>
    <cellStyle name="Normal 12" xfId="1039"/>
    <cellStyle name="Normal 12 2" xfId="1040"/>
    <cellStyle name="Normal 13" xfId="1041"/>
    <cellStyle name="Normal 13 2" xfId="1042"/>
    <cellStyle name="Normal 14" xfId="1043"/>
    <cellStyle name="Normal 14 2" xfId="1044"/>
    <cellStyle name="Normal 14 3" xfId="1045"/>
    <cellStyle name="Normal 15" xfId="1046"/>
    <cellStyle name="Normal 15 2" xfId="1047"/>
    <cellStyle name="Normal 15 3" xfId="1048"/>
    <cellStyle name="Normal 16" xfId="1049"/>
    <cellStyle name="Normal 17" xfId="1050"/>
    <cellStyle name="Normal 17 2" xfId="1051"/>
    <cellStyle name="Normal 18" xfId="1052"/>
    <cellStyle name="Normal 18 2" xfId="1053"/>
    <cellStyle name="Normal 19" xfId="1054"/>
    <cellStyle name="Normal 2" xfId="1055"/>
    <cellStyle name="Normal 2 10" xfId="1056"/>
    <cellStyle name="Normal 2 11" xfId="1057"/>
    <cellStyle name="Normal 2 12" xfId="1058"/>
    <cellStyle name="Normal 2 13" xfId="1059"/>
    <cellStyle name="Normal 2 14" xfId="1060"/>
    <cellStyle name="Normal 2 15" xfId="1061"/>
    <cellStyle name="Normal 2 16" xfId="1062"/>
    <cellStyle name="Normal 2 17" xfId="1063"/>
    <cellStyle name="Normal 2 2" xfId="1064"/>
    <cellStyle name="Normal 2 2 2" xfId="1065"/>
    <cellStyle name="Normal 2 2 3" xfId="1066"/>
    <cellStyle name="Normal 2 2 4" xfId="1067"/>
    <cellStyle name="Normal 2 2 4 2" xfId="1068"/>
    <cellStyle name="Normal 2 3" xfId="1069"/>
    <cellStyle name="Normal 2 4" xfId="1070"/>
    <cellStyle name="Normal 2 5" xfId="1071"/>
    <cellStyle name="Normal 2 5 2" xfId="1072"/>
    <cellStyle name="Normal 2 5 3" xfId="1073"/>
    <cellStyle name="Normal 2 6" xfId="1074"/>
    <cellStyle name="Normal 2 7" xfId="1075"/>
    <cellStyle name="Normal 2 8" xfId="1076"/>
    <cellStyle name="Normal 2 9" xfId="1077"/>
    <cellStyle name="Normal 2_LGEElecBillingDeterminants2009-10" xfId="1078"/>
    <cellStyle name="Normal 20" xfId="1079"/>
    <cellStyle name="Normal 20 2" xfId="1080"/>
    <cellStyle name="Normal 21" xfId="1081"/>
    <cellStyle name="Normal 22" xfId="1082"/>
    <cellStyle name="Normal 23" xfId="1083"/>
    <cellStyle name="Normal 24" xfId="1084"/>
    <cellStyle name="Normal 25" xfId="1085"/>
    <cellStyle name="Normal 26" xfId="1086"/>
    <cellStyle name="Normal 27" xfId="1087"/>
    <cellStyle name="Normal 28" xfId="1088"/>
    <cellStyle name="Normal 29" xfId="1089"/>
    <cellStyle name="Normal 3" xfId="1090"/>
    <cellStyle name="Normal 3 10" xfId="1091"/>
    <cellStyle name="Normal 3 11" xfId="1092"/>
    <cellStyle name="Normal 3 12" xfId="1093"/>
    <cellStyle name="Normal 3 13" xfId="1094"/>
    <cellStyle name="Normal 3 14" xfId="1095"/>
    <cellStyle name="Normal 3 15" xfId="1096"/>
    <cellStyle name="Normal 3 16" xfId="1097"/>
    <cellStyle name="Normal 3 17" xfId="1098"/>
    <cellStyle name="Normal 3 2" xfId="1099"/>
    <cellStyle name="Normal 3 2 2" xfId="1100"/>
    <cellStyle name="Normal 3 3" xfId="1101"/>
    <cellStyle name="Normal 3 3 2" xfId="1102"/>
    <cellStyle name="Normal 3 4" xfId="1103"/>
    <cellStyle name="Normal 3 5" xfId="1104"/>
    <cellStyle name="Normal 3 6" xfId="1105"/>
    <cellStyle name="Normal 3 7" xfId="1106"/>
    <cellStyle name="Normal 3 8" xfId="1107"/>
    <cellStyle name="Normal 3 9" xfId="1108"/>
    <cellStyle name="Normal 3_LGEElecBillingDeterminants2009-10" xfId="1109"/>
    <cellStyle name="Normal 30" xfId="1110"/>
    <cellStyle name="Normal 31" xfId="1111"/>
    <cellStyle name="Normal 32" xfId="1112"/>
    <cellStyle name="Normal 33" xfId="1113"/>
    <cellStyle name="Normal 34" xfId="1114"/>
    <cellStyle name="Normal 35" xfId="1115"/>
    <cellStyle name="Normal 4" xfId="1116"/>
    <cellStyle name="Normal 4 2" xfId="1117"/>
    <cellStyle name="Normal 4 3" xfId="1118"/>
    <cellStyle name="Normal 4 4" xfId="1119"/>
    <cellStyle name="Normal 4_Regenerated Revenues LGE Gas 10312009" xfId="1120"/>
    <cellStyle name="Normal 5" xfId="1121"/>
    <cellStyle name="Normal 5 2" xfId="1122"/>
    <cellStyle name="Normal 5 2 2" xfId="1123"/>
    <cellStyle name="Normal 5 3" xfId="1124"/>
    <cellStyle name="Normal 5 3 2" xfId="1125"/>
    <cellStyle name="Normal 6" xfId="1126"/>
    <cellStyle name="Normal 6 2" xfId="1127"/>
    <cellStyle name="Normal 6 2 2" xfId="1128"/>
    <cellStyle name="Normal 6 3" xfId="1129"/>
    <cellStyle name="Normal 6 3 2" xfId="1130"/>
    <cellStyle name="Normal 6 4" xfId="1131"/>
    <cellStyle name="Normal 6 4 2" xfId="1132"/>
    <cellStyle name="Normal 7" xfId="1133"/>
    <cellStyle name="Normal 7 2" xfId="1134"/>
    <cellStyle name="Normal 7 3" xfId="1135"/>
    <cellStyle name="Normal 7 4" xfId="1136"/>
    <cellStyle name="Normal 8" xfId="1137"/>
    <cellStyle name="Normal 8 2" xfId="1138"/>
    <cellStyle name="Normal 8 2 2" xfId="1139"/>
    <cellStyle name="Normal 8 3" xfId="1140"/>
    <cellStyle name="Normal 9" xfId="1141"/>
    <cellStyle name="Normal 9 2" xfId="1142"/>
    <cellStyle name="Normal 9 2 2" xfId="1143"/>
    <cellStyle name="Normal 9 2 3" xfId="1144"/>
    <cellStyle name="Normal 9 3" xfId="1145"/>
    <cellStyle name="Normal 9 3 2" xfId="1146"/>
    <cellStyle name="Normal 9 4" xfId="1147"/>
    <cellStyle name="Normal_2003 - 2007 KU Rate Base Calculations" xfId="1148"/>
    <cellStyle name="Normal_Embedded Costs - KU-LGE" xfId="1149"/>
    <cellStyle name="Normal_KU ESM Forms 2001(Final Order 10-16-02)" xfId="1150"/>
    <cellStyle name="Normal_KU ESM Forms 2001(Final Order 10-16-02) 3" xfId="1151"/>
    <cellStyle name="Normal_KU1204rept" xfId="1152"/>
    <cellStyle name="Normal_ku1205rept" xfId="1153"/>
    <cellStyle name="Normal_ku1206rept" xfId="1154"/>
    <cellStyle name="Normal_ku1207rept" xfId="1155"/>
    <cellStyle name="Normal_ku1208rept revised" xfId="1156"/>
    <cellStyle name="Normal_PSC 1-38 (2003) Draft RAR Account Balances for Rate of Return Calculation" xfId="1157"/>
    <cellStyle name="Normal_Q38 CE" xfId="1158"/>
    <cellStyle name="Normal_Report (2)" xfId="1159"/>
    <cellStyle name="Note" xfId="1160" builtinId="10" customBuiltin="1"/>
    <cellStyle name="Note 10" xfId="1161"/>
    <cellStyle name="Note 10 2" xfId="1162"/>
    <cellStyle name="Note 10 2 2" xfId="1163"/>
    <cellStyle name="Note 10 3" xfId="1164"/>
    <cellStyle name="Note 10 4" xfId="1165"/>
    <cellStyle name="Note 11" xfId="1166"/>
    <cellStyle name="Note 11 2" xfId="1167"/>
    <cellStyle name="Note 11 2 2" xfId="1168"/>
    <cellStyle name="Note 11 3" xfId="1169"/>
    <cellStyle name="Note 11 4" xfId="1170"/>
    <cellStyle name="Note 12" xfId="1171"/>
    <cellStyle name="Note 12 2" xfId="1172"/>
    <cellStyle name="Note 12 2 2" xfId="1173"/>
    <cellStyle name="Note 12 3" xfId="1174"/>
    <cellStyle name="Note 12 4" xfId="1175"/>
    <cellStyle name="Note 13" xfId="1176"/>
    <cellStyle name="Note 13 2" xfId="1177"/>
    <cellStyle name="Note 13 2 2" xfId="1178"/>
    <cellStyle name="Note 13 3" xfId="1179"/>
    <cellStyle name="Note 13 4" xfId="1180"/>
    <cellStyle name="Note 14" xfId="1181"/>
    <cellStyle name="Note 14 2" xfId="1182"/>
    <cellStyle name="Note 14 2 2" xfId="1183"/>
    <cellStyle name="Note 14 3" xfId="1184"/>
    <cellStyle name="Note 14 4" xfId="1185"/>
    <cellStyle name="Note 15" xfId="1186"/>
    <cellStyle name="Note 15 2" xfId="1187"/>
    <cellStyle name="Note 15 2 2" xfId="1188"/>
    <cellStyle name="Note 15 3" xfId="1189"/>
    <cellStyle name="Note 16" xfId="1190"/>
    <cellStyle name="Note 16 2" xfId="1191"/>
    <cellStyle name="Note 16 2 2" xfId="1192"/>
    <cellStyle name="Note 16 3" xfId="1193"/>
    <cellStyle name="Note 17" xfId="1194"/>
    <cellStyle name="Note 17 2" xfId="1195"/>
    <cellStyle name="Note 17 2 2" xfId="1196"/>
    <cellStyle name="Note 17 3" xfId="1197"/>
    <cellStyle name="Note 18" xfId="1198"/>
    <cellStyle name="Note 18 2" xfId="1199"/>
    <cellStyle name="Note 18 2 2" xfId="1200"/>
    <cellStyle name="Note 18 3" xfId="1201"/>
    <cellStyle name="Note 19" xfId="1202"/>
    <cellStyle name="Note 19 2" xfId="1203"/>
    <cellStyle name="Note 19 2 2" xfId="1204"/>
    <cellStyle name="Note 19 3" xfId="1205"/>
    <cellStyle name="Note 2" xfId="1206"/>
    <cellStyle name="Note 2 2" xfId="1207"/>
    <cellStyle name="Note 2 2 2" xfId="1208"/>
    <cellStyle name="Note 2 2 3" xfId="1209"/>
    <cellStyle name="Note 2 3" xfId="1210"/>
    <cellStyle name="Note 2 3 2" xfId="1211"/>
    <cellStyle name="Note 20" xfId="1212"/>
    <cellStyle name="Note 20 2" xfId="1213"/>
    <cellStyle name="Note 20 2 2" xfId="1214"/>
    <cellStyle name="Note 20 3" xfId="1215"/>
    <cellStyle name="Note 21" xfId="1216"/>
    <cellStyle name="Note 21 2" xfId="1217"/>
    <cellStyle name="Note 21 2 2" xfId="1218"/>
    <cellStyle name="Note 21 3" xfId="1219"/>
    <cellStyle name="Note 22" xfId="1220"/>
    <cellStyle name="Note 22 2" xfId="1221"/>
    <cellStyle name="Note 3" xfId="1222"/>
    <cellStyle name="Note 3 2" xfId="1223"/>
    <cellStyle name="Note 3 2 2" xfId="1224"/>
    <cellStyle name="Note 3 2 3" xfId="1225"/>
    <cellStyle name="Note 3 3" xfId="1226"/>
    <cellStyle name="Note 3 3 2" xfId="1227"/>
    <cellStyle name="Note 4" xfId="1228"/>
    <cellStyle name="Note 4 2" xfId="1229"/>
    <cellStyle name="Note 4 2 2" xfId="1230"/>
    <cellStyle name="Note 4 2 3" xfId="1231"/>
    <cellStyle name="Note 4 3" xfId="1232"/>
    <cellStyle name="Note 4 3 2" xfId="1233"/>
    <cellStyle name="Note 4 4" xfId="1234"/>
    <cellStyle name="Note 5" xfId="1235"/>
    <cellStyle name="Note 5 2" xfId="1236"/>
    <cellStyle name="Note 5 2 2" xfId="1237"/>
    <cellStyle name="Note 5 2 3" xfId="1238"/>
    <cellStyle name="Note 5 3" xfId="1239"/>
    <cellStyle name="Note 5 3 2" xfId="1240"/>
    <cellStyle name="Note 5 4" xfId="1241"/>
    <cellStyle name="Note 6" xfId="1242"/>
    <cellStyle name="Note 6 2" xfId="1243"/>
    <cellStyle name="Note 6 2 2" xfId="1244"/>
    <cellStyle name="Note 6 2 3" xfId="1245"/>
    <cellStyle name="Note 6 3" xfId="1246"/>
    <cellStyle name="Note 6 3 2" xfId="1247"/>
    <cellStyle name="Note 6 4" xfId="1248"/>
    <cellStyle name="Note 7" xfId="1249"/>
    <cellStyle name="Note 7 2" xfId="1250"/>
    <cellStyle name="Note 7 2 2" xfId="1251"/>
    <cellStyle name="Note 7 2 3" xfId="1252"/>
    <cellStyle name="Note 7 3" xfId="1253"/>
    <cellStyle name="Note 7 3 2" xfId="1254"/>
    <cellStyle name="Note 7 4" xfId="1255"/>
    <cellStyle name="Note 8" xfId="1256"/>
    <cellStyle name="Note 8 2" xfId="1257"/>
    <cellStyle name="Note 8 2 2" xfId="1258"/>
    <cellStyle name="Note 8 2 3" xfId="1259"/>
    <cellStyle name="Note 8 3" xfId="1260"/>
    <cellStyle name="Note 8 3 2" xfId="1261"/>
    <cellStyle name="Note 8 4" xfId="1262"/>
    <cellStyle name="Note 9" xfId="1263"/>
    <cellStyle name="Note 9 2" xfId="1264"/>
    <cellStyle name="Note 9 2 2" xfId="1265"/>
    <cellStyle name="Note 9 3" xfId="1266"/>
    <cellStyle name="Note 9 4" xfId="1267"/>
    <cellStyle name="Output" xfId="1268" builtinId="21" customBuiltin="1"/>
    <cellStyle name="Output 10" xfId="1269"/>
    <cellStyle name="Output 11" xfId="1270"/>
    <cellStyle name="Output 12" xfId="1271"/>
    <cellStyle name="Output 13" xfId="1272"/>
    <cellStyle name="Output 14" xfId="1273"/>
    <cellStyle name="Output 15" xfId="1274"/>
    <cellStyle name="Output 16" xfId="1275"/>
    <cellStyle name="Output 2" xfId="1276"/>
    <cellStyle name="Output 2 2" xfId="1277"/>
    <cellStyle name="Output 2 3" xfId="1278"/>
    <cellStyle name="Output 3" xfId="1279"/>
    <cellStyle name="Output 4" xfId="1280"/>
    <cellStyle name="Output 5" xfId="1281"/>
    <cellStyle name="Output 6" xfId="1282"/>
    <cellStyle name="Output 7" xfId="1283"/>
    <cellStyle name="Output 8" xfId="1284"/>
    <cellStyle name="Output 9" xfId="1285"/>
    <cellStyle name="Output Amounts" xfId="1286"/>
    <cellStyle name="Output Amounts 2" xfId="1287"/>
    <cellStyle name="OUTPUT AMOUNTS 3" xfId="1288"/>
    <cellStyle name="OUTPUT AMOUNTS 4" xfId="1289"/>
    <cellStyle name="Output Amounts_d1" xfId="1290"/>
    <cellStyle name="Output Column Headings" xfId="1291"/>
    <cellStyle name="OUTPUT COLUMN HEADINGS 10" xfId="1292"/>
    <cellStyle name="Output Column Headings 2" xfId="1293"/>
    <cellStyle name="Output Column Headings 2 2" xfId="1294"/>
    <cellStyle name="Output Column Headings 3" xfId="1295"/>
    <cellStyle name="Output Column Headings 4" xfId="1296"/>
    <cellStyle name="Output Column Headings 5" xfId="1297"/>
    <cellStyle name="Output Column Headings 6" xfId="1298"/>
    <cellStyle name="Output Column Headings 7" xfId="1299"/>
    <cellStyle name="Output Column Headings 8" xfId="1300"/>
    <cellStyle name="Output Column Headings 9" xfId="1301"/>
    <cellStyle name="Output Column Headings_d1" xfId="1302"/>
    <cellStyle name="Output Line Items" xfId="1303"/>
    <cellStyle name="OUTPUT LINE ITEMS 10" xfId="1304"/>
    <cellStyle name="Output Line Items 2" xfId="1305"/>
    <cellStyle name="Output Line Items 2 2" xfId="1306"/>
    <cellStyle name="Output Line Items 3" xfId="1307"/>
    <cellStyle name="Output Line Items 4" xfId="1308"/>
    <cellStyle name="Output Line Items 5" xfId="1309"/>
    <cellStyle name="Output Line Items 6" xfId="1310"/>
    <cellStyle name="Output Line Items 7" xfId="1311"/>
    <cellStyle name="Output Line Items 8" xfId="1312"/>
    <cellStyle name="Output Line Items 9" xfId="1313"/>
    <cellStyle name="Output Line Items_d1" xfId="1314"/>
    <cellStyle name="Output Report Heading" xfId="1315"/>
    <cellStyle name="OUTPUT REPORT HEADING 10" xfId="1316"/>
    <cellStyle name="Output Report Heading 2" xfId="1317"/>
    <cellStyle name="Output Report Heading 2 2" xfId="1318"/>
    <cellStyle name="Output Report Heading 3" xfId="1319"/>
    <cellStyle name="Output Report Heading 4" xfId="1320"/>
    <cellStyle name="Output Report Heading 5" xfId="1321"/>
    <cellStyle name="Output Report Heading 6" xfId="1322"/>
    <cellStyle name="Output Report Heading 7" xfId="1323"/>
    <cellStyle name="Output Report Heading 8" xfId="1324"/>
    <cellStyle name="Output Report Heading 9" xfId="1325"/>
    <cellStyle name="Output Report Heading_d1" xfId="1326"/>
    <cellStyle name="Output Report Title" xfId="1327"/>
    <cellStyle name="OUTPUT REPORT TITLE 10" xfId="1328"/>
    <cellStyle name="Output Report Title 2" xfId="1329"/>
    <cellStyle name="Output Report Title 2 2" xfId="1330"/>
    <cellStyle name="Output Report Title 3" xfId="1331"/>
    <cellStyle name="Output Report Title 4" xfId="1332"/>
    <cellStyle name="Output Report Title 5" xfId="1333"/>
    <cellStyle name="Output Report Title 6" xfId="1334"/>
    <cellStyle name="Output Report Title 7" xfId="1335"/>
    <cellStyle name="Output Report Title 8" xfId="1336"/>
    <cellStyle name="Output Report Title 9" xfId="1337"/>
    <cellStyle name="Output Report Title_d1" xfId="1338"/>
    <cellStyle name="Percent" xfId="1339" builtinId="5"/>
    <cellStyle name="Percent 2" xfId="1340"/>
    <cellStyle name="Percent 2 2" xfId="1341"/>
    <cellStyle name="Percent 2 3" xfId="1342"/>
    <cellStyle name="Percent 3" xfId="1343"/>
    <cellStyle name="Percent 3 2" xfId="1344"/>
    <cellStyle name="Percent 4" xfId="1345"/>
    <cellStyle name="Percent 5" xfId="1346"/>
    <cellStyle name="Percent 6" xfId="1347"/>
    <cellStyle name="Percent 7" xfId="1348"/>
    <cellStyle name="Percent 8" xfId="1349"/>
    <cellStyle name="Percent 9" xfId="1350"/>
    <cellStyle name="PSChar" xfId="1351"/>
    <cellStyle name="PSDate" xfId="1352"/>
    <cellStyle name="PSDec" xfId="1353"/>
    <cellStyle name="PSHeading" xfId="1354"/>
    <cellStyle name="PSInt" xfId="1355"/>
    <cellStyle name="PSSpacer" xfId="1356"/>
    <cellStyle name="ReportTitlePrompt" xfId="1357"/>
    <cellStyle name="ReportTitlePrompt 2" xfId="1358"/>
    <cellStyle name="ReportTitleValue" xfId="1359"/>
    <cellStyle name="RowAcctAbovePrompt" xfId="1360"/>
    <cellStyle name="RowAcctSOBAbovePrompt" xfId="1361"/>
    <cellStyle name="RowAcctSOBValue" xfId="1362"/>
    <cellStyle name="RowAcctValue" xfId="1363"/>
    <cellStyle name="RowAttrAbovePrompt" xfId="1364"/>
    <cellStyle name="RowAttrValue" xfId="1365"/>
    <cellStyle name="RowColSetAbovePrompt" xfId="1366"/>
    <cellStyle name="RowColSetLeftPrompt" xfId="1367"/>
    <cellStyle name="RowColSetValue" xfId="1368"/>
    <cellStyle name="RowColSetValue 2" xfId="1369"/>
    <cellStyle name="RowLeftPrompt" xfId="1370"/>
    <cellStyle name="SampleUsingFormatMask" xfId="1371"/>
    <cellStyle name="SampleWithNoFormatMask" xfId="1372"/>
    <cellStyle name="SAPBEXaggData" xfId="1373"/>
    <cellStyle name="SAPBEXaggData 2" xfId="1374"/>
    <cellStyle name="SAPBEXaggDataEmph" xfId="1375"/>
    <cellStyle name="SAPBEXaggItem" xfId="1376"/>
    <cellStyle name="SAPBEXaggItem 2" xfId="1377"/>
    <cellStyle name="SAPBEXaggItemX" xfId="1378"/>
    <cellStyle name="SAPBEXaggItemX 2" xfId="1379"/>
    <cellStyle name="SAPBEXchaText" xfId="1380"/>
    <cellStyle name="SAPBEXchaText 2" xfId="1381"/>
    <cellStyle name="SAPBEXexcBad7" xfId="1382"/>
    <cellStyle name="SAPBEXexcBad7 2" xfId="1383"/>
    <cellStyle name="SAPBEXexcBad8" xfId="1384"/>
    <cellStyle name="SAPBEXexcBad9" xfId="1385"/>
    <cellStyle name="SAPBEXexcCritical4" xfId="1386"/>
    <cellStyle name="SAPBEXexcCritical4 2" xfId="1387"/>
    <cellStyle name="SAPBEXexcCritical5" xfId="1388"/>
    <cellStyle name="SAPBEXexcCritical5 2" xfId="1389"/>
    <cellStyle name="SAPBEXexcCritical6" xfId="1390"/>
    <cellStyle name="SAPBEXexcCritical6 2" xfId="1391"/>
    <cellStyle name="SAPBEXexcGood1" xfId="1392"/>
    <cellStyle name="SAPBEXexcGood2" xfId="1393"/>
    <cellStyle name="SAPBEXexcGood3" xfId="1394"/>
    <cellStyle name="SAPBEXexcGood3 2" xfId="1395"/>
    <cellStyle name="SAPBEXfilterDrill" xfId="1396"/>
    <cellStyle name="SAPBEXfilterDrill 2" xfId="1397"/>
    <cellStyle name="SAPBEXfilterItem" xfId="1398"/>
    <cellStyle name="SAPBEXfilterItem 2" xfId="1399"/>
    <cellStyle name="SAPBEXfilterText" xfId="1400"/>
    <cellStyle name="SAPBEXfilterText 2" xfId="1401"/>
    <cellStyle name="SAPBEXformats" xfId="1402"/>
    <cellStyle name="SAPBEXformats 2" xfId="1403"/>
    <cellStyle name="SAPBEXheaderItem" xfId="1404"/>
    <cellStyle name="SAPBEXheaderItem 2" xfId="1405"/>
    <cellStyle name="SAPBEXheaderText" xfId="1406"/>
    <cellStyle name="SAPBEXheaderText 2" xfId="1407"/>
    <cellStyle name="SAPBEXHLevel0" xfId="1408"/>
    <cellStyle name="SAPBEXHLevel0 2" xfId="1409"/>
    <cellStyle name="SAPBEXHLevel0X" xfId="1410"/>
    <cellStyle name="SAPBEXHLevel0X 2" xfId="1411"/>
    <cellStyle name="SAPBEXHLevel1" xfId="1412"/>
    <cellStyle name="SAPBEXHLevel1 2" xfId="1413"/>
    <cellStyle name="SAPBEXHLevel1X" xfId="1414"/>
    <cellStyle name="SAPBEXHLevel1X 2" xfId="1415"/>
    <cellStyle name="SAPBEXHLevel2" xfId="1416"/>
    <cellStyle name="SAPBEXHLevel2 2" xfId="1417"/>
    <cellStyle name="SAPBEXHLevel2X" xfId="1418"/>
    <cellStyle name="SAPBEXHLevel2X 2" xfId="1419"/>
    <cellStyle name="SAPBEXHLevel3" xfId="1420"/>
    <cellStyle name="SAPBEXHLevel3 2" xfId="1421"/>
    <cellStyle name="SAPBEXHLevel3X" xfId="1422"/>
    <cellStyle name="SAPBEXHLevel3X 2" xfId="1423"/>
    <cellStyle name="SAPBEXresData" xfId="1424"/>
    <cellStyle name="SAPBEXresDataEmph" xfId="1425"/>
    <cellStyle name="SAPBEXresItem" xfId="1426"/>
    <cellStyle name="SAPBEXresItem 2" xfId="1427"/>
    <cellStyle name="SAPBEXresItemX" xfId="1428"/>
    <cellStyle name="SAPBEXresItemX 2" xfId="1429"/>
    <cellStyle name="SAPBEXstdData" xfId="1430"/>
    <cellStyle name="SAPBEXstdData 2" xfId="1431"/>
    <cellStyle name="SAPBEXstdDataEmph" xfId="1432"/>
    <cellStyle name="SAPBEXstdDataEmph 2" xfId="1433"/>
    <cellStyle name="SAPBEXstdItem" xfId="1434"/>
    <cellStyle name="SAPBEXstdItem 2" xfId="1435"/>
    <cellStyle name="SAPBEXstdItemX" xfId="1436"/>
    <cellStyle name="SAPBEXstdItemX 2" xfId="1437"/>
    <cellStyle name="SAPBEXtitle" xfId="1438"/>
    <cellStyle name="SAPBEXundefined" xfId="1439"/>
    <cellStyle name="SAPBEXundefined 2" xfId="1440"/>
    <cellStyle name="SAPLocked" xfId="1441"/>
    <cellStyle name="SAPLocked 10" xfId="1442"/>
    <cellStyle name="SAPLocked 10 2" xfId="1443"/>
    <cellStyle name="SAPLocked 10 2 2" xfId="1444"/>
    <cellStyle name="SAPLocked 10 3" xfId="1445"/>
    <cellStyle name="SAPLocked 11" xfId="1446"/>
    <cellStyle name="SAPLocked 11 2" xfId="1447"/>
    <cellStyle name="SAPLocked 11 2 2" xfId="1448"/>
    <cellStyle name="SAPLocked 11 3" xfId="1449"/>
    <cellStyle name="SAPLocked 12" xfId="1450"/>
    <cellStyle name="SAPLocked 12 2" xfId="1451"/>
    <cellStyle name="SAPLocked 12 2 2" xfId="1452"/>
    <cellStyle name="SAPLocked 12 3" xfId="1453"/>
    <cellStyle name="SAPLocked 13" xfId="1454"/>
    <cellStyle name="SAPLocked 13 2" xfId="1455"/>
    <cellStyle name="SAPLocked 13 2 2" xfId="1456"/>
    <cellStyle name="SAPLocked 13 3" xfId="1457"/>
    <cellStyle name="SAPLocked 14" xfId="1458"/>
    <cellStyle name="SAPLocked 14 2" xfId="1459"/>
    <cellStyle name="SAPLocked 14 2 2" xfId="1460"/>
    <cellStyle name="SAPLocked 14 3" xfId="1461"/>
    <cellStyle name="SAPLocked 15" xfId="1462"/>
    <cellStyle name="SAPLocked 15 2" xfId="1463"/>
    <cellStyle name="SAPLocked 15 2 2" xfId="1464"/>
    <cellStyle name="SAPLocked 15 3" xfId="1465"/>
    <cellStyle name="SAPLocked 16" xfId="1466"/>
    <cellStyle name="SAPLocked 16 2" xfId="1467"/>
    <cellStyle name="SAPLocked 16 2 2" xfId="1468"/>
    <cellStyle name="SAPLocked 16 3" xfId="1469"/>
    <cellStyle name="SAPLocked 17" xfId="1470"/>
    <cellStyle name="SAPLocked 17 2" xfId="1471"/>
    <cellStyle name="SAPLocked 17 2 2" xfId="1472"/>
    <cellStyle name="SAPLocked 17 3" xfId="1473"/>
    <cellStyle name="SAPLocked 18" xfId="1474"/>
    <cellStyle name="SAPLocked 18 2" xfId="1475"/>
    <cellStyle name="SAPLocked 18 2 2" xfId="1476"/>
    <cellStyle name="SAPLocked 18 3" xfId="1477"/>
    <cellStyle name="SAPLocked 19" xfId="1478"/>
    <cellStyle name="SAPLocked 19 2" xfId="1479"/>
    <cellStyle name="SAPLocked 19 2 2" xfId="1480"/>
    <cellStyle name="SAPLocked 19 3" xfId="1481"/>
    <cellStyle name="SAPLocked 2" xfId="1482"/>
    <cellStyle name="SAPLocked 2 10" xfId="1483"/>
    <cellStyle name="SAPLocked 2 10 2" xfId="1484"/>
    <cellStyle name="SAPLocked 2 10 2 2" xfId="1485"/>
    <cellStyle name="SAPLocked 2 10 3" xfId="1486"/>
    <cellStyle name="SAPLocked 2 11" xfId="1487"/>
    <cellStyle name="SAPLocked 2 11 2" xfId="1488"/>
    <cellStyle name="SAPLocked 2 11 2 2" xfId="1489"/>
    <cellStyle name="SAPLocked 2 11 3" xfId="1490"/>
    <cellStyle name="SAPLocked 2 12" xfId="1491"/>
    <cellStyle name="SAPLocked 2 12 2" xfId="1492"/>
    <cellStyle name="SAPLocked 2 12 2 2" xfId="1493"/>
    <cellStyle name="SAPLocked 2 12 3" xfId="1494"/>
    <cellStyle name="SAPLocked 2 13" xfId="1495"/>
    <cellStyle name="SAPLocked 2 13 2" xfId="1496"/>
    <cellStyle name="SAPLocked 2 13 2 2" xfId="1497"/>
    <cellStyle name="SAPLocked 2 13 3" xfId="1498"/>
    <cellStyle name="SAPLocked 2 14" xfId="1499"/>
    <cellStyle name="SAPLocked 2 14 2" xfId="1500"/>
    <cellStyle name="SAPLocked 2 14 2 2" xfId="1501"/>
    <cellStyle name="SAPLocked 2 14 3" xfId="1502"/>
    <cellStyle name="SAPLocked 2 15" xfId="1503"/>
    <cellStyle name="SAPLocked 2 15 2" xfId="1504"/>
    <cellStyle name="SAPLocked 2 15 2 2" xfId="1505"/>
    <cellStyle name="SAPLocked 2 15 3" xfId="1506"/>
    <cellStyle name="SAPLocked 2 16" xfId="1507"/>
    <cellStyle name="SAPLocked 2 16 2" xfId="1508"/>
    <cellStyle name="SAPLocked 2 16 2 2" xfId="1509"/>
    <cellStyle name="SAPLocked 2 16 3" xfId="1510"/>
    <cellStyle name="SAPLocked 2 17" xfId="1511"/>
    <cellStyle name="SAPLocked 2 17 2" xfId="1512"/>
    <cellStyle name="SAPLocked 2 17 2 2" xfId="1513"/>
    <cellStyle name="SAPLocked 2 17 3" xfId="1514"/>
    <cellStyle name="SAPLocked 2 18" xfId="1515"/>
    <cellStyle name="SAPLocked 2 18 2" xfId="1516"/>
    <cellStyle name="SAPLocked 2 18 2 2" xfId="1517"/>
    <cellStyle name="SAPLocked 2 18 3" xfId="1518"/>
    <cellStyle name="SAPLocked 2 19" xfId="1519"/>
    <cellStyle name="SAPLocked 2 19 2" xfId="1520"/>
    <cellStyle name="SAPLocked 2 19 2 2" xfId="1521"/>
    <cellStyle name="SAPLocked 2 19 3" xfId="1522"/>
    <cellStyle name="SAPLocked 2 2" xfId="1523"/>
    <cellStyle name="SAPLocked 2 2 2" xfId="1524"/>
    <cellStyle name="SAPLocked 2 2 2 2" xfId="1525"/>
    <cellStyle name="SAPLocked 2 2 3" xfId="1526"/>
    <cellStyle name="SAPLocked 2 20" xfId="1527"/>
    <cellStyle name="SAPLocked 2 20 2" xfId="1528"/>
    <cellStyle name="SAPLocked 2 20 2 2" xfId="1529"/>
    <cellStyle name="SAPLocked 2 20 3" xfId="1530"/>
    <cellStyle name="SAPLocked 2 21" xfId="1531"/>
    <cellStyle name="SAPLocked 2 21 2" xfId="1532"/>
    <cellStyle name="SAPLocked 2 22" xfId="1533"/>
    <cellStyle name="SAPLocked 2 3" xfId="1534"/>
    <cellStyle name="SAPLocked 2 3 2" xfId="1535"/>
    <cellStyle name="SAPLocked 2 3 2 2" xfId="1536"/>
    <cellStyle name="SAPLocked 2 3 3" xfId="1537"/>
    <cellStyle name="SAPLocked 2 4" xfId="1538"/>
    <cellStyle name="SAPLocked 2 4 2" xfId="1539"/>
    <cellStyle name="SAPLocked 2 4 2 2" xfId="1540"/>
    <cellStyle name="SAPLocked 2 4 3" xfId="1541"/>
    <cellStyle name="SAPLocked 2 5" xfId="1542"/>
    <cellStyle name="SAPLocked 2 5 2" xfId="1543"/>
    <cellStyle name="SAPLocked 2 5 2 2" xfId="1544"/>
    <cellStyle name="SAPLocked 2 5 3" xfId="1545"/>
    <cellStyle name="SAPLocked 2 6" xfId="1546"/>
    <cellStyle name="SAPLocked 2 6 2" xfId="1547"/>
    <cellStyle name="SAPLocked 2 6 2 2" xfId="1548"/>
    <cellStyle name="SAPLocked 2 6 3" xfId="1549"/>
    <cellStyle name="SAPLocked 2 7" xfId="1550"/>
    <cellStyle name="SAPLocked 2 7 2" xfId="1551"/>
    <cellStyle name="SAPLocked 2 7 2 2" xfId="1552"/>
    <cellStyle name="SAPLocked 2 7 3" xfId="1553"/>
    <cellStyle name="SAPLocked 2 8" xfId="1554"/>
    <cellStyle name="SAPLocked 2 8 2" xfId="1555"/>
    <cellStyle name="SAPLocked 2 8 2 2" xfId="1556"/>
    <cellStyle name="SAPLocked 2 8 3" xfId="1557"/>
    <cellStyle name="SAPLocked 2 9" xfId="1558"/>
    <cellStyle name="SAPLocked 2 9 2" xfId="1559"/>
    <cellStyle name="SAPLocked 2 9 2 2" xfId="1560"/>
    <cellStyle name="SAPLocked 2 9 3" xfId="1561"/>
    <cellStyle name="SAPLocked 20" xfId="1562"/>
    <cellStyle name="SAPLocked 20 2" xfId="1563"/>
    <cellStyle name="SAPLocked 20 2 2" xfId="1564"/>
    <cellStyle name="SAPLocked 20 3" xfId="1565"/>
    <cellStyle name="SAPLocked 21" xfId="1566"/>
    <cellStyle name="SAPLocked 21 2" xfId="1567"/>
    <cellStyle name="SAPLocked 21 2 2" xfId="1568"/>
    <cellStyle name="SAPLocked 21 3" xfId="1569"/>
    <cellStyle name="SAPLocked 22" xfId="1570"/>
    <cellStyle name="SAPLocked 22 2" xfId="1571"/>
    <cellStyle name="SAPLocked 23" xfId="1572"/>
    <cellStyle name="SAPLocked 3" xfId="1573"/>
    <cellStyle name="SAPLocked 3 2" xfId="1574"/>
    <cellStyle name="SAPLocked 3 2 2" xfId="1575"/>
    <cellStyle name="SAPLocked 3 3" xfId="1576"/>
    <cellStyle name="SAPLocked 4" xfId="1577"/>
    <cellStyle name="SAPLocked 4 2" xfId="1578"/>
    <cellStyle name="SAPLocked 4 2 2" xfId="1579"/>
    <cellStyle name="SAPLocked 4 3" xfId="1580"/>
    <cellStyle name="SAPLocked 5" xfId="1581"/>
    <cellStyle name="SAPLocked 5 2" xfId="1582"/>
    <cellStyle name="SAPLocked 5 2 2" xfId="1583"/>
    <cellStyle name="SAPLocked 5 3" xfId="1584"/>
    <cellStyle name="SAPLocked 6" xfId="1585"/>
    <cellStyle name="SAPLocked 6 2" xfId="1586"/>
    <cellStyle name="SAPLocked 6 2 2" xfId="1587"/>
    <cellStyle name="SAPLocked 6 3" xfId="1588"/>
    <cellStyle name="SAPLocked 7" xfId="1589"/>
    <cellStyle name="SAPLocked 7 2" xfId="1590"/>
    <cellStyle name="SAPLocked 7 2 2" xfId="1591"/>
    <cellStyle name="SAPLocked 7 3" xfId="1592"/>
    <cellStyle name="SAPLocked 8" xfId="1593"/>
    <cellStyle name="SAPLocked 8 2" xfId="1594"/>
    <cellStyle name="SAPLocked 8 2 2" xfId="1595"/>
    <cellStyle name="SAPLocked 8 3" xfId="1596"/>
    <cellStyle name="SAPLocked 9" xfId="1597"/>
    <cellStyle name="SAPLocked 9 2" xfId="1598"/>
    <cellStyle name="SAPLocked 9 2 2" xfId="1599"/>
    <cellStyle name="SAPLocked 9 3" xfId="1600"/>
    <cellStyle name="Standard_CORE_20040805_Movement types_Sets_V0.1_e" xfId="1601"/>
    <cellStyle name="STYL5 - Style5" xfId="1602"/>
    <cellStyle name="STYL5 - Style5 2" xfId="1603"/>
    <cellStyle name="STYL5 - Style5 3" xfId="1604"/>
    <cellStyle name="STYL5 - Style5 4" xfId="1605"/>
    <cellStyle name="STYL6 - Style6" xfId="1606"/>
    <cellStyle name="STYL6 - Style6 2" xfId="1607"/>
    <cellStyle name="STYL6 - Style6 3" xfId="1608"/>
    <cellStyle name="STYL6 - Style6 4" xfId="1609"/>
    <cellStyle name="STYLE1 - Style1" xfId="1610"/>
    <cellStyle name="STYLE1 - Style1 2" xfId="1611"/>
    <cellStyle name="STYLE1 - Style1 3" xfId="1612"/>
    <cellStyle name="STYLE1 - Style1 4" xfId="1613"/>
    <cellStyle name="STYLE2 - Style2" xfId="1614"/>
    <cellStyle name="STYLE2 - Style2 2" xfId="1615"/>
    <cellStyle name="STYLE2 - Style2 3" xfId="1616"/>
    <cellStyle name="STYLE2 - Style2 4" xfId="1617"/>
    <cellStyle name="STYLE3 - Style3" xfId="1618"/>
    <cellStyle name="STYLE3 - Style3 2" xfId="1619"/>
    <cellStyle name="STYLE3 - Style3 3" xfId="1620"/>
    <cellStyle name="STYLE3 - Style3 4" xfId="1621"/>
    <cellStyle name="STYLE4 - Style4" xfId="1622"/>
    <cellStyle name="STYLE4 - Style4 2" xfId="1623"/>
    <cellStyle name="STYLE4 - Style4 3" xfId="1624"/>
    <cellStyle name="STYLE4 - Style4 4" xfId="1625"/>
    <cellStyle name="Title" xfId="1626" builtinId="15" customBuiltin="1"/>
    <cellStyle name="Title 10" xfId="1627"/>
    <cellStyle name="Title 11" xfId="1628"/>
    <cellStyle name="Title 12" xfId="1629"/>
    <cellStyle name="Title 13" xfId="1630"/>
    <cellStyle name="Title 14" xfId="1631"/>
    <cellStyle name="Title 15" xfId="1632"/>
    <cellStyle name="Title 16" xfId="1633"/>
    <cellStyle name="Title 2" xfId="1634"/>
    <cellStyle name="Title 2 2" xfId="1635"/>
    <cellStyle name="Title 3" xfId="1636"/>
    <cellStyle name="Title 4" xfId="1637"/>
    <cellStyle name="Title 5" xfId="1638"/>
    <cellStyle name="Title 6" xfId="1639"/>
    <cellStyle name="Title 7" xfId="1640"/>
    <cellStyle name="Title 8" xfId="1641"/>
    <cellStyle name="Title 9" xfId="1642"/>
    <cellStyle name="Total" xfId="1643" builtinId="25" customBuiltin="1"/>
    <cellStyle name="Total 10" xfId="1644"/>
    <cellStyle name="Total 11" xfId="1645"/>
    <cellStyle name="Total 12" xfId="1646"/>
    <cellStyle name="Total 13" xfId="1647"/>
    <cellStyle name="Total 14" xfId="1648"/>
    <cellStyle name="Total 15" xfId="1649"/>
    <cellStyle name="Total 16" xfId="1650"/>
    <cellStyle name="Total 17" xfId="1651"/>
    <cellStyle name="Total 2" xfId="1652"/>
    <cellStyle name="Total 2 2" xfId="1653"/>
    <cellStyle name="Total 2 3" xfId="1654"/>
    <cellStyle name="Total 3" xfId="1655"/>
    <cellStyle name="Total 4" xfId="1656"/>
    <cellStyle name="Total 5" xfId="1657"/>
    <cellStyle name="Total 6" xfId="1658"/>
    <cellStyle name="Total 7" xfId="1659"/>
    <cellStyle name="Total 8" xfId="1660"/>
    <cellStyle name="Total 9" xfId="1661"/>
    <cellStyle name="Undefiniert" xfId="1662"/>
    <cellStyle name="Undefiniert 2" xfId="1663"/>
    <cellStyle name="UploadThisRowValue" xfId="1664"/>
    <cellStyle name="Warning Text" xfId="1665" builtinId="11" customBuiltin="1"/>
    <cellStyle name="Warning Text 10" xfId="1666"/>
    <cellStyle name="Warning Text 11" xfId="1667"/>
    <cellStyle name="Warning Text 12" xfId="1668"/>
    <cellStyle name="Warning Text 13" xfId="1669"/>
    <cellStyle name="Warning Text 14" xfId="1670"/>
    <cellStyle name="Warning Text 15" xfId="1671"/>
    <cellStyle name="Warning Text 16" xfId="1672"/>
    <cellStyle name="Warning Text 2" xfId="1673"/>
    <cellStyle name="Warning Text 2 2" xfId="1674"/>
    <cellStyle name="Warning Text 3" xfId="1675"/>
    <cellStyle name="Warning Text 4" xfId="1676"/>
    <cellStyle name="Warning Text 5" xfId="1677"/>
    <cellStyle name="Warning Text 6" xfId="1678"/>
    <cellStyle name="Warning Text 7" xfId="1679"/>
    <cellStyle name="Warning Text 8" xfId="1680"/>
    <cellStyle name="Warning Text 9" xfId="168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7.xml"/><Relationship Id="rId68" Type="http://schemas.openxmlformats.org/officeDocument/2006/relationships/externalLink" Target="externalLinks/externalLink12.xml"/><Relationship Id="rId76" Type="http://schemas.openxmlformats.org/officeDocument/2006/relationships/externalLink" Target="externalLinks/externalLink20.xml"/><Relationship Id="rId84" Type="http://schemas.openxmlformats.org/officeDocument/2006/relationships/externalLink" Target="externalLinks/externalLink2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66" Type="http://schemas.openxmlformats.org/officeDocument/2006/relationships/externalLink" Target="externalLinks/externalLink10.xml"/><Relationship Id="rId74" Type="http://schemas.openxmlformats.org/officeDocument/2006/relationships/externalLink" Target="externalLinks/externalLink18.xml"/><Relationship Id="rId79" Type="http://schemas.openxmlformats.org/officeDocument/2006/relationships/externalLink" Target="externalLinks/externalLink23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.xml"/><Relationship Id="rId82" Type="http://schemas.openxmlformats.org/officeDocument/2006/relationships/externalLink" Target="externalLinks/externalLink26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8.xml"/><Relationship Id="rId69" Type="http://schemas.openxmlformats.org/officeDocument/2006/relationships/externalLink" Target="externalLinks/externalLink13.xml"/><Relationship Id="rId77" Type="http://schemas.openxmlformats.org/officeDocument/2006/relationships/externalLink" Target="externalLinks/externalLink2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6.xml"/><Relationship Id="rId80" Type="http://schemas.openxmlformats.org/officeDocument/2006/relationships/externalLink" Target="externalLinks/externalLink24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3.xml"/><Relationship Id="rId67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6.xml"/><Relationship Id="rId70" Type="http://schemas.openxmlformats.org/officeDocument/2006/relationships/externalLink" Target="externalLinks/externalLink14.xml"/><Relationship Id="rId75" Type="http://schemas.openxmlformats.org/officeDocument/2006/relationships/externalLink" Target="externalLinks/externalLink19.xml"/><Relationship Id="rId83" Type="http://schemas.openxmlformats.org/officeDocument/2006/relationships/externalLink" Target="externalLinks/externalLink27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4.xml"/><Relationship Id="rId65" Type="http://schemas.openxmlformats.org/officeDocument/2006/relationships/externalLink" Target="externalLinks/externalLink9.xml"/><Relationship Id="rId73" Type="http://schemas.openxmlformats.org/officeDocument/2006/relationships/externalLink" Target="externalLinks/externalLink17.xml"/><Relationship Id="rId78" Type="http://schemas.openxmlformats.org/officeDocument/2006/relationships/externalLink" Target="externalLinks/externalLink22.xml"/><Relationship Id="rId81" Type="http://schemas.openxmlformats.org/officeDocument/2006/relationships/externalLink" Target="externalLinks/externalLink25.xml"/><Relationship Id="rId86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specapps\DAVID\PSC\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specapps\My%20Documents\BellarExhibi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specapps\DAVID\ESM\5%20YEAR%20FORECAST%202004-2008\CURRENT%20NOVEMBER%2018%202003\LGE%20ES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specapps\DAVID\RATECASE\SEPTEMBER%202002\Rate%20Case%20LG&amp;E%20SEP%20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specapps\05Plan\Utility%20Plan\Margin\100504%20Version%20of%20GM%202005%20Plan\KU-Whsle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specapps\05Plan\Utility%20Plan\Margin\100504%20Version%20of%20GM%202005%20Plan\KU-Whsle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specapps\Documents%20and%20Settings\e011661\Local%20Settings\Temporary%20Internet%20Files\OLK29\Rate%20Case%20KU%2012mosJune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ate%20Case\2012%20KY\Revenue%20Requirements\Final%205-25-12%20version\KU%20Revenue%20Requirements%20TY03312012%20v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10216\Local%20Settings\Temporary%20Internet%20Files\OLK29\KU%20RR%20Exhibits%2012mosOCT%202009%20V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specapps\Rate%20Case\2008\Data%20Requests%20for%20next%20RC%20filing\KU\PSC%201st%20Data%20Request\PSC%201-38%20(2003)%20Draft%20RAR%20Average%20Rates%20of%20Return%20-%20KU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6492\AppData\Local\Microsoft\Windows\Temporary%20Internet%20Files\Content.Outlook\R58GOXH2\WFR%20KU%2003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specapps\ROR\JUNE%202002%20-%20NET%20COST\RTNJUNE02%20-%20A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10216\Local%20Settings\Temporary%20Internet%20Files\OLK29\ku1208rept%20revi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Reporting/Monthly%20Financial%20Reports/2007/ku1207rep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Reporting/Monthly%20Financial%20Reports/2006/ku1206rep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Reporting/Monthly%20Financial%20Reports/2005/ku1205rep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Reporting/Monthly%20Financial%20Reports/2004/KU1204rep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/Reports/2007/ku1207rep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/Reports/2006/ku1206rep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/Reports/2005/ku1205rep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/Reports/2004/KU1204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specapps\WINDOWS\TEMP\1999\FACJAN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Reporting/Monthly%20Financial%20Reports/2008/lge0308re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specapps\DAVID\RATECASE\2000%20Gas\Gas%20Rate%20Case%20DEC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specapps\06Plan\Utility%20Plan\Supporting%20Schedules\Gross%20Margin\Gross%20Margin%202006-2008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Reconciliations\2007\01-2007\LGEclranalysis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Reporting/Tax%20Report/LGE/LGELedger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LINKS"/>
      <sheetName val="ROE MATRIX"/>
      <sheetName val="RATECASE PERIOD END ROE SUMMARY"/>
      <sheetName val="COMBINED ROE PERIOD END"/>
      <sheetName val="COMBINED CAP PERIOD END"/>
      <sheetName val="LGE RATECASE PERIOD END EQ VIEW"/>
      <sheetName val="RATECASE AVG CAP ROE SUMMARY"/>
      <sheetName val="COMBINED ROE RCAVG"/>
      <sheetName val="COMBINED CAP RCAVG"/>
      <sheetName val="LGE GAS ROE"/>
      <sheetName val="LGE RATECASE AVERAGE EQUITY"/>
      <sheetName val="ECR ROE"/>
      <sheetName val="LGE ESM Calc"/>
      <sheetName val="summary"/>
      <sheetName val="ESM Net Oper Inc"/>
      <sheetName val="Revenue-Expense Adj - LGE"/>
      <sheetName val="Int Sync"/>
      <sheetName val="ECR Plant Balance Summary"/>
      <sheetName val="lge cap 2001"/>
      <sheetName val="ECR by Month"/>
      <sheetName val="LTD Annual Cost Adj"/>
      <sheetName val="lge cap 2004"/>
      <sheetName val="lge cap 2005"/>
      <sheetName val="lge cap 2006"/>
      <sheetName val="lge cap 2007"/>
      <sheetName val="lge cap 2008"/>
      <sheetName val="Sheet1"/>
      <sheetName val="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1"/>
      <sheetName val="Ex 2"/>
      <sheetName val="Ex 3"/>
      <sheetName val="Ex 4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KU (Not Filed)"/>
      <sheetName val="Ex 1"/>
      <sheetName val="Ex 2"/>
      <sheetName val="Ex 3"/>
      <sheetName val="SuppSch-Ex 3(Page1,2)"/>
      <sheetName val="SuppSch-Ex 3(Page3)"/>
      <sheetName val="Ex 4 (Page1)"/>
      <sheetName val="SuppSch-Ex 4 (Page2)"/>
      <sheetName val="Ex 5"/>
      <sheetName val="EX 6"/>
      <sheetName val="Ex 7"/>
      <sheetName val="2.4-Ex 8 (ASSD)"/>
      <sheetName val="Ex 8"/>
      <sheetName val="Ex 9"/>
      <sheetName val="1.00"/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3"/>
      <sheetName val="1.24-1.28"/>
      <sheetName val="1.29"/>
      <sheetName val="1.30"/>
      <sheetName val="1.31"/>
      <sheetName val="1.32"/>
      <sheetName val="1.33"/>
      <sheetName val="1.34"/>
      <sheetName val="Allocators"/>
    </sheetNames>
    <sheetDataSet>
      <sheetData sheetId="0">
        <row r="3">
          <cell r="B3" t="str">
            <v>March 31, 2012</v>
          </cell>
        </row>
      </sheetData>
      <sheetData sheetId="1"/>
      <sheetData sheetId="2"/>
      <sheetData sheetId="3"/>
      <sheetData sheetId="4"/>
      <sheetData sheetId="5">
        <row r="18">
          <cell r="D18">
            <v>5952611566</v>
          </cell>
          <cell r="N18">
            <v>885196895</v>
          </cell>
        </row>
        <row r="21">
          <cell r="D21">
            <v>2091528460</v>
          </cell>
          <cell r="N21">
            <v>327757743</v>
          </cell>
        </row>
        <row r="26">
          <cell r="D26">
            <v>2936189</v>
          </cell>
          <cell r="N26">
            <v>211698</v>
          </cell>
        </row>
        <row r="27">
          <cell r="D27">
            <v>439643557</v>
          </cell>
          <cell r="N27">
            <v>62552930</v>
          </cell>
        </row>
        <row r="28">
          <cell r="D28">
            <v>46378395</v>
          </cell>
          <cell r="N28">
            <v>7207891</v>
          </cell>
        </row>
        <row r="29">
          <cell r="D29">
            <v>3062358</v>
          </cell>
          <cell r="N29">
            <v>475936</v>
          </cell>
        </row>
        <row r="30">
          <cell r="D30">
            <v>86299724</v>
          </cell>
          <cell r="N30">
            <v>14408015</v>
          </cell>
        </row>
        <row r="37">
          <cell r="D37">
            <v>115098215</v>
          </cell>
          <cell r="N37">
            <v>17615722</v>
          </cell>
        </row>
        <row r="38">
          <cell r="D38">
            <v>6567467</v>
          </cell>
          <cell r="N38">
            <v>759209</v>
          </cell>
        </row>
        <row r="39">
          <cell r="D39">
            <v>415671</v>
          </cell>
          <cell r="N39">
            <v>64601</v>
          </cell>
        </row>
        <row r="40">
          <cell r="D40">
            <v>96090910</v>
          </cell>
          <cell r="N40">
            <v>7976529</v>
          </cell>
        </row>
        <row r="70">
          <cell r="D70">
            <v>858787982.80655313</v>
          </cell>
          <cell r="N70">
            <v>122073406.59344685</v>
          </cell>
        </row>
        <row r="73">
          <cell r="D73">
            <v>90060700.788345426</v>
          </cell>
          <cell r="N73">
            <v>13768569.021654591</v>
          </cell>
        </row>
        <row r="78">
          <cell r="N78">
            <v>7976529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DIFF"/>
      <sheetName val="Inputs"/>
      <sheetName val="Ex 1"/>
      <sheetName val="Ex 2"/>
      <sheetName val="Ex 2-2008"/>
      <sheetName val="Ex 2-Current"/>
      <sheetName val="Ex 3"/>
      <sheetName val="SuppSch-Ex 3(Page1,2)"/>
      <sheetName val="SuppSch-Ex 3(Page3)"/>
      <sheetName val="Ex 4"/>
      <sheetName val="Ex 5"/>
      <sheetName val="EX 6"/>
      <sheetName val="Ex 7"/>
      <sheetName val="Ex 8"/>
      <sheetName val="Ex 9"/>
      <sheetName val="Ex 8-Current"/>
      <sheetName val="Ex 9-Current"/>
      <sheetName val="1.00"/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-1.38"/>
      <sheetName val="1.39"/>
      <sheetName val="1.40"/>
      <sheetName val="1.40-Current"/>
      <sheetName val="1.41"/>
      <sheetName val="1.42"/>
      <sheetName val="1.43"/>
      <sheetName val="1.44"/>
      <sheetName val="1.45"/>
      <sheetName val="1.46"/>
      <sheetName val="1.47"/>
      <sheetName val="Allocators"/>
      <sheetName val="OSS"/>
      <sheetName val="OSS TC2"/>
      <sheetName val="ForcedOutage"/>
      <sheetName val="LatePay"/>
      <sheetName val="BadDebt"/>
    </sheetNames>
    <sheetDataSet>
      <sheetData sheetId="0"/>
      <sheetData sheetId="1"/>
      <sheetData sheetId="2">
        <row r="3">
          <cell r="B3" t="str">
            <v>October 31, 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Q38"/>
      <sheetName val="April 2008"/>
      <sheetName val="KU0408 End Rate"/>
      <sheetName val="KU0408 Rate Case"/>
      <sheetName val="April 2008 (2)"/>
      <sheetName val="2007"/>
      <sheetName val="2006"/>
      <sheetName val="2005"/>
      <sheetName val="2004"/>
      <sheetName val="2003"/>
      <sheetName val="Ex 3(Page1,2) - 4-30-08"/>
      <sheetName val="Ex 3(Page3) - 4-30-08"/>
      <sheetName val="Ex 3(Page1,2) - 2007"/>
      <sheetName val="Ex 3(Page3) - 2007"/>
      <sheetName val="Ex 3(Page1,2) - 2006"/>
      <sheetName val="Ex 3(Page3) - 2006"/>
      <sheetName val="Ex 3(Page1,2) - 2005"/>
      <sheetName val="Ex 3(Page3) - 2005"/>
      <sheetName val="Ex 3(Page1,2) - 2004"/>
      <sheetName val="Ex 3(Page3) - 2004"/>
      <sheetName val="Ex 3(Page1,2) - 2003"/>
      <sheetName val="Ex 3(Page3) - 2003"/>
      <sheetName val="Net ARO"/>
      <sheetName val="M&amp;S-Apr08"/>
      <sheetName val="M&amp;S-Dec07"/>
      <sheetName val="M&amp;S-Dec06"/>
      <sheetName val="M&amp;S-Dec05"/>
      <sheetName val="M&amp;S-Dec04"/>
      <sheetName val="M&amp;S-Dec03"/>
      <sheetName val="Prepaid Insurance "/>
      <sheetName val="04-2008 IS"/>
      <sheetName val="04-2008 BS"/>
      <sheetName val="2007 IS"/>
      <sheetName val="2007 BS"/>
      <sheetName val="2006 IS"/>
      <sheetName val="2006 BS"/>
      <sheetName val="2005 IS"/>
      <sheetName val="2005 BS"/>
      <sheetName val="2004 IS"/>
      <sheetName val="2004 BS"/>
      <sheetName val="2003 IS"/>
      <sheetName val="2003 BS"/>
      <sheetName val="2008 ECC"/>
      <sheetName val="2007 ECC"/>
      <sheetName val="2006 ECC"/>
      <sheetName val="2005 ECC"/>
      <sheetName val="2004 ECC"/>
      <sheetName val="2003 ECC"/>
      <sheetName val="Discoverer Export 05-07"/>
      <sheetName val="Discoverer Export 08"/>
      <sheetName val="2003 Elec"/>
      <sheetName val="2004 Elec"/>
      <sheetName val="2005 Elec"/>
      <sheetName val="2006 Elec"/>
      <sheetName val="2007 Elec"/>
      <sheetName val="PSC 1-38 vs Seelye Exhibit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9">
          <cell r="D19">
            <v>22127209</v>
          </cell>
          <cell r="F19">
            <v>4966338</v>
          </cell>
          <cell r="H19">
            <v>45538385</v>
          </cell>
          <cell r="J19">
            <v>4041391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2012 Notes"/>
      <sheetName val="Cover"/>
      <sheetName val="KYPSC Index"/>
      <sheetName val="VASCC Index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8.1"/>
      <sheetName val="18.2"/>
      <sheetName val="19"/>
      <sheetName val="19.1"/>
      <sheetName val="20.1"/>
      <sheetName val="20.2"/>
      <sheetName val="20.3"/>
      <sheetName val="21"/>
      <sheetName val="22"/>
      <sheetName val="23"/>
      <sheetName val="24"/>
      <sheetName val="25"/>
      <sheetName val="26"/>
      <sheetName val="26.1"/>
      <sheetName val="27"/>
      <sheetName val="peaks"/>
      <sheetName val="28"/>
      <sheetName val="28.1"/>
      <sheetName val="28.2"/>
      <sheetName val="29"/>
      <sheetName val="30"/>
      <sheetName val="30.1"/>
      <sheetName val="30.2"/>
      <sheetName val="31"/>
      <sheetName val="31.1"/>
      <sheetName val="31.2"/>
      <sheetName val="32"/>
      <sheetName val="32.1"/>
      <sheetName val="32.2"/>
      <sheetName val="33"/>
      <sheetName val="34"/>
      <sheetName val="35"/>
      <sheetName val="36"/>
      <sheetName val="36.1"/>
      <sheetName val="36.2"/>
      <sheetName val="37"/>
      <sheetName val="37.1"/>
      <sheetName val="37.2"/>
      <sheetName val="38"/>
      <sheetName val="39"/>
      <sheetName val="39.1"/>
      <sheetName val="39.2"/>
      <sheetName val="40"/>
      <sheetName val="41"/>
      <sheetName val="check"/>
      <sheetName val="Plt Calc"/>
      <sheetName val="validation"/>
      <sheetName val="d1"/>
      <sheetName val="d2"/>
      <sheetName val="d3"/>
      <sheetName val="d5"/>
      <sheetName val="d7-10"/>
      <sheetName val="d12"/>
      <sheetName val="d16"/>
      <sheetName val="d17"/>
      <sheetName val="d19-19.1"/>
      <sheetName val="d20&amp;20.2"/>
      <sheetName val="d20.3-KY"/>
      <sheetName val="d20.3-VA"/>
      <sheetName val="d21"/>
      <sheetName val="d22"/>
      <sheetName val="d23"/>
      <sheetName val="d27"/>
      <sheetName val="d28"/>
      <sheetName val="d28.1"/>
      <sheetName val="d28.2"/>
      <sheetName val="d29"/>
      <sheetName val="d30"/>
      <sheetName val="d30.1"/>
      <sheetName val="d30.2"/>
      <sheetName val="d31"/>
      <sheetName val="d31.1"/>
      <sheetName val="d31.2"/>
      <sheetName val="d32"/>
      <sheetName val="d32.1"/>
      <sheetName val="d32.2"/>
      <sheetName val="d33"/>
      <sheetName val="d34"/>
      <sheetName val="d35"/>
      <sheetName val="d36"/>
      <sheetName val="d36.1"/>
      <sheetName val="d36.2"/>
      <sheetName val="d37"/>
      <sheetName val="d37.1,1"/>
      <sheetName val="d37.1,2"/>
      <sheetName val="d37.2,1"/>
      <sheetName val="d37.2,2"/>
      <sheetName val="d38"/>
      <sheetName val="d39"/>
      <sheetName val="d39.1"/>
      <sheetName val="d39.2"/>
      <sheetName val="d40"/>
      <sheetName val="d41"/>
      <sheetName val="d41-KY"/>
      <sheetName val="d41-VA"/>
    </sheetNames>
    <sheetDataSet>
      <sheetData sheetId="0">
        <row r="2">
          <cell r="A2" t="str">
            <v>April 26, 2012</v>
          </cell>
        </row>
      </sheetData>
      <sheetData sheetId="1" refreshError="1"/>
      <sheetData sheetId="2">
        <row r="15">
          <cell r="A15" t="str">
            <v>March 31, 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6">
          <cell r="B16">
            <v>1522035957.1099999</v>
          </cell>
          <cell r="C16">
            <v>1537241985.6800001</v>
          </cell>
        </row>
        <row r="17">
          <cell r="B17">
            <v>0</v>
          </cell>
          <cell r="C17">
            <v>355385.29</v>
          </cell>
        </row>
        <row r="22">
          <cell r="B22">
            <v>516817356.17000002</v>
          </cell>
          <cell r="C22">
            <v>501144494.76999998</v>
          </cell>
        </row>
        <row r="23">
          <cell r="B23">
            <v>103829269.81</v>
          </cell>
          <cell r="C23">
            <v>154190992.53</v>
          </cell>
        </row>
        <row r="24">
          <cell r="B24">
            <v>234009083.63999999</v>
          </cell>
          <cell r="C24">
            <v>223494400.63</v>
          </cell>
        </row>
        <row r="25">
          <cell r="B25">
            <v>126205679.78</v>
          </cell>
          <cell r="C25">
            <v>109746892.70999999</v>
          </cell>
        </row>
        <row r="26">
          <cell r="B26">
            <v>184687593.56</v>
          </cell>
          <cell r="C26">
            <v>151138300.72</v>
          </cell>
        </row>
        <row r="27">
          <cell r="B27">
            <v>7505149.4400000004</v>
          </cell>
          <cell r="C27">
            <v>6594409.4800000004</v>
          </cell>
        </row>
        <row r="28">
          <cell r="B28">
            <v>-6011854.4199999999</v>
          </cell>
          <cell r="C28">
            <v>-5940201.1799999997</v>
          </cell>
        </row>
        <row r="30">
          <cell r="B30">
            <v>-17247753.460000001</v>
          </cell>
          <cell r="C30">
            <v>53938279.200000003</v>
          </cell>
        </row>
        <row r="31">
          <cell r="B31">
            <v>1899319.18</v>
          </cell>
          <cell r="C31">
            <v>13031186.26</v>
          </cell>
        </row>
        <row r="32">
          <cell r="B32">
            <v>102811975.59</v>
          </cell>
          <cell r="C32">
            <v>37796519.119999997</v>
          </cell>
        </row>
        <row r="33">
          <cell r="B33">
            <v>11097503.08</v>
          </cell>
          <cell r="C33">
            <v>3780387.88</v>
          </cell>
        </row>
        <row r="34">
          <cell r="B34">
            <v>29144074.489999998</v>
          </cell>
          <cell r="C34">
            <v>21337850.460000001</v>
          </cell>
        </row>
        <row r="35">
          <cell r="B35">
            <v>0</v>
          </cell>
          <cell r="C35">
            <v>0</v>
          </cell>
        </row>
        <row r="37">
          <cell r="B37">
            <v>-886.52</v>
          </cell>
          <cell r="C37">
            <v>-16020.32</v>
          </cell>
        </row>
        <row r="38">
          <cell r="B38">
            <v>2934108.65</v>
          </cell>
          <cell r="C38">
            <v>3631503.93</v>
          </cell>
        </row>
        <row r="45">
          <cell r="B45">
            <v>2800110.74</v>
          </cell>
          <cell r="C45">
            <v>639643</v>
          </cell>
        </row>
        <row r="46">
          <cell r="B46">
            <v>533585.56999999995</v>
          </cell>
          <cell r="C46">
            <v>-471889.3</v>
          </cell>
        </row>
        <row r="47">
          <cell r="B47">
            <v>47125.06</v>
          </cell>
          <cell r="C47">
            <v>562455.71</v>
          </cell>
        </row>
        <row r="53">
          <cell r="B53">
            <v>61076334.119999997</v>
          </cell>
          <cell r="C53">
            <v>70677065.640000001</v>
          </cell>
        </row>
        <row r="54">
          <cell r="B54">
            <v>3773938.89</v>
          </cell>
          <cell r="C54">
            <v>1855595.95</v>
          </cell>
        </row>
        <row r="55">
          <cell r="B55">
            <v>5107381.6399999997</v>
          </cell>
          <cell r="C55">
            <v>4496292.04</v>
          </cell>
        </row>
        <row r="56">
          <cell r="B56">
            <v>-13892.09</v>
          </cell>
          <cell r="C56">
            <v>-731782.42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upport"/>
      <sheetName val="Cover"/>
      <sheetName val="Report"/>
      <sheetName val="Support"/>
      <sheetName val="EGSplit"/>
      <sheetName val="NCCover"/>
      <sheetName val="dbase"/>
      <sheetName val="Interest"/>
      <sheetName val="M&amp;S"/>
      <sheetName val="NCReport"/>
      <sheetName val="Invavg"/>
      <sheetName val="NCdbase"/>
      <sheetName val="Sheet1"/>
      <sheetName val="MergSa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March 2009 revision"/>
      <sheetName val="Cover"/>
      <sheetName val="Index"/>
      <sheetName val="1"/>
      <sheetName val="2"/>
      <sheetName val="3"/>
      <sheetName val="ret"/>
      <sheetName val="4"/>
      <sheetName val="5"/>
      <sheetName val="6"/>
      <sheetName val="7-8"/>
      <sheetName val="9-10"/>
      <sheetName val="11"/>
      <sheetName val="12"/>
      <sheetName val="12.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1.1"/>
      <sheetName val="22"/>
      <sheetName val="22.1"/>
      <sheetName val="23"/>
      <sheetName val="peaks"/>
      <sheetName val="24"/>
      <sheetName val="24.1"/>
      <sheetName val="24.2"/>
      <sheetName val="25"/>
      <sheetName val="25.1"/>
      <sheetName val="25.2"/>
      <sheetName val="26"/>
      <sheetName val="26.1"/>
      <sheetName val="26.2"/>
      <sheetName val="27"/>
      <sheetName val="27.1"/>
      <sheetName val="27.2"/>
      <sheetName val="28"/>
      <sheetName val="28.1"/>
      <sheetName val="28.2"/>
      <sheetName val="29"/>
      <sheetName val="30"/>
      <sheetName val="31"/>
      <sheetName val="31.1"/>
      <sheetName val="31.2"/>
      <sheetName val="32"/>
      <sheetName val="32.1"/>
      <sheetName val="32.2"/>
      <sheetName val="33"/>
      <sheetName val="34"/>
      <sheetName val="34.1"/>
      <sheetName val="34.2"/>
      <sheetName val="35"/>
      <sheetName val="36"/>
      <sheetName val="37"/>
      <sheetName val="38"/>
      <sheetName val="check"/>
      <sheetName val="Plt Calc"/>
      <sheetName val="Index1"/>
      <sheetName val="validation"/>
      <sheetName val="d1"/>
      <sheetName val="d2"/>
      <sheetName val="d3"/>
      <sheetName val="d5"/>
      <sheetName val="d7-10"/>
      <sheetName val="d12&amp;13"/>
      <sheetName val="d12.1-KY"/>
      <sheetName val="d12.1-VA"/>
      <sheetName val="d14"/>
      <sheetName val="d15"/>
      <sheetName val="d16"/>
      <sheetName val="d17"/>
      <sheetName val="d23"/>
      <sheetName val="d24"/>
      <sheetName val="d24.1"/>
      <sheetName val="d24.2"/>
      <sheetName val="d25"/>
      <sheetName val="d25.1"/>
      <sheetName val="d25.2"/>
      <sheetName val="d26"/>
      <sheetName val="d26.1"/>
      <sheetName val="d26.2"/>
      <sheetName val="d27"/>
      <sheetName val="d27.1"/>
      <sheetName val="d27.2"/>
      <sheetName val="d28"/>
      <sheetName val="d28.1"/>
      <sheetName val="d28.2"/>
      <sheetName val="d29"/>
      <sheetName val="d30-combined"/>
      <sheetName val="d30 - lock 7"/>
      <sheetName val="d30"/>
      <sheetName val="d31"/>
      <sheetName val="d31.1"/>
      <sheetName val="d31.2"/>
      <sheetName val="d32"/>
      <sheetName val="d32.1,1"/>
      <sheetName val="d32.1,2"/>
      <sheetName val="d32.2,1"/>
      <sheetName val="d32.2,2"/>
      <sheetName val="d33"/>
      <sheetName val="d34"/>
      <sheetName val="d34.1"/>
      <sheetName val="d34.2"/>
      <sheetName val="d35"/>
      <sheetName val="d36-KU"/>
      <sheetName val="d36-VA"/>
      <sheetName val="d37"/>
      <sheetName val="d38"/>
      <sheetName val="v-summary"/>
      <sheetName val="v1"/>
      <sheetName val="v2"/>
      <sheetName val="v3"/>
      <sheetName val="v5"/>
      <sheetName val="v7-8"/>
      <sheetName val="v9-10"/>
      <sheetName val="v12"/>
      <sheetName val="v12.1"/>
      <sheetName val="v13"/>
      <sheetName val="v14"/>
      <sheetName val="v15"/>
      <sheetName val="v16"/>
      <sheetName val="v23"/>
      <sheetName val="v17"/>
      <sheetName val="v24"/>
      <sheetName val="v24.1"/>
      <sheetName val="v24.2"/>
      <sheetName val="v25"/>
      <sheetName val="v25.1"/>
      <sheetName val="v25.2"/>
      <sheetName val="v26"/>
      <sheetName val="v26.1"/>
      <sheetName val="v26.2"/>
      <sheetName val="v27"/>
      <sheetName val="v27.1"/>
      <sheetName val="v27.2"/>
      <sheetName val="v28"/>
      <sheetName val="v28.1"/>
      <sheetName val="v28.2"/>
      <sheetName val="v29"/>
      <sheetName val="v30"/>
      <sheetName val="v31"/>
      <sheetName val="v31.1"/>
      <sheetName val="v31.2"/>
      <sheetName val="v32"/>
      <sheetName val="v32.1"/>
      <sheetName val="v32.2"/>
      <sheetName val="v33"/>
      <sheetName val="v34"/>
      <sheetName val="v34.1"/>
      <sheetName val="v34.2"/>
      <sheetName val="v35"/>
      <sheetName val="v36"/>
      <sheetName val="v37"/>
      <sheetName val="v38"/>
    </sheetNames>
    <sheetDataSet>
      <sheetData sheetId="0" refreshError="1"/>
      <sheetData sheetId="1" refreshError="1"/>
      <sheetData sheetId="2">
        <row r="15">
          <cell r="A15" t="str">
            <v>December 31, 2008</v>
          </cell>
        </row>
      </sheetData>
      <sheetData sheetId="3" refreshError="1"/>
      <sheetData sheetId="4">
        <row r="3">
          <cell r="A3" t="str">
            <v>December 31, 2008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5">
          <cell r="B15">
            <v>1404042053.25</v>
          </cell>
          <cell r="C15">
            <v>1272548899.24</v>
          </cell>
        </row>
        <row r="21">
          <cell r="B21">
            <v>512399470.74000001</v>
          </cell>
          <cell r="C21">
            <v>460118684.63999999</v>
          </cell>
        </row>
        <row r="22">
          <cell r="B22">
            <v>221176768.30000001</v>
          </cell>
          <cell r="C22">
            <v>168443605.63999999</v>
          </cell>
        </row>
        <row r="23">
          <cell r="B23">
            <v>166912227.63999999</v>
          </cell>
          <cell r="C23">
            <v>152922836.36000001</v>
          </cell>
        </row>
        <row r="24">
          <cell r="B24">
            <v>88778792.480000004</v>
          </cell>
          <cell r="C24">
            <v>85242194.189999998</v>
          </cell>
        </row>
        <row r="25">
          <cell r="B25">
            <v>131115009.09</v>
          </cell>
          <cell r="C25">
            <v>115264164.70999999</v>
          </cell>
        </row>
        <row r="26">
          <cell r="B26">
            <v>5229655.8499999996</v>
          </cell>
          <cell r="C26">
            <v>5420544.96</v>
          </cell>
        </row>
        <row r="27">
          <cell r="B27">
            <v>-2276548.71</v>
          </cell>
          <cell r="C27">
            <v>-2101203.34</v>
          </cell>
        </row>
        <row r="29">
          <cell r="B29">
            <v>43184628.810000002</v>
          </cell>
          <cell r="C29">
            <v>27762415.789999999</v>
          </cell>
        </row>
        <row r="30">
          <cell r="B30">
            <v>10053733.93</v>
          </cell>
          <cell r="C30">
            <v>13060218.029999999</v>
          </cell>
        </row>
        <row r="31">
          <cell r="B31">
            <v>-10193508.02</v>
          </cell>
          <cell r="C31">
            <v>-6360163.3799999999</v>
          </cell>
        </row>
        <row r="32">
          <cell r="B32">
            <v>-3158868.86</v>
          </cell>
          <cell r="C32">
            <v>-488065.68</v>
          </cell>
        </row>
        <row r="33">
          <cell r="B33">
            <v>20661094.32</v>
          </cell>
          <cell r="C33">
            <v>18439076.670000002</v>
          </cell>
        </row>
        <row r="34">
          <cell r="B34">
            <v>25266897.969999999</v>
          </cell>
          <cell r="C34">
            <v>42566647</v>
          </cell>
        </row>
        <row r="36">
          <cell r="B36">
            <v>-583106.55000000005</v>
          </cell>
          <cell r="C36">
            <v>-706851.51</v>
          </cell>
        </row>
        <row r="37">
          <cell r="B37">
            <v>1981575.36</v>
          </cell>
          <cell r="C37">
            <v>1861362.72</v>
          </cell>
        </row>
        <row r="44">
          <cell r="B44">
            <v>29381189.969999999</v>
          </cell>
          <cell r="C44">
            <v>28450681.68</v>
          </cell>
        </row>
        <row r="45">
          <cell r="B45">
            <v>6040968.5599999996</v>
          </cell>
          <cell r="C45">
            <v>3327704.85</v>
          </cell>
        </row>
        <row r="51">
          <cell r="B51">
            <v>68330555.219999999</v>
          </cell>
          <cell r="C51">
            <v>48500483.57</v>
          </cell>
        </row>
        <row r="52">
          <cell r="B52">
            <v>743570.52</v>
          </cell>
          <cell r="C52">
            <v>853500.52</v>
          </cell>
        </row>
        <row r="53">
          <cell r="B53">
            <v>4625165.34</v>
          </cell>
          <cell r="C53">
            <v>7521067.0300000003</v>
          </cell>
        </row>
        <row r="54">
          <cell r="B54">
            <v>-2048468.41</v>
          </cell>
          <cell r="C54">
            <v>-955806.63</v>
          </cell>
        </row>
      </sheetData>
      <sheetData sheetId="68">
        <row r="15">
          <cell r="B15">
            <v>5622457950.54</v>
          </cell>
          <cell r="C15">
            <v>4939349138.3699999</v>
          </cell>
        </row>
        <row r="16">
          <cell r="B16">
            <v>2052492161.4300001</v>
          </cell>
          <cell r="C16">
            <v>1931454524.23</v>
          </cell>
        </row>
        <row r="23">
          <cell r="B23">
            <v>250000</v>
          </cell>
          <cell r="C23">
            <v>250000</v>
          </cell>
        </row>
        <row r="24">
          <cell r="B24">
            <v>179120.94</v>
          </cell>
          <cell r="C24">
            <v>180295.94</v>
          </cell>
        </row>
        <row r="25">
          <cell r="B25">
            <v>22051386.800000001</v>
          </cell>
          <cell r="C25">
            <v>22502868</v>
          </cell>
        </row>
        <row r="26">
          <cell r="B26">
            <v>5997831.3499999996</v>
          </cell>
          <cell r="C26">
            <v>5915884.0700000003</v>
          </cell>
        </row>
        <row r="27">
          <cell r="B27">
            <v>411140</v>
          </cell>
          <cell r="C27">
            <v>411140</v>
          </cell>
        </row>
        <row r="34">
          <cell r="B34">
            <v>2413345.5499999998</v>
          </cell>
          <cell r="C34">
            <v>321020.78999999998</v>
          </cell>
        </row>
        <row r="35">
          <cell r="B35">
            <v>9510008.6600000001</v>
          </cell>
          <cell r="C35">
            <v>10985555.779999999</v>
          </cell>
        </row>
        <row r="36">
          <cell r="B36">
            <v>13.11</v>
          </cell>
          <cell r="C36">
            <v>17489.91</v>
          </cell>
        </row>
        <row r="37">
          <cell r="B37">
            <v>164835960.43000001</v>
          </cell>
          <cell r="C37">
            <v>171767245.72999999</v>
          </cell>
        </row>
        <row r="39">
          <cell r="B39">
            <v>12376152.470000001</v>
          </cell>
          <cell r="C39">
            <v>16983062.010000002</v>
          </cell>
        </row>
        <row r="41">
          <cell r="B41">
            <v>72708035.069999993</v>
          </cell>
          <cell r="C41">
            <v>41770627.770000003</v>
          </cell>
        </row>
        <row r="42">
          <cell r="B42">
            <v>29561689.399999999</v>
          </cell>
          <cell r="C42">
            <v>27370026.449999999</v>
          </cell>
        </row>
        <row r="43">
          <cell r="B43">
            <v>6202308.3700000001</v>
          </cell>
          <cell r="C43">
            <v>6454807.6299999999</v>
          </cell>
        </row>
        <row r="44">
          <cell r="B44">
            <v>74419.28</v>
          </cell>
          <cell r="C44">
            <v>382894.11</v>
          </cell>
        </row>
        <row r="45">
          <cell r="B45">
            <v>5833903.1799999997</v>
          </cell>
          <cell r="C45">
            <v>5293878.66</v>
          </cell>
        </row>
        <row r="46">
          <cell r="B46">
            <v>1261245.92</v>
          </cell>
          <cell r="C46">
            <v>554123.63</v>
          </cell>
        </row>
        <row r="53">
          <cell r="B53">
            <v>4671224.43</v>
          </cell>
          <cell r="C53">
            <v>7281131.1600000001</v>
          </cell>
        </row>
        <row r="54">
          <cell r="B54">
            <v>13356278.720000001</v>
          </cell>
          <cell r="C54">
            <v>10173666.949999999</v>
          </cell>
        </row>
        <row r="55">
          <cell r="B55">
            <v>50686899.869999997</v>
          </cell>
          <cell r="C55">
            <v>50753515.509999998</v>
          </cell>
        </row>
        <row r="56">
          <cell r="B56">
            <v>189030418.72</v>
          </cell>
          <cell r="C56">
            <v>82165250.620000005</v>
          </cell>
        </row>
        <row r="57">
          <cell r="B57">
            <v>77141393.989999995</v>
          </cell>
          <cell r="C57">
            <v>66575299.740000002</v>
          </cell>
        </row>
        <row r="69">
          <cell r="B69">
            <v>308139977.56</v>
          </cell>
          <cell r="C69">
            <v>308139977.56</v>
          </cell>
        </row>
        <row r="70">
          <cell r="B70">
            <v>-321288.87</v>
          </cell>
          <cell r="C70">
            <v>-321288.87</v>
          </cell>
        </row>
        <row r="71">
          <cell r="B71">
            <v>240711597</v>
          </cell>
          <cell r="C71">
            <v>90000000</v>
          </cell>
        </row>
        <row r="73">
          <cell r="B73">
            <v>1174207029.97</v>
          </cell>
          <cell r="C73">
            <v>1016489982.01</v>
          </cell>
        </row>
        <row r="74">
          <cell r="B74">
            <v>20755586.800000001</v>
          </cell>
          <cell r="C74">
            <v>21207068</v>
          </cell>
        </row>
        <row r="80">
          <cell r="B80">
            <v>350779405</v>
          </cell>
          <cell r="C80">
            <v>332753140</v>
          </cell>
        </row>
        <row r="82">
          <cell r="B82">
            <v>1181000000</v>
          </cell>
          <cell r="C82">
            <v>931000000</v>
          </cell>
        </row>
        <row r="92">
          <cell r="B92">
            <v>16247454</v>
          </cell>
          <cell r="C92">
            <v>23219454</v>
          </cell>
        </row>
        <row r="95">
          <cell r="B95">
            <v>166771077.13999999</v>
          </cell>
          <cell r="C95">
            <v>165373890.06</v>
          </cell>
        </row>
        <row r="96">
          <cell r="B96">
            <v>24709458.050000001</v>
          </cell>
          <cell r="C96">
            <v>38042955.520000003</v>
          </cell>
        </row>
        <row r="97">
          <cell r="B97">
            <v>21057049.050000001</v>
          </cell>
          <cell r="C97">
            <v>19573318.280000001</v>
          </cell>
        </row>
        <row r="98">
          <cell r="B98">
            <v>8558559.9499999993</v>
          </cell>
          <cell r="C98">
            <v>3633209.17</v>
          </cell>
        </row>
        <row r="99">
          <cell r="C99">
            <v>11932026.449999999</v>
          </cell>
        </row>
        <row r="101">
          <cell r="B101">
            <v>12258283.449999999</v>
          </cell>
          <cell r="C101">
            <v>10909671.01</v>
          </cell>
        </row>
        <row r="106">
          <cell r="B106">
            <v>327206027.33999997</v>
          </cell>
          <cell r="C106">
            <v>333296780.67000002</v>
          </cell>
        </row>
        <row r="107">
          <cell r="B107">
            <v>79951702.290000007</v>
          </cell>
          <cell r="C107">
            <v>54999112.32</v>
          </cell>
        </row>
        <row r="108">
          <cell r="B108">
            <v>40483282.600000001</v>
          </cell>
          <cell r="C108">
            <v>37721036.079999998</v>
          </cell>
        </row>
        <row r="109">
          <cell r="B109">
            <v>2430316.35</v>
          </cell>
          <cell r="C109">
            <v>2803336.61</v>
          </cell>
        </row>
        <row r="110">
          <cell r="B110">
            <v>32566110.140000001</v>
          </cell>
          <cell r="C110">
            <v>30315059.260000002</v>
          </cell>
        </row>
        <row r="111">
          <cell r="B111">
            <v>21709079.32</v>
          </cell>
          <cell r="C111">
            <v>13436143.6</v>
          </cell>
        </row>
        <row r="112">
          <cell r="C112">
            <v>3554518.72</v>
          </cell>
        </row>
        <row r="113">
          <cell r="B113">
            <v>192048802.24000001</v>
          </cell>
          <cell r="C113">
            <v>87925008.150000006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2.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4.1"/>
      <sheetName val="24.2"/>
      <sheetName val="25"/>
      <sheetName val="25.1"/>
      <sheetName val="25.2"/>
      <sheetName val="26"/>
      <sheetName val="26.1"/>
      <sheetName val="26.2"/>
      <sheetName val="27"/>
      <sheetName val="27.1"/>
      <sheetName val="27.2"/>
      <sheetName val="28"/>
      <sheetName val="28.1"/>
      <sheetName val="28.2"/>
      <sheetName val="29"/>
      <sheetName val="30"/>
      <sheetName val="31"/>
      <sheetName val="31.1"/>
      <sheetName val="31.2"/>
      <sheetName val="32"/>
      <sheetName val="32.1"/>
      <sheetName val="32.2"/>
      <sheetName val="33"/>
      <sheetName val="34"/>
      <sheetName val="34.1"/>
      <sheetName val="34.2"/>
      <sheetName val="35"/>
      <sheetName val="36"/>
      <sheetName val="37"/>
      <sheetName val="38"/>
    </sheetNames>
    <sheetDataSet>
      <sheetData sheetId="0" refreshError="1"/>
      <sheetData sheetId="1" refreshError="1"/>
      <sheetData sheetId="2">
        <row r="3">
          <cell r="A3" t="str">
            <v>DECEMBER 31, 2007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2.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4.1"/>
      <sheetName val="24.2"/>
      <sheetName val="25"/>
      <sheetName val="25.1"/>
      <sheetName val="25.2"/>
      <sheetName val="26"/>
      <sheetName val="26.1"/>
      <sheetName val="26.2"/>
      <sheetName val="27"/>
      <sheetName val="27.1"/>
      <sheetName val="27.2"/>
      <sheetName val="28"/>
      <sheetName val="28.1"/>
      <sheetName val="28.2"/>
      <sheetName val="29"/>
      <sheetName val="30"/>
      <sheetName val="31"/>
      <sheetName val="31.1"/>
      <sheetName val="31.2"/>
      <sheetName val="32"/>
      <sheetName val="32.1"/>
      <sheetName val="32.2"/>
      <sheetName val="33"/>
      <sheetName val="34"/>
      <sheetName val="34.1"/>
      <sheetName val="34.2"/>
      <sheetName val="35"/>
      <sheetName val="36"/>
    </sheetNames>
    <sheetDataSet>
      <sheetData sheetId="0" refreshError="1"/>
      <sheetData sheetId="1" refreshError="1"/>
      <sheetData sheetId="2">
        <row r="3">
          <cell r="A3" t="str">
            <v>DECEMBER 31, 2006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2.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4.1"/>
      <sheetName val="24.2"/>
      <sheetName val="25"/>
      <sheetName val="25.1"/>
      <sheetName val="25.2"/>
      <sheetName val="26"/>
      <sheetName val="26.1"/>
      <sheetName val="26.2"/>
      <sheetName val="27"/>
      <sheetName val="27.1"/>
      <sheetName val="27.2"/>
      <sheetName val="28"/>
      <sheetName val="28.1"/>
      <sheetName val="28.2"/>
      <sheetName val="29"/>
      <sheetName val="30"/>
      <sheetName val="31"/>
      <sheetName val="31.1"/>
      <sheetName val="31.2"/>
      <sheetName val="32"/>
      <sheetName val="32.1"/>
      <sheetName val="32.2"/>
      <sheetName val="33"/>
      <sheetName val="34"/>
      <sheetName val="34.1"/>
      <sheetName val="34.2"/>
      <sheetName val="35"/>
      <sheetName val="36"/>
      <sheetName val="37"/>
      <sheetName val="38"/>
    </sheetNames>
    <sheetDataSet>
      <sheetData sheetId="0" refreshError="1"/>
      <sheetData sheetId="1" refreshError="1"/>
      <sheetData sheetId="2">
        <row r="3">
          <cell r="A3" t="str">
            <v>DECEMBER 31, 2005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2.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4.1"/>
      <sheetName val="24.2"/>
      <sheetName val="25"/>
      <sheetName val="25.1"/>
      <sheetName val="25.2"/>
      <sheetName val="26"/>
      <sheetName val="26.1"/>
      <sheetName val="26.2"/>
      <sheetName val="27"/>
      <sheetName val="27.1"/>
      <sheetName val="27.2"/>
      <sheetName val="28"/>
      <sheetName val="28.1"/>
      <sheetName val="28.2"/>
      <sheetName val="29"/>
      <sheetName val="30"/>
      <sheetName val="31"/>
      <sheetName val="31.1"/>
      <sheetName val="31.2"/>
      <sheetName val="32"/>
      <sheetName val="32.1"/>
      <sheetName val="32.2"/>
      <sheetName val="33"/>
      <sheetName val="34"/>
      <sheetName val="34.1"/>
      <sheetName val="34.2"/>
      <sheetName val="35"/>
      <sheetName val="36"/>
      <sheetName val="IndexS"/>
      <sheetName val="1s"/>
    </sheetNames>
    <sheetDataSet>
      <sheetData sheetId="0" refreshError="1"/>
      <sheetData sheetId="1" refreshError="1"/>
      <sheetData sheetId="2">
        <row r="3">
          <cell r="A3" t="str">
            <v>DECEMBER 31, 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2.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4.1"/>
      <sheetName val="24.2"/>
      <sheetName val="25"/>
      <sheetName val="25.1"/>
      <sheetName val="25.2"/>
      <sheetName val="26"/>
      <sheetName val="26.1"/>
      <sheetName val="26.2"/>
      <sheetName val="27"/>
      <sheetName val="27.1"/>
      <sheetName val="27.2"/>
      <sheetName val="28"/>
      <sheetName val="28.1"/>
      <sheetName val="28.2"/>
      <sheetName val="29"/>
      <sheetName val="30"/>
      <sheetName val="31"/>
      <sheetName val="31.1"/>
      <sheetName val="31.2"/>
      <sheetName val="32"/>
      <sheetName val="32.1"/>
      <sheetName val="32.2"/>
      <sheetName val="33"/>
      <sheetName val="34"/>
      <sheetName val="34.1"/>
      <sheetName val="34.2"/>
      <sheetName val="35"/>
      <sheetName val="36"/>
      <sheetName val="37"/>
      <sheetName val="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A3" t="str">
            <v>DECEMBER 31, 2007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2.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4.1"/>
      <sheetName val="24.2"/>
      <sheetName val="25"/>
      <sheetName val="25.1"/>
      <sheetName val="25.2"/>
      <sheetName val="26"/>
      <sheetName val="26.1"/>
      <sheetName val="26.2"/>
      <sheetName val="27"/>
      <sheetName val="27.1"/>
      <sheetName val="27.2"/>
      <sheetName val="28"/>
      <sheetName val="28.1"/>
      <sheetName val="28.2"/>
      <sheetName val="29"/>
      <sheetName val="30"/>
      <sheetName val="31"/>
      <sheetName val="31.1"/>
      <sheetName val="31.2"/>
      <sheetName val="32"/>
      <sheetName val="32.1"/>
      <sheetName val="32.2"/>
      <sheetName val="33"/>
      <sheetName val="34"/>
      <sheetName val="34.1"/>
      <sheetName val="34.2"/>
      <sheetName val="35"/>
      <sheetName val="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A3" t="str">
            <v>DECEMBER 31, 2006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2.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4.1"/>
      <sheetName val="24.2"/>
      <sheetName val="25"/>
      <sheetName val="25.1"/>
      <sheetName val="25.2"/>
      <sheetName val="26"/>
      <sheetName val="26.1"/>
      <sheetName val="26.2"/>
      <sheetName val="27"/>
      <sheetName val="27.1"/>
      <sheetName val="27.2"/>
      <sheetName val="28"/>
      <sheetName val="28.1"/>
      <sheetName val="28.2"/>
      <sheetName val="29"/>
      <sheetName val="30"/>
      <sheetName val="31"/>
      <sheetName val="31.1"/>
      <sheetName val="31.2"/>
      <sheetName val="32"/>
      <sheetName val="32.1"/>
      <sheetName val="32.2"/>
      <sheetName val="33"/>
      <sheetName val="34"/>
      <sheetName val="34.1"/>
      <sheetName val="34.2"/>
      <sheetName val="35"/>
      <sheetName val="36"/>
      <sheetName val="37"/>
      <sheetName val="3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A3" t="str">
            <v>DECEMBER 31, 2005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2.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4.1"/>
      <sheetName val="24.2"/>
      <sheetName val="25"/>
      <sheetName val="25.1"/>
      <sheetName val="25.2"/>
      <sheetName val="26"/>
      <sheetName val="26.1"/>
      <sheetName val="26.2"/>
      <sheetName val="27"/>
      <sheetName val="27.1"/>
      <sheetName val="27.2"/>
      <sheetName val="28"/>
      <sheetName val="28.1"/>
      <sheetName val="28.2"/>
      <sheetName val="29"/>
      <sheetName val="30"/>
      <sheetName val="31"/>
      <sheetName val="31.1"/>
      <sheetName val="31.2"/>
      <sheetName val="32"/>
      <sheetName val="32.1"/>
      <sheetName val="32.2"/>
      <sheetName val="33"/>
      <sheetName val="34"/>
      <sheetName val="34.1"/>
      <sheetName val="34.2"/>
      <sheetName val="35"/>
      <sheetName val="36"/>
      <sheetName val="IndexS"/>
      <sheetName val="1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A3" t="str">
            <v>DECEMBER 31, 2004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1"/>
      <sheetName val="Ex 2"/>
      <sheetName val="Ex 3"/>
      <sheetName val="Ex 4"/>
      <sheetName val="Ex 5"/>
      <sheetName val="Ex 6"/>
      <sheetName val="Ex 7 - Not Used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4001"/>
      <sheetName val="184002"/>
      <sheetName val="184010"/>
      <sheetName val="184011"/>
      <sheetName val="184020"/>
      <sheetName val="184021"/>
      <sheetName val="184030"/>
      <sheetName val="184031"/>
      <sheetName val="184040"/>
      <sheetName val="184073"/>
      <sheetName val="184074"/>
      <sheetName val="184075"/>
      <sheetName val="184076"/>
      <sheetName val="184093"/>
      <sheetName val="184096"/>
      <sheetName val="184097"/>
      <sheetName val="184098"/>
      <sheetName val="184101"/>
      <sheetName val="184104"/>
      <sheetName val="184105"/>
      <sheetName val="184107"/>
      <sheetName val="184108"/>
      <sheetName val="184109"/>
      <sheetName val="184110"/>
      <sheetName val="184116"/>
      <sheetName val="184119"/>
      <sheetName val="184120"/>
      <sheetName val="184600"/>
      <sheetName val="184602"/>
      <sheetName val="184603"/>
      <sheetName val="184605"/>
      <sheetName val="184612"/>
      <sheetName val="A&amp;G"/>
      <sheetName val="Data"/>
      <sheetName val="Sick_Otr"/>
      <sheetName val="TIA"/>
      <sheetName val="Ins"/>
      <sheetName val="Pens"/>
      <sheetName val="LTD"/>
      <sheetName val="106"/>
      <sheetName val="112"/>
      <sheetName val="Hosp_Grp"/>
      <sheetName val="Dental"/>
      <sheetName val="401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Locengr"/>
      <sheetName val="CODE"/>
      <sheetName val="Pay"/>
      <sheetName val="accts"/>
      <sheetName val="lge"/>
      <sheetName val="AP"/>
      <sheetName val="queries"/>
      <sheetName val="s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  <pageSetUpPr fitToPage="1"/>
  </sheetPr>
  <dimension ref="A1:I51"/>
  <sheetViews>
    <sheetView tabSelected="1" zoomScale="80" zoomScaleNormal="80" workbookViewId="0">
      <selection activeCell="E11" sqref="E11"/>
    </sheetView>
  </sheetViews>
  <sheetFormatPr defaultRowHeight="15.75" x14ac:dyDescent="0.25"/>
  <cols>
    <col min="1" max="1" width="7.42578125" style="1" bestFit="1" customWidth="1"/>
    <col min="2" max="2" width="26" style="2" bestFit="1" customWidth="1"/>
    <col min="3" max="4" width="11.7109375" style="2" bestFit="1" customWidth="1"/>
    <col min="5" max="5" width="11.7109375" style="2" customWidth="1"/>
    <col min="6" max="6" width="12.28515625" style="2" bestFit="1" customWidth="1"/>
    <col min="7" max="7" width="15.85546875" style="2" customWidth="1"/>
    <col min="8" max="8" width="3.7109375" style="2" customWidth="1"/>
    <col min="9" max="16384" width="9.140625" style="2"/>
  </cols>
  <sheetData>
    <row r="1" spans="1:7" x14ac:dyDescent="0.25">
      <c r="A1" s="828" t="s">
        <v>82</v>
      </c>
      <c r="B1" s="828"/>
      <c r="C1" s="828"/>
      <c r="D1" s="828"/>
      <c r="E1" s="828"/>
      <c r="F1" s="828"/>
      <c r="G1" s="828"/>
    </row>
    <row r="3" spans="1:7" x14ac:dyDescent="0.25">
      <c r="A3" s="829" t="s">
        <v>745</v>
      </c>
      <c r="B3" s="829"/>
      <c r="C3" s="829"/>
      <c r="D3" s="829"/>
      <c r="E3" s="829"/>
      <c r="F3" s="829"/>
      <c r="G3" s="829"/>
    </row>
    <row r="5" spans="1:7" x14ac:dyDescent="0.25">
      <c r="A5" s="828" t="s">
        <v>0</v>
      </c>
      <c r="B5" s="828"/>
      <c r="C5" s="828"/>
      <c r="D5" s="828"/>
      <c r="E5" s="828"/>
      <c r="F5" s="828"/>
      <c r="G5" s="828"/>
    </row>
    <row r="7" spans="1:7" x14ac:dyDescent="0.25">
      <c r="A7" s="828" t="s">
        <v>721</v>
      </c>
      <c r="B7" s="828"/>
      <c r="C7" s="828"/>
      <c r="D7" s="828"/>
      <c r="E7" s="828"/>
      <c r="F7" s="828"/>
      <c r="G7" s="828"/>
    </row>
    <row r="8" spans="1:7" x14ac:dyDescent="0.25">
      <c r="A8" s="828" t="s">
        <v>622</v>
      </c>
      <c r="B8" s="828"/>
      <c r="C8" s="828"/>
      <c r="D8" s="828"/>
      <c r="E8" s="828"/>
      <c r="F8" s="828"/>
      <c r="G8" s="828"/>
    </row>
    <row r="10" spans="1:7" x14ac:dyDescent="0.25">
      <c r="F10" s="725"/>
    </row>
    <row r="11" spans="1:7" x14ac:dyDescent="0.25">
      <c r="F11" s="24"/>
    </row>
    <row r="12" spans="1:7" x14ac:dyDescent="0.25">
      <c r="A12" s="3" t="s">
        <v>1</v>
      </c>
      <c r="B12" s="3"/>
      <c r="C12" s="3" t="s">
        <v>29</v>
      </c>
      <c r="D12" s="3" t="s">
        <v>624</v>
      </c>
      <c r="E12" s="3" t="s">
        <v>16</v>
      </c>
      <c r="F12" s="726" t="s">
        <v>5</v>
      </c>
      <c r="G12" s="3" t="s">
        <v>6</v>
      </c>
    </row>
    <row r="13" spans="1:7" x14ac:dyDescent="0.25">
      <c r="A13" s="3" t="s">
        <v>2</v>
      </c>
      <c r="B13" s="3" t="s">
        <v>4</v>
      </c>
      <c r="C13" s="3" t="s">
        <v>623</v>
      </c>
      <c r="D13" s="3" t="s">
        <v>623</v>
      </c>
      <c r="E13" s="3" t="s">
        <v>17</v>
      </c>
      <c r="F13" s="513" t="s">
        <v>8</v>
      </c>
      <c r="G13" s="3" t="s">
        <v>8</v>
      </c>
    </row>
    <row r="14" spans="1:7" x14ac:dyDescent="0.25">
      <c r="A14" s="5"/>
      <c r="B14" s="6" t="s">
        <v>3</v>
      </c>
      <c r="C14" s="6" t="s">
        <v>144</v>
      </c>
      <c r="D14" s="6" t="s">
        <v>625</v>
      </c>
      <c r="E14" s="6" t="s">
        <v>7</v>
      </c>
      <c r="F14" s="593" t="s">
        <v>18</v>
      </c>
      <c r="G14" s="6" t="s">
        <v>20</v>
      </c>
    </row>
    <row r="15" spans="1:7" x14ac:dyDescent="0.25">
      <c r="A15" s="23">
        <v>1</v>
      </c>
      <c r="B15" s="2" t="s">
        <v>9</v>
      </c>
    </row>
    <row r="16" spans="1:7" x14ac:dyDescent="0.25">
      <c r="A16" s="23">
        <v>2</v>
      </c>
      <c r="B16" s="2" t="s">
        <v>10</v>
      </c>
      <c r="C16" s="7">
        <f t="shared" ref="C16:C21" si="0">E16</f>
        <v>6.7699999999999996E-2</v>
      </c>
      <c r="D16" s="7">
        <v>0</v>
      </c>
      <c r="E16" s="7">
        <f>'Ex 3 - 2007'!H48</f>
        <v>6.7699999999999996E-2</v>
      </c>
      <c r="F16" s="7">
        <f>'Ex 3 - 2007'!D48</f>
        <v>7.0499999999999993E-2</v>
      </c>
      <c r="G16" s="9">
        <f>'Ex 3 - 2007'!F48</f>
        <v>4.82E-2</v>
      </c>
    </row>
    <row r="17" spans="1:9" x14ac:dyDescent="0.25">
      <c r="A17" s="23">
        <v>3</v>
      </c>
      <c r="B17" s="2" t="s">
        <v>19</v>
      </c>
      <c r="C17" s="7">
        <f t="shared" si="0"/>
        <v>5.6899999999999999E-2</v>
      </c>
      <c r="D17" s="7">
        <v>0</v>
      </c>
      <c r="E17" s="7">
        <f>'Ex 3 - 2008'!H48</f>
        <v>5.6899999999999999E-2</v>
      </c>
      <c r="F17" s="7">
        <f>'Ex 3 - 2008'!D48</f>
        <v>6.0999999999999999E-2</v>
      </c>
      <c r="G17" s="9">
        <f>'Ex 3 - 2008'!F48</f>
        <v>2.9100000000000001E-2</v>
      </c>
    </row>
    <row r="18" spans="1:9" x14ac:dyDescent="0.25">
      <c r="A18" s="23">
        <v>4</v>
      </c>
      <c r="B18" s="2" t="s">
        <v>11</v>
      </c>
      <c r="C18" s="594">
        <f t="shared" si="0"/>
        <v>5.2999999999999999E-2</v>
      </c>
      <c r="D18" s="594">
        <v>0</v>
      </c>
      <c r="E18" s="594">
        <f>'Ex 3 - 2009'!H50</f>
        <v>5.2999999999999999E-2</v>
      </c>
      <c r="F18" s="594">
        <f>'Ex 3 - 2009'!D50</f>
        <v>5.6500000000000002E-2</v>
      </c>
      <c r="G18" s="761">
        <f>'Ex 3 - 2009'!F50</f>
        <v>2.9000000000000001E-2</v>
      </c>
    </row>
    <row r="19" spans="1:9" x14ac:dyDescent="0.25">
      <c r="A19" s="23">
        <v>5</v>
      </c>
      <c r="B19" s="2" t="s">
        <v>12</v>
      </c>
      <c r="C19" s="594">
        <f t="shared" si="0"/>
        <v>6.3899999999999998E-2</v>
      </c>
      <c r="D19" s="594">
        <v>0</v>
      </c>
      <c r="E19" s="594">
        <f>'Ex 3 - 2010'!H50</f>
        <v>6.3899999999999998E-2</v>
      </c>
      <c r="F19" s="594">
        <f>'Ex 3 - 2010'!D50</f>
        <v>6.5500000000000003E-2</v>
      </c>
      <c r="G19" s="761">
        <f>'Ex 3 - 2010'!F50</f>
        <v>5.2600000000000001E-2</v>
      </c>
    </row>
    <row r="20" spans="1:9" x14ac:dyDescent="0.25">
      <c r="A20" s="23">
        <v>6</v>
      </c>
      <c r="B20" s="2" t="s">
        <v>13</v>
      </c>
      <c r="C20" s="594">
        <f t="shared" si="0"/>
        <v>6.0699999999999997E-2</v>
      </c>
      <c r="D20" s="594">
        <v>0</v>
      </c>
      <c r="E20" s="594">
        <f>'Ex 3 - 2011'!H48</f>
        <v>6.0699999999999997E-2</v>
      </c>
      <c r="F20" s="594">
        <f>'Ex 3 - 2011'!D48</f>
        <v>6.2799999999999995E-2</v>
      </c>
      <c r="G20" s="761">
        <f>'Ex 3 - 2011'!F48</f>
        <v>4.6300000000000001E-2</v>
      </c>
    </row>
    <row r="21" spans="1:9" x14ac:dyDescent="0.25">
      <c r="A21" s="23">
        <v>7</v>
      </c>
      <c r="B21" s="2" t="s">
        <v>14</v>
      </c>
      <c r="C21" s="594">
        <f t="shared" si="0"/>
        <v>5.6099999999999997E-2</v>
      </c>
      <c r="D21" s="594">
        <v>0</v>
      </c>
      <c r="E21" s="594">
        <f>'Ex 3 - TY 2012'!H48</f>
        <v>5.6099999999999997E-2</v>
      </c>
      <c r="F21" s="594">
        <f>'Ex 3 - TY 2012'!D48</f>
        <v>5.79E-2</v>
      </c>
      <c r="G21" s="594">
        <f>'Ex 3 - TY 2012'!F48</f>
        <v>4.3299999999999998E-2</v>
      </c>
    </row>
    <row r="22" spans="1:9" x14ac:dyDescent="0.25">
      <c r="A22" s="23">
        <v>8</v>
      </c>
      <c r="B22" s="2" t="s">
        <v>15</v>
      </c>
      <c r="D22" s="24"/>
      <c r="F22" s="7"/>
      <c r="G22" s="7"/>
    </row>
    <row r="23" spans="1:9" x14ac:dyDescent="0.25">
      <c r="A23" s="23">
        <v>9</v>
      </c>
      <c r="B23" s="2" t="s">
        <v>10</v>
      </c>
      <c r="C23" s="617">
        <f t="shared" ref="C23:C28" si="1">E23</f>
        <v>8.6099999999999996E-2</v>
      </c>
      <c r="D23" s="594">
        <v>0</v>
      </c>
      <c r="E23" s="594">
        <f>+'2007'!$F$14</f>
        <v>8.6099999999999996E-2</v>
      </c>
      <c r="F23" s="594">
        <f>+'2007'!$F$33</f>
        <v>9.1399999999999995E-2</v>
      </c>
      <c r="G23" s="594">
        <f>+'2007'!$F$52</f>
        <v>4.7600000000000003E-2</v>
      </c>
    </row>
    <row r="24" spans="1:9" x14ac:dyDescent="0.25">
      <c r="A24" s="23">
        <v>10</v>
      </c>
      <c r="B24" s="2" t="s">
        <v>19</v>
      </c>
      <c r="C24" s="617">
        <f t="shared" si="1"/>
        <v>6.8699999999999997E-2</v>
      </c>
      <c r="D24" s="594">
        <v>0</v>
      </c>
      <c r="E24" s="594">
        <f>+'2008'!$F$14</f>
        <v>6.8699999999999997E-2</v>
      </c>
      <c r="F24" s="594">
        <f>+'2008'!$F$33</f>
        <v>7.6600000000000001E-2</v>
      </c>
      <c r="G24" s="594">
        <f>+'2008'!$F$52</f>
        <v>1.4500000000000001E-2</v>
      </c>
    </row>
    <row r="25" spans="1:9" x14ac:dyDescent="0.25">
      <c r="A25" s="23">
        <v>11</v>
      </c>
      <c r="B25" s="2" t="s">
        <v>11</v>
      </c>
      <c r="C25" s="725">
        <f t="shared" si="1"/>
        <v>6.13E-2</v>
      </c>
      <c r="D25" s="594">
        <v>0</v>
      </c>
      <c r="E25" s="594">
        <f>+'2009'!$F$14</f>
        <v>6.13E-2</v>
      </c>
      <c r="F25" s="594">
        <f>+'2009'!$F$33</f>
        <v>6.8000000000000005E-2</v>
      </c>
      <c r="G25" s="594">
        <f>+'2009'!$F$52</f>
        <v>1.5299999999999999E-2</v>
      </c>
    </row>
    <row r="26" spans="1:9" x14ac:dyDescent="0.25">
      <c r="A26" s="23">
        <v>12</v>
      </c>
      <c r="B26" s="2" t="s">
        <v>12</v>
      </c>
      <c r="C26" s="725">
        <f t="shared" si="1"/>
        <v>8.7999999999999995E-2</v>
      </c>
      <c r="D26" s="594">
        <v>0</v>
      </c>
      <c r="E26" s="594">
        <f>+'2010'!$F$14</f>
        <v>8.7999999999999995E-2</v>
      </c>
      <c r="F26" s="594">
        <f>+'2010'!$F$33</f>
        <v>9.1200000000000003E-2</v>
      </c>
      <c r="G26" s="594">
        <f>+'2010'!$F$52</f>
        <v>6.6400000000000001E-2</v>
      </c>
    </row>
    <row r="27" spans="1:9" x14ac:dyDescent="0.25">
      <c r="A27" s="23">
        <v>13</v>
      </c>
      <c r="B27" s="2" t="s">
        <v>13</v>
      </c>
      <c r="C27" s="725">
        <f t="shared" si="1"/>
        <v>8.2100000000000006E-2</v>
      </c>
      <c r="D27" s="594">
        <v>0</v>
      </c>
      <c r="E27" s="594">
        <f>+'2011'!$F$14</f>
        <v>8.2100000000000006E-2</v>
      </c>
      <c r="F27" s="594">
        <f>+'2011'!$F$33</f>
        <v>8.5999999999999993E-2</v>
      </c>
      <c r="G27" s="594">
        <f>+'2011'!$F$52</f>
        <v>5.5E-2</v>
      </c>
    </row>
    <row r="28" spans="1:9" x14ac:dyDescent="0.25">
      <c r="A28" s="23">
        <v>14</v>
      </c>
      <c r="B28" s="2" t="s">
        <v>14</v>
      </c>
      <c r="C28" s="725">
        <f t="shared" si="1"/>
        <v>7.3099999999999998E-2</v>
      </c>
      <c r="D28" s="594">
        <v>0</v>
      </c>
      <c r="E28" s="594">
        <f>+'TY 2012'!$F$14</f>
        <v>7.3099999999999998E-2</v>
      </c>
      <c r="F28" s="594">
        <f>+'TY 2012'!$F$33</f>
        <v>7.6499999999999999E-2</v>
      </c>
      <c r="G28" s="594">
        <f>+'TY 2012'!$F$52</f>
        <v>4.9099999999999998E-2</v>
      </c>
    </row>
    <row r="29" spans="1:9" x14ac:dyDescent="0.25">
      <c r="F29" s="24"/>
    </row>
    <row r="30" spans="1:9" ht="66.75" hidden="1" customHeight="1" x14ac:dyDescent="0.25">
      <c r="A30" s="826" t="s">
        <v>746</v>
      </c>
      <c r="B30" s="827"/>
      <c r="C30" s="827"/>
      <c r="D30" s="827"/>
      <c r="E30" s="827"/>
      <c r="F30" s="827"/>
      <c r="G30" s="827"/>
      <c r="H30" s="73"/>
      <c r="I30" s="73"/>
    </row>
    <row r="31" spans="1:9" x14ac:dyDescent="0.25">
      <c r="F31" s="24"/>
    </row>
    <row r="32" spans="1:9" x14ac:dyDescent="0.25">
      <c r="F32" s="24"/>
    </row>
    <row r="48" spans="6:6" x14ac:dyDescent="0.25">
      <c r="F48" s="24"/>
    </row>
    <row r="49" spans="6:6" x14ac:dyDescent="0.25">
      <c r="F49" s="24"/>
    </row>
    <row r="50" spans="6:6" x14ac:dyDescent="0.25">
      <c r="F50" s="24"/>
    </row>
    <row r="51" spans="6:6" x14ac:dyDescent="0.25">
      <c r="F51" s="24"/>
    </row>
  </sheetData>
  <mergeCells count="6">
    <mergeCell ref="A30:G30"/>
    <mergeCell ref="A1:G1"/>
    <mergeCell ref="A3:G3"/>
    <mergeCell ref="A5:G5"/>
    <mergeCell ref="A7:G7"/>
    <mergeCell ref="A8:G8"/>
  </mergeCells>
  <phoneticPr fontId="0" type="noConversion"/>
  <printOptions horizontalCentered="1"/>
  <pageMargins left="0.75" right="0.75" top="1" bottom="1" header="0.25" footer="0.5"/>
  <pageSetup scale="94" orientation="portrait" blackAndWhite="1" r:id="rId1"/>
  <headerFooter alignWithMargins="0">
    <oddHeader xml:space="preserve">&amp;R&amp;"Times New Roman,Bold"&amp;12Attachment to Response to Question No. 38
Page &amp;P of &amp;N
Blake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H60"/>
  <sheetViews>
    <sheetView topLeftCell="A23" zoomScaleNormal="100" workbookViewId="0">
      <selection activeCell="A56" sqref="A1:IV65536"/>
    </sheetView>
  </sheetViews>
  <sheetFormatPr defaultRowHeight="12.75" x14ac:dyDescent="0.2"/>
  <cols>
    <col min="1" max="1" width="22.140625" style="74" customWidth="1"/>
    <col min="2" max="2" width="21.85546875" style="74" customWidth="1"/>
    <col min="3" max="5" width="18.28515625" style="74" bestFit="1" customWidth="1"/>
    <col min="6" max="6" width="15.85546875" style="74" customWidth="1"/>
    <col min="7" max="7" width="14.85546875" style="74" bestFit="1" customWidth="1"/>
    <col min="8" max="8" width="17.42578125" style="490" bestFit="1" customWidth="1"/>
    <col min="9" max="16384" width="9.140625" style="74"/>
  </cols>
  <sheetData>
    <row r="1" spans="1:8" x14ac:dyDescent="0.2">
      <c r="A1" s="833" t="s">
        <v>21</v>
      </c>
      <c r="B1" s="833"/>
      <c r="C1" s="833"/>
      <c r="D1" s="833"/>
      <c r="E1" s="833"/>
      <c r="F1" s="833"/>
      <c r="G1" s="833"/>
      <c r="H1" s="511"/>
    </row>
    <row r="2" spans="1:8" x14ac:dyDescent="0.2">
      <c r="A2" s="833" t="s">
        <v>22</v>
      </c>
      <c r="B2" s="833"/>
      <c r="C2" s="833"/>
      <c r="D2" s="833"/>
      <c r="E2" s="833"/>
      <c r="F2" s="833"/>
      <c r="G2" s="833"/>
    </row>
    <row r="3" spans="1:8" x14ac:dyDescent="0.2">
      <c r="A3" s="833" t="s">
        <v>23</v>
      </c>
      <c r="B3" s="833"/>
      <c r="C3" s="833"/>
      <c r="D3" s="833"/>
      <c r="E3" s="833"/>
      <c r="F3" s="833"/>
      <c r="G3" s="833"/>
    </row>
    <row r="4" spans="1:8" x14ac:dyDescent="0.2">
      <c r="A4" s="833"/>
      <c r="B4" s="833"/>
      <c r="C4" s="833"/>
      <c r="D4" s="833"/>
      <c r="E4" s="833"/>
      <c r="F4" s="833"/>
      <c r="G4" s="833"/>
    </row>
    <row r="6" spans="1:8" ht="15" x14ac:dyDescent="0.35">
      <c r="A6" s="830" t="s">
        <v>180</v>
      </c>
      <c r="B6" s="830"/>
      <c r="C6" s="830"/>
      <c r="D6" s="831"/>
      <c r="E6" s="831"/>
      <c r="F6" s="831"/>
      <c r="G6" s="831"/>
    </row>
    <row r="7" spans="1:8" x14ac:dyDescent="0.2">
      <c r="B7" s="76"/>
      <c r="C7" s="77" t="s">
        <v>24</v>
      </c>
      <c r="D7" s="75"/>
      <c r="F7" s="75" t="s">
        <v>25</v>
      </c>
      <c r="G7" s="75" t="s">
        <v>26</v>
      </c>
    </row>
    <row r="8" spans="1:8" x14ac:dyDescent="0.2">
      <c r="B8" s="78" t="s">
        <v>27</v>
      </c>
      <c r="C8" s="77" t="s">
        <v>28</v>
      </c>
      <c r="D8" s="75" t="s">
        <v>29</v>
      </c>
      <c r="E8" s="78" t="s">
        <v>30</v>
      </c>
      <c r="F8" s="75" t="s">
        <v>31</v>
      </c>
      <c r="G8" s="75" t="s">
        <v>32</v>
      </c>
    </row>
    <row r="9" spans="1:8" x14ac:dyDescent="0.2">
      <c r="B9" s="79" t="s">
        <v>33</v>
      </c>
      <c r="C9" s="80" t="s">
        <v>34</v>
      </c>
      <c r="D9" s="79" t="s">
        <v>27</v>
      </c>
      <c r="E9" s="79" t="s">
        <v>35</v>
      </c>
      <c r="F9" s="79" t="s">
        <v>36</v>
      </c>
      <c r="G9" s="79" t="s">
        <v>37</v>
      </c>
    </row>
    <row r="10" spans="1:8" x14ac:dyDescent="0.2">
      <c r="A10" s="74" t="s">
        <v>38</v>
      </c>
      <c r="B10" s="81">
        <v>69665000</v>
      </c>
      <c r="C10" s="497">
        <f t="shared" ref="C10:D14" si="0">+C29+C48</f>
        <v>1</v>
      </c>
      <c r="D10" s="496">
        <f t="shared" si="0"/>
        <v>69665001</v>
      </c>
      <c r="E10" s="497">
        <f>ROUND(+D10/$D$15,4)</f>
        <v>3.7499999999999999E-2</v>
      </c>
      <c r="F10" s="82">
        <v>4.2099999999999999E-2</v>
      </c>
      <c r="G10" s="497">
        <f>ROUND(+E10*F10,4)</f>
        <v>1.6000000000000001E-3</v>
      </c>
      <c r="H10" s="498"/>
    </row>
    <row r="11" spans="1:8" x14ac:dyDescent="0.2">
      <c r="A11" s="74" t="s">
        <v>39</v>
      </c>
      <c r="B11" s="81">
        <v>0</v>
      </c>
      <c r="C11" s="497">
        <f t="shared" si="0"/>
        <v>1</v>
      </c>
      <c r="D11" s="496">
        <f t="shared" si="0"/>
        <v>0</v>
      </c>
      <c r="E11" s="497">
        <f>ROUND(+D11/$D$15,4)</f>
        <v>0</v>
      </c>
      <c r="F11" s="82">
        <v>0</v>
      </c>
      <c r="G11" s="497">
        <f>ROUND(+E11*F11,4)</f>
        <v>0</v>
      </c>
    </row>
    <row r="12" spans="1:8" x14ac:dyDescent="0.2">
      <c r="A12" s="74" t="s">
        <v>40</v>
      </c>
      <c r="B12" s="81">
        <v>746604400</v>
      </c>
      <c r="C12" s="497">
        <f t="shared" si="0"/>
        <v>1</v>
      </c>
      <c r="D12" s="496">
        <f t="shared" si="0"/>
        <v>746604400</v>
      </c>
      <c r="E12" s="497">
        <f>ROUND(+D12/$D$15,4)</f>
        <v>0.40189999999999998</v>
      </c>
      <c r="F12" s="82">
        <v>4.5019999999999998E-2</v>
      </c>
      <c r="G12" s="497">
        <f>ROUND(+E12*F12,4)</f>
        <v>1.8100000000000002E-2</v>
      </c>
    </row>
    <row r="13" spans="1:8" x14ac:dyDescent="0.2">
      <c r="A13" s="74" t="s">
        <v>41</v>
      </c>
      <c r="B13" s="81">
        <v>0</v>
      </c>
      <c r="C13" s="497">
        <f t="shared" si="0"/>
        <v>1</v>
      </c>
      <c r="D13" s="496">
        <f t="shared" si="0"/>
        <v>0</v>
      </c>
      <c r="E13" s="497">
        <f>ROUND(+D13/$D$15,4)</f>
        <v>0</v>
      </c>
      <c r="F13" s="82">
        <v>0</v>
      </c>
      <c r="G13" s="497">
        <f>ROUND(+E13*F13,4)</f>
        <v>0</v>
      </c>
    </row>
    <row r="14" spans="1:8" x14ac:dyDescent="0.2">
      <c r="A14" s="74" t="s">
        <v>42</v>
      </c>
      <c r="B14" s="81">
        <v>1041377220</v>
      </c>
      <c r="C14" s="497">
        <f t="shared" si="0"/>
        <v>1</v>
      </c>
      <c r="D14" s="496">
        <f t="shared" si="0"/>
        <v>1041377220</v>
      </c>
      <c r="E14" s="497">
        <f>ROUND(+D14/$D$15,4)</f>
        <v>0.56059999999999999</v>
      </c>
      <c r="F14" s="497">
        <f>ROUND(+G14/E14,4)</f>
        <v>0.104</v>
      </c>
      <c r="G14" s="499">
        <f>+G19-G10-G11-G12-G13</f>
        <v>5.8299999999999991E-2</v>
      </c>
    </row>
    <row r="15" spans="1:8" x14ac:dyDescent="0.2">
      <c r="B15" s="84">
        <v>1857646620</v>
      </c>
      <c r="C15" s="490"/>
      <c r="D15" s="500">
        <f>SUM(D10:D14)</f>
        <v>1857646621</v>
      </c>
      <c r="E15" s="501">
        <f>SUM(E10:E14)</f>
        <v>1</v>
      </c>
      <c r="F15" s="81"/>
      <c r="G15" s="497">
        <f>SUM(G10:G14)</f>
        <v>7.7999999999999986E-2</v>
      </c>
    </row>
    <row r="16" spans="1:8" x14ac:dyDescent="0.2">
      <c r="B16" s="81"/>
      <c r="D16" s="81"/>
      <c r="E16" s="81"/>
      <c r="F16" s="81"/>
      <c r="G16" s="497"/>
    </row>
    <row r="17" spans="1:8" x14ac:dyDescent="0.2">
      <c r="D17" s="81"/>
      <c r="E17" s="81"/>
      <c r="F17" s="81"/>
      <c r="G17" s="496"/>
    </row>
    <row r="18" spans="1:8" x14ac:dyDescent="0.2">
      <c r="A18" s="85" t="s">
        <v>183</v>
      </c>
      <c r="D18" s="81"/>
      <c r="E18" s="81"/>
      <c r="F18" s="81"/>
      <c r="G18" s="8">
        <f>+G37+G56</f>
        <v>144877798</v>
      </c>
    </row>
    <row r="19" spans="1:8" x14ac:dyDescent="0.2">
      <c r="A19" s="74" t="s">
        <v>44</v>
      </c>
      <c r="D19" s="81"/>
      <c r="E19" s="81"/>
      <c r="F19" s="81"/>
      <c r="G19" s="497">
        <f>ROUND(+G18/D15,4)</f>
        <v>7.8E-2</v>
      </c>
      <c r="H19" s="503">
        <f>+G15-G19</f>
        <v>0</v>
      </c>
    </row>
    <row r="20" spans="1:8" x14ac:dyDescent="0.2">
      <c r="D20" s="81"/>
      <c r="E20" s="81"/>
      <c r="F20" s="81"/>
      <c r="G20" s="81"/>
    </row>
    <row r="22" spans="1:8" ht="13.5" thickBot="1" x14ac:dyDescent="0.25">
      <c r="A22" s="86"/>
      <c r="B22" s="86"/>
      <c r="C22" s="86"/>
      <c r="D22" s="86"/>
      <c r="E22" s="86"/>
      <c r="F22" s="86"/>
      <c r="G22" s="87"/>
    </row>
    <row r="23" spans="1:8" x14ac:dyDescent="0.2">
      <c r="G23" s="81"/>
    </row>
    <row r="25" spans="1:8" ht="15" x14ac:dyDescent="0.35">
      <c r="A25" s="830" t="s">
        <v>181</v>
      </c>
      <c r="B25" s="830"/>
      <c r="C25" s="830"/>
      <c r="D25" s="831"/>
      <c r="E25" s="831"/>
      <c r="F25" s="831"/>
      <c r="G25" s="831"/>
    </row>
    <row r="26" spans="1:8" x14ac:dyDescent="0.2">
      <c r="B26" s="76"/>
      <c r="C26" s="77" t="s">
        <v>45</v>
      </c>
      <c r="D26" s="75"/>
      <c r="E26" s="618"/>
      <c r="F26" s="75" t="s">
        <v>25</v>
      </c>
      <c r="G26" s="75" t="s">
        <v>26</v>
      </c>
    </row>
    <row r="27" spans="1:8" x14ac:dyDescent="0.2">
      <c r="B27" s="78" t="s">
        <v>27</v>
      </c>
      <c r="C27" s="77" t="s">
        <v>28</v>
      </c>
      <c r="D27" s="75" t="s">
        <v>45</v>
      </c>
      <c r="E27" s="618" t="s">
        <v>30</v>
      </c>
      <c r="F27" s="619" t="s">
        <v>31</v>
      </c>
      <c r="G27" s="619" t="s">
        <v>32</v>
      </c>
    </row>
    <row r="28" spans="1:8" x14ac:dyDescent="0.2">
      <c r="B28" s="79" t="s">
        <v>33</v>
      </c>
      <c r="C28" s="80" t="s">
        <v>34</v>
      </c>
      <c r="D28" s="79" t="s">
        <v>27</v>
      </c>
      <c r="E28" s="620" t="s">
        <v>35</v>
      </c>
      <c r="F28" s="621" t="s">
        <v>36</v>
      </c>
      <c r="G28" s="621" t="s">
        <v>37</v>
      </c>
    </row>
    <row r="29" spans="1:8" x14ac:dyDescent="0.2">
      <c r="A29" s="74" t="s">
        <v>38</v>
      </c>
      <c r="B29" s="88">
        <v>69665000</v>
      </c>
      <c r="C29" s="497">
        <f>+'Ex 3 - 2005'!D44</f>
        <v>0.88090000000000002</v>
      </c>
      <c r="D29" s="496">
        <f>ROUND(+B29*C29,0)</f>
        <v>61367899</v>
      </c>
      <c r="E29" s="497">
        <f>ROUND(+D29/$D$34,4)</f>
        <v>3.7499999999999999E-2</v>
      </c>
      <c r="F29" s="82">
        <v>4.2099999999999999E-2</v>
      </c>
      <c r="G29" s="497">
        <f>ROUND(+E29*F29,4)</f>
        <v>1.6000000000000001E-3</v>
      </c>
    </row>
    <row r="30" spans="1:8" x14ac:dyDescent="0.2">
      <c r="A30" s="74" t="s">
        <v>39</v>
      </c>
      <c r="B30" s="88">
        <v>0</v>
      </c>
      <c r="C30" s="498">
        <f>+C29</f>
        <v>0.88090000000000002</v>
      </c>
      <c r="D30" s="496">
        <f>ROUND(+B30*C30,0)</f>
        <v>0</v>
      </c>
      <c r="E30" s="497">
        <f>ROUND(+D30/$D$34,4)</f>
        <v>0</v>
      </c>
      <c r="F30" s="82">
        <v>0</v>
      </c>
      <c r="G30" s="497">
        <f>ROUND(+E30*F30,4)</f>
        <v>0</v>
      </c>
    </row>
    <row r="31" spans="1:8" x14ac:dyDescent="0.2">
      <c r="A31" s="74" t="s">
        <v>40</v>
      </c>
      <c r="B31" s="88">
        <v>746604400</v>
      </c>
      <c r="C31" s="498">
        <f>+C30</f>
        <v>0.88090000000000002</v>
      </c>
      <c r="D31" s="496">
        <f>ROUND(+B31*C31,0)</f>
        <v>657683816</v>
      </c>
      <c r="E31" s="497">
        <f>ROUND(+D31/$D$34,4)</f>
        <v>0.40189999999999998</v>
      </c>
      <c r="F31" s="82">
        <v>4.5019999999999998E-2</v>
      </c>
      <c r="G31" s="497">
        <f>ROUND(+E31*F31,4)</f>
        <v>1.8100000000000002E-2</v>
      </c>
    </row>
    <row r="32" spans="1:8" x14ac:dyDescent="0.2">
      <c r="A32" s="74" t="s">
        <v>41</v>
      </c>
      <c r="B32" s="88">
        <v>0</v>
      </c>
      <c r="C32" s="498">
        <f>+C31</f>
        <v>0.88090000000000002</v>
      </c>
      <c r="D32" s="496">
        <f>ROUND(+B32*C32,0)</f>
        <v>0</v>
      </c>
      <c r="E32" s="497">
        <f>ROUND(+D32/$D$34,4)</f>
        <v>0</v>
      </c>
      <c r="F32" s="82">
        <v>0</v>
      </c>
      <c r="G32" s="497">
        <f>ROUND(+E32*F32,4)</f>
        <v>0</v>
      </c>
    </row>
    <row r="33" spans="1:8" x14ac:dyDescent="0.2">
      <c r="A33" s="74" t="s">
        <v>42</v>
      </c>
      <c r="B33" s="88">
        <v>1041377220</v>
      </c>
      <c r="C33" s="498">
        <f>+C32</f>
        <v>0.88090000000000002</v>
      </c>
      <c r="D33" s="496">
        <f>ROUND(+B33*C33,0)</f>
        <v>917349193</v>
      </c>
      <c r="E33" s="497">
        <f>ROUND(+D33/$D$34,4)</f>
        <v>0.56059999999999999</v>
      </c>
      <c r="F33" s="497">
        <f>ROUND(+G33/E33,4)</f>
        <v>0.1036</v>
      </c>
      <c r="G33" s="499">
        <f>+G38-G29-G30-G31-G32</f>
        <v>5.8099999999999985E-2</v>
      </c>
    </row>
    <row r="34" spans="1:8" x14ac:dyDescent="0.2">
      <c r="B34" s="89">
        <v>1857646620</v>
      </c>
      <c r="C34" s="490"/>
      <c r="D34" s="500">
        <f>SUM(D29:D33)</f>
        <v>1636400908</v>
      </c>
      <c r="E34" s="501">
        <f>SUM(E29:E33)</f>
        <v>1</v>
      </c>
      <c r="F34" s="81"/>
      <c r="G34" s="497">
        <f>SUM(G29:G33)</f>
        <v>7.779999999999998E-2</v>
      </c>
    </row>
    <row r="35" spans="1:8" x14ac:dyDescent="0.2">
      <c r="D35" s="81"/>
      <c r="E35" s="81"/>
      <c r="F35" s="90"/>
      <c r="G35" s="82"/>
    </row>
    <row r="36" spans="1:8" x14ac:dyDescent="0.2">
      <c r="D36" s="81"/>
      <c r="E36" s="81"/>
      <c r="F36" s="81"/>
      <c r="G36" s="81"/>
    </row>
    <row r="37" spans="1:8" x14ac:dyDescent="0.2">
      <c r="A37" s="85" t="s">
        <v>183</v>
      </c>
      <c r="D37" s="81"/>
      <c r="E37" s="81"/>
      <c r="F37" s="81"/>
      <c r="G37" s="8">
        <f>+'Ex 3 - 2005'!D46</f>
        <v>127313522</v>
      </c>
    </row>
    <row r="38" spans="1:8" x14ac:dyDescent="0.2">
      <c r="A38" s="74" t="s">
        <v>44</v>
      </c>
      <c r="D38" s="81"/>
      <c r="E38" s="81"/>
      <c r="F38" s="81"/>
      <c r="G38" s="497">
        <f>ROUND(+G37/D34,4)</f>
        <v>7.7799999999999994E-2</v>
      </c>
      <c r="H38" s="503">
        <f>+G34-G38</f>
        <v>0</v>
      </c>
    </row>
    <row r="39" spans="1:8" x14ac:dyDescent="0.2">
      <c r="D39" s="81"/>
      <c r="E39" s="81"/>
      <c r="F39" s="81"/>
      <c r="G39" s="81"/>
    </row>
    <row r="41" spans="1:8" ht="13.5" thickBot="1" x14ac:dyDescent="0.25">
      <c r="A41" s="86"/>
      <c r="B41" s="86"/>
      <c r="C41" s="86"/>
      <c r="D41" s="86"/>
      <c r="E41" s="86"/>
      <c r="F41" s="86"/>
      <c r="G41" s="86"/>
    </row>
    <row r="42" spans="1:8" x14ac:dyDescent="0.2">
      <c r="A42" s="76"/>
      <c r="B42" s="76"/>
      <c r="C42" s="76"/>
      <c r="D42" s="76"/>
      <c r="E42" s="76"/>
      <c r="F42" s="76"/>
      <c r="G42" s="76"/>
    </row>
    <row r="44" spans="1:8" ht="15" x14ac:dyDescent="0.35">
      <c r="A44" s="830" t="s">
        <v>182</v>
      </c>
      <c r="B44" s="830"/>
      <c r="C44" s="830"/>
      <c r="D44" s="831"/>
      <c r="E44" s="831"/>
      <c r="F44" s="831"/>
      <c r="G44" s="831"/>
    </row>
    <row r="45" spans="1:8" x14ac:dyDescent="0.2">
      <c r="B45" s="76"/>
      <c r="C45" s="77" t="s">
        <v>45</v>
      </c>
      <c r="D45" s="75"/>
      <c r="E45" s="75"/>
      <c r="F45" s="75" t="s">
        <v>25</v>
      </c>
      <c r="G45" s="75" t="s">
        <v>26</v>
      </c>
    </row>
    <row r="46" spans="1:8" x14ac:dyDescent="0.2">
      <c r="B46" s="78" t="s">
        <v>27</v>
      </c>
      <c r="C46" s="77" t="s">
        <v>28</v>
      </c>
      <c r="D46" s="75" t="s">
        <v>45</v>
      </c>
      <c r="E46" s="489" t="s">
        <v>30</v>
      </c>
      <c r="F46" s="75" t="s">
        <v>31</v>
      </c>
      <c r="G46" s="75" t="s">
        <v>32</v>
      </c>
    </row>
    <row r="47" spans="1:8" x14ac:dyDescent="0.2">
      <c r="B47" s="79" t="s">
        <v>33</v>
      </c>
      <c r="C47" s="80" t="s">
        <v>34</v>
      </c>
      <c r="D47" s="79" t="s">
        <v>27</v>
      </c>
      <c r="E47" s="494" t="s">
        <v>35</v>
      </c>
      <c r="F47" s="79" t="s">
        <v>36</v>
      </c>
      <c r="G47" s="79" t="s">
        <v>37</v>
      </c>
    </row>
    <row r="48" spans="1:8" x14ac:dyDescent="0.2">
      <c r="A48" s="74" t="s">
        <v>38</v>
      </c>
      <c r="B48" s="88">
        <v>69665000</v>
      </c>
      <c r="C48" s="497">
        <f>+'Ex 3 - 2005'!F44</f>
        <v>0.1191</v>
      </c>
      <c r="D48" s="496">
        <f>ROUND(+B48*C48,0)</f>
        <v>8297102</v>
      </c>
      <c r="E48" s="497">
        <f>ROUND(+D48/$D$53,4)</f>
        <v>3.7499999999999999E-2</v>
      </c>
      <c r="F48" s="82">
        <v>4.2099999999999999E-2</v>
      </c>
      <c r="G48" s="497">
        <f>ROUND(+E48*F48,4)</f>
        <v>1.6000000000000001E-3</v>
      </c>
    </row>
    <row r="49" spans="1:8" x14ac:dyDescent="0.2">
      <c r="A49" s="74" t="s">
        <v>39</v>
      </c>
      <c r="B49" s="88">
        <v>0</v>
      </c>
      <c r="C49" s="498">
        <f>+C48</f>
        <v>0.1191</v>
      </c>
      <c r="D49" s="496">
        <f>ROUND(+B49*C49,0)</f>
        <v>0</v>
      </c>
      <c r="E49" s="497">
        <f>ROUND(+D49/$D$53,4)</f>
        <v>0</v>
      </c>
      <c r="F49" s="82">
        <v>0</v>
      </c>
      <c r="G49" s="497">
        <f>ROUND(+E49*F49,4)</f>
        <v>0</v>
      </c>
    </row>
    <row r="50" spans="1:8" x14ac:dyDescent="0.2">
      <c r="A50" s="74" t="s">
        <v>40</v>
      </c>
      <c r="B50" s="88">
        <v>746604400</v>
      </c>
      <c r="C50" s="498">
        <f>+C49</f>
        <v>0.1191</v>
      </c>
      <c r="D50" s="496">
        <f>ROUND(+B50*C50,0)</f>
        <v>88920584</v>
      </c>
      <c r="E50" s="497">
        <f>ROUND(+D50/$D$53,4)</f>
        <v>0.40189999999999998</v>
      </c>
      <c r="F50" s="82">
        <v>4.5019999999999998E-2</v>
      </c>
      <c r="G50" s="497">
        <f>ROUND(+E50*F50,4)</f>
        <v>1.8100000000000002E-2</v>
      </c>
    </row>
    <row r="51" spans="1:8" x14ac:dyDescent="0.2">
      <c r="A51" s="74" t="s">
        <v>41</v>
      </c>
      <c r="B51" s="88">
        <v>0</v>
      </c>
      <c r="C51" s="498">
        <f>+C50</f>
        <v>0.1191</v>
      </c>
      <c r="D51" s="496">
        <f>ROUND(+B51*C51,0)</f>
        <v>0</v>
      </c>
      <c r="E51" s="497">
        <f>ROUND(+D51/$D$53,4)</f>
        <v>0</v>
      </c>
      <c r="F51" s="82">
        <v>0</v>
      </c>
      <c r="G51" s="497">
        <f>ROUND(+E51*F51,4)</f>
        <v>0</v>
      </c>
    </row>
    <row r="52" spans="1:8" x14ac:dyDescent="0.2">
      <c r="A52" s="74" t="s">
        <v>42</v>
      </c>
      <c r="B52" s="88">
        <v>1041377220</v>
      </c>
      <c r="C52" s="498">
        <f>+C51</f>
        <v>0.1191</v>
      </c>
      <c r="D52" s="496">
        <f>ROUND(+B52*C52,0)</f>
        <v>124028027</v>
      </c>
      <c r="E52" s="497">
        <f>ROUND(+D52/$D$53,4)</f>
        <v>0.56059999999999999</v>
      </c>
      <c r="F52" s="497">
        <f>ROUND(+G52/E52,4)</f>
        <v>0.1065</v>
      </c>
      <c r="G52" s="499">
        <f>+G57-G48-G49-G50-G51</f>
        <v>5.9699999999999989E-2</v>
      </c>
    </row>
    <row r="53" spans="1:8" x14ac:dyDescent="0.2">
      <c r="B53" s="89">
        <v>1857646620</v>
      </c>
      <c r="C53" s="490"/>
      <c r="D53" s="500">
        <f>SUM(D48:D52)</f>
        <v>221245713</v>
      </c>
      <c r="E53" s="501">
        <f>SUM(E48:E52)</f>
        <v>1</v>
      </c>
      <c r="F53" s="81"/>
      <c r="G53" s="497">
        <f>SUM(G48:G52)</f>
        <v>7.9399999999999998E-2</v>
      </c>
    </row>
    <row r="54" spans="1:8" x14ac:dyDescent="0.2">
      <c r="D54" s="81"/>
      <c r="E54" s="81"/>
      <c r="F54" s="90"/>
      <c r="G54" s="82"/>
    </row>
    <row r="55" spans="1:8" x14ac:dyDescent="0.2">
      <c r="D55" s="81"/>
      <c r="E55" s="81"/>
      <c r="F55" s="81"/>
      <c r="G55" s="81"/>
    </row>
    <row r="56" spans="1:8" x14ac:dyDescent="0.2">
      <c r="A56" s="85" t="s">
        <v>183</v>
      </c>
      <c r="D56" s="81"/>
      <c r="E56" s="81"/>
      <c r="F56" s="81"/>
      <c r="G56" s="8">
        <f>+'Ex 3 - 2005'!F46</f>
        <v>17564276</v>
      </c>
      <c r="H56" s="509"/>
    </row>
    <row r="57" spans="1:8" x14ac:dyDescent="0.2">
      <c r="A57" s="74" t="s">
        <v>44</v>
      </c>
      <c r="D57" s="81"/>
      <c r="E57" s="81"/>
      <c r="F57" s="81"/>
      <c r="G57" s="497">
        <f>ROUND(+G56/D53,4)</f>
        <v>7.9399999999999998E-2</v>
      </c>
      <c r="H57" s="503">
        <f>+G53-G57</f>
        <v>0</v>
      </c>
    </row>
    <row r="58" spans="1:8" x14ac:dyDescent="0.2">
      <c r="D58" s="81"/>
      <c r="E58" s="81"/>
      <c r="F58" s="81"/>
      <c r="G58" s="81"/>
    </row>
    <row r="60" spans="1:8" ht="13.5" thickBot="1" x14ac:dyDescent="0.25">
      <c r="A60" s="86"/>
      <c r="B60" s="86"/>
      <c r="C60" s="86"/>
      <c r="D60" s="86"/>
      <c r="E60" s="86"/>
      <c r="F60" s="86"/>
      <c r="G60" s="86"/>
    </row>
  </sheetData>
  <mergeCells count="7">
    <mergeCell ref="A44:G44"/>
    <mergeCell ref="A1:G1"/>
    <mergeCell ref="A2:G2"/>
    <mergeCell ref="A6:G6"/>
    <mergeCell ref="A25:G25"/>
    <mergeCell ref="A3:G3"/>
    <mergeCell ref="A4:G4"/>
  </mergeCells>
  <phoneticPr fontId="0" type="noConversion"/>
  <printOptions horizontalCentered="1"/>
  <pageMargins left="0.75" right="0.75" top="1" bottom="1" header="0.25" footer="0.5"/>
  <pageSetup scale="70" orientation="portrait" blackAndWhite="1" r:id="rId1"/>
  <headerFooter alignWithMargins="0">
    <oddHeader xml:space="preserve">&amp;R&amp;"Times New Roman,Bold"&amp;14Attachment to Response to Question No. 38
Page &amp;P of &amp;N
Rives&amp;12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H60"/>
  <sheetViews>
    <sheetView zoomScaleNormal="100" workbookViewId="0">
      <selection activeCell="F14" sqref="F14"/>
    </sheetView>
  </sheetViews>
  <sheetFormatPr defaultRowHeight="12.75" x14ac:dyDescent="0.2"/>
  <cols>
    <col min="1" max="1" width="22.140625" style="74" customWidth="1"/>
    <col min="2" max="2" width="21.85546875" style="74" customWidth="1"/>
    <col min="3" max="5" width="18.42578125" style="74" bestFit="1" customWidth="1"/>
    <col min="6" max="6" width="14.7109375" style="74" customWidth="1"/>
    <col min="7" max="7" width="14.85546875" style="74" bestFit="1" customWidth="1"/>
    <col min="8" max="8" width="17.42578125" style="490" bestFit="1" customWidth="1"/>
    <col min="9" max="16384" width="9.140625" style="74"/>
  </cols>
  <sheetData>
    <row r="1" spans="1:8" x14ac:dyDescent="0.2">
      <c r="A1" s="833" t="s">
        <v>21</v>
      </c>
      <c r="B1" s="833"/>
      <c r="C1" s="833"/>
      <c r="D1" s="833"/>
      <c r="E1" s="833"/>
      <c r="F1" s="833"/>
      <c r="G1" s="833"/>
      <c r="H1" s="511"/>
    </row>
    <row r="2" spans="1:8" x14ac:dyDescent="0.2">
      <c r="A2" s="833" t="s">
        <v>22</v>
      </c>
      <c r="B2" s="833"/>
      <c r="C2" s="833"/>
      <c r="D2" s="833"/>
      <c r="E2" s="833"/>
      <c r="F2" s="833"/>
      <c r="G2" s="833"/>
    </row>
    <row r="3" spans="1:8" x14ac:dyDescent="0.2">
      <c r="A3" s="833" t="s">
        <v>23</v>
      </c>
      <c r="B3" s="833"/>
      <c r="C3" s="833"/>
      <c r="D3" s="833"/>
      <c r="E3" s="833"/>
      <c r="F3" s="833"/>
      <c r="G3" s="833"/>
    </row>
    <row r="4" spans="1:8" x14ac:dyDescent="0.2">
      <c r="A4" s="833"/>
      <c r="B4" s="833"/>
      <c r="C4" s="833"/>
      <c r="D4" s="833"/>
      <c r="E4" s="833"/>
      <c r="F4" s="833"/>
      <c r="G4" s="833"/>
    </row>
    <row r="6" spans="1:8" ht="15" x14ac:dyDescent="0.35">
      <c r="A6" s="830" t="s">
        <v>184</v>
      </c>
      <c r="B6" s="830"/>
      <c r="C6" s="830"/>
      <c r="D6" s="831"/>
      <c r="E6" s="831"/>
      <c r="F6" s="831"/>
      <c r="G6" s="831"/>
    </row>
    <row r="7" spans="1:8" x14ac:dyDescent="0.2">
      <c r="B7" s="76"/>
      <c r="C7" s="77" t="s">
        <v>24</v>
      </c>
      <c r="D7" s="75"/>
      <c r="F7" s="75" t="s">
        <v>25</v>
      </c>
      <c r="G7" s="75" t="s">
        <v>26</v>
      </c>
    </row>
    <row r="8" spans="1:8" x14ac:dyDescent="0.2">
      <c r="B8" s="78" t="s">
        <v>27</v>
      </c>
      <c r="C8" s="77" t="s">
        <v>28</v>
      </c>
      <c r="D8" s="75" t="s">
        <v>29</v>
      </c>
      <c r="E8" s="78" t="s">
        <v>30</v>
      </c>
      <c r="F8" s="75" t="s">
        <v>31</v>
      </c>
      <c r="G8" s="75" t="s">
        <v>32</v>
      </c>
    </row>
    <row r="9" spans="1:8" x14ac:dyDescent="0.2">
      <c r="B9" s="79" t="s">
        <v>33</v>
      </c>
      <c r="C9" s="80" t="s">
        <v>34</v>
      </c>
      <c r="D9" s="79" t="s">
        <v>27</v>
      </c>
      <c r="E9" s="79" t="s">
        <v>35</v>
      </c>
      <c r="F9" s="79" t="s">
        <v>36</v>
      </c>
      <c r="G9" s="79" t="s">
        <v>37</v>
      </c>
    </row>
    <row r="10" spans="1:8" x14ac:dyDescent="0.2">
      <c r="A10" s="74" t="s">
        <v>38</v>
      </c>
      <c r="B10" s="81">
        <v>34820000</v>
      </c>
      <c r="C10" s="497">
        <f t="shared" ref="C10:D14" si="0">+C29+C48</f>
        <v>1</v>
      </c>
      <c r="D10" s="496">
        <f t="shared" si="0"/>
        <v>34820000</v>
      </c>
      <c r="E10" s="497">
        <f>ROUND(+D10/$D$15,4)</f>
        <v>1.95E-2</v>
      </c>
      <c r="F10" s="82">
        <v>2.2200000000000001E-2</v>
      </c>
      <c r="G10" s="497">
        <f>ROUND(+E10*F10,4)</f>
        <v>4.0000000000000002E-4</v>
      </c>
      <c r="H10" s="498"/>
    </row>
    <row r="11" spans="1:8" x14ac:dyDescent="0.2">
      <c r="A11" s="74" t="s">
        <v>39</v>
      </c>
      <c r="B11" s="81">
        <v>0</v>
      </c>
      <c r="C11" s="497">
        <f t="shared" si="0"/>
        <v>1</v>
      </c>
      <c r="D11" s="496">
        <f t="shared" si="0"/>
        <v>0</v>
      </c>
      <c r="E11" s="497">
        <f>ROUND(+D11/$D$15,4)</f>
        <v>0</v>
      </c>
      <c r="F11" s="82">
        <v>0</v>
      </c>
      <c r="G11" s="497">
        <f>ROUND(+E11*F11,4)</f>
        <v>0</v>
      </c>
    </row>
    <row r="12" spans="1:8" x14ac:dyDescent="0.2">
      <c r="A12" s="74" t="s">
        <v>40</v>
      </c>
      <c r="B12" s="81">
        <v>726210817</v>
      </c>
      <c r="C12" s="497">
        <f t="shared" si="0"/>
        <v>1</v>
      </c>
      <c r="D12" s="496">
        <f t="shared" si="0"/>
        <v>726210817</v>
      </c>
      <c r="E12" s="497">
        <f>ROUND(+D12/$D$15,4)</f>
        <v>0.4073</v>
      </c>
      <c r="F12" s="82">
        <v>3.4279999999999998E-2</v>
      </c>
      <c r="G12" s="497">
        <f>ROUND(+E12*F12,4)</f>
        <v>1.4E-2</v>
      </c>
    </row>
    <row r="13" spans="1:8" x14ac:dyDescent="0.2">
      <c r="A13" s="74" t="s">
        <v>41</v>
      </c>
      <c r="B13" s="81">
        <v>39726895</v>
      </c>
      <c r="C13" s="497">
        <f t="shared" si="0"/>
        <v>1</v>
      </c>
      <c r="D13" s="496">
        <f t="shared" si="0"/>
        <v>39726895</v>
      </c>
      <c r="E13" s="497">
        <f>ROUND(+D13/$D$15,4)</f>
        <v>2.23E-2</v>
      </c>
      <c r="F13" s="82">
        <v>5.679E-2</v>
      </c>
      <c r="G13" s="497">
        <f>ROUND(+E13*F13,4)</f>
        <v>1.2999999999999999E-3</v>
      </c>
    </row>
    <row r="14" spans="1:8" x14ac:dyDescent="0.2">
      <c r="A14" s="74" t="s">
        <v>42</v>
      </c>
      <c r="B14" s="81">
        <v>982204150</v>
      </c>
      <c r="C14" s="497">
        <f t="shared" si="0"/>
        <v>1</v>
      </c>
      <c r="D14" s="496">
        <f t="shared" si="0"/>
        <v>982204150</v>
      </c>
      <c r="E14" s="497">
        <f>ROUND(+D14/$D$15,4)</f>
        <v>0.55089999999999995</v>
      </c>
      <c r="F14" s="497">
        <f>ROUND(+G14/E14,4)</f>
        <v>0.1229</v>
      </c>
      <c r="G14" s="499">
        <f>+G19-G10-G11-G12-G13</f>
        <v>6.770000000000001E-2</v>
      </c>
    </row>
    <row r="15" spans="1:8" x14ac:dyDescent="0.2">
      <c r="B15" s="84">
        <v>1782961862</v>
      </c>
      <c r="C15" s="490"/>
      <c r="D15" s="500">
        <f>SUM(D10:D14)</f>
        <v>1782961862</v>
      </c>
      <c r="E15" s="501">
        <f>SUM(E10:E14)</f>
        <v>1</v>
      </c>
      <c r="F15" s="81"/>
      <c r="G15" s="497">
        <f>SUM(G10:G14)</f>
        <v>8.3400000000000002E-2</v>
      </c>
    </row>
    <row r="16" spans="1:8" x14ac:dyDescent="0.2">
      <c r="B16" s="81"/>
      <c r="D16" s="81"/>
      <c r="E16" s="81"/>
      <c r="F16" s="81"/>
      <c r="G16" s="497"/>
    </row>
    <row r="17" spans="1:8" x14ac:dyDescent="0.2">
      <c r="D17" s="81"/>
      <c r="E17" s="81"/>
      <c r="F17" s="81"/>
      <c r="G17" s="496"/>
    </row>
    <row r="18" spans="1:8" x14ac:dyDescent="0.2">
      <c r="A18" s="85" t="s">
        <v>187</v>
      </c>
      <c r="D18" s="81"/>
      <c r="E18" s="81"/>
      <c r="F18" s="81"/>
      <c r="G18" s="8">
        <f>+G37+G56</f>
        <v>148718227</v>
      </c>
    </row>
    <row r="19" spans="1:8" x14ac:dyDescent="0.2">
      <c r="A19" s="74" t="s">
        <v>44</v>
      </c>
      <c r="D19" s="81"/>
      <c r="E19" s="81"/>
      <c r="F19" s="81"/>
      <c r="G19" s="497">
        <f>ROUND(+G18/D15,4)</f>
        <v>8.3400000000000002E-2</v>
      </c>
      <c r="H19" s="503">
        <f>+G15-G19</f>
        <v>0</v>
      </c>
    </row>
    <row r="20" spans="1:8" x14ac:dyDescent="0.2">
      <c r="D20" s="81"/>
      <c r="E20" s="81"/>
      <c r="F20" s="81"/>
      <c r="G20" s="81"/>
    </row>
    <row r="22" spans="1:8" ht="13.5" thickBot="1" x14ac:dyDescent="0.25">
      <c r="A22" s="86"/>
      <c r="B22" s="86"/>
      <c r="C22" s="86"/>
      <c r="D22" s="86"/>
      <c r="E22" s="86"/>
      <c r="F22" s="86"/>
      <c r="G22" s="87"/>
    </row>
    <row r="23" spans="1:8" x14ac:dyDescent="0.2">
      <c r="G23" s="81"/>
    </row>
    <row r="25" spans="1:8" ht="15" x14ac:dyDescent="0.35">
      <c r="A25" s="830" t="s">
        <v>185</v>
      </c>
      <c r="B25" s="830"/>
      <c r="C25" s="830"/>
      <c r="D25" s="831"/>
      <c r="E25" s="831"/>
      <c r="F25" s="831"/>
      <c r="G25" s="831"/>
    </row>
    <row r="26" spans="1:8" x14ac:dyDescent="0.2">
      <c r="B26" s="76"/>
      <c r="C26" s="77" t="s">
        <v>45</v>
      </c>
      <c r="D26" s="75"/>
      <c r="E26" s="618"/>
      <c r="F26" s="75" t="s">
        <v>25</v>
      </c>
      <c r="G26" s="75" t="s">
        <v>26</v>
      </c>
    </row>
    <row r="27" spans="1:8" x14ac:dyDescent="0.2">
      <c r="B27" s="78" t="s">
        <v>27</v>
      </c>
      <c r="C27" s="77" t="s">
        <v>28</v>
      </c>
      <c r="D27" s="75" t="s">
        <v>45</v>
      </c>
      <c r="E27" s="618" t="s">
        <v>30</v>
      </c>
      <c r="F27" s="619" t="s">
        <v>31</v>
      </c>
      <c r="G27" s="619" t="s">
        <v>32</v>
      </c>
    </row>
    <row r="28" spans="1:8" x14ac:dyDescent="0.2">
      <c r="B28" s="79" t="s">
        <v>33</v>
      </c>
      <c r="C28" s="80" t="s">
        <v>34</v>
      </c>
      <c r="D28" s="79" t="s">
        <v>27</v>
      </c>
      <c r="E28" s="620" t="s">
        <v>35</v>
      </c>
      <c r="F28" s="621" t="s">
        <v>36</v>
      </c>
      <c r="G28" s="621" t="s">
        <v>37</v>
      </c>
    </row>
    <row r="29" spans="1:8" x14ac:dyDescent="0.2">
      <c r="A29" s="74" t="s">
        <v>38</v>
      </c>
      <c r="B29" s="88">
        <v>34820000</v>
      </c>
      <c r="C29" s="497">
        <f>+'Ex 3 - 2004'!D44</f>
        <v>0.87990000000000002</v>
      </c>
      <c r="D29" s="496">
        <f>ROUND(+B29*C29,0)</f>
        <v>30638118</v>
      </c>
      <c r="E29" s="497">
        <f>ROUND(+D29/$D$34,4)</f>
        <v>1.95E-2</v>
      </c>
      <c r="F29" s="82">
        <v>2.2200000000000001E-2</v>
      </c>
      <c r="G29" s="497">
        <f>ROUND(+E29*F29,4)</f>
        <v>4.0000000000000002E-4</v>
      </c>
    </row>
    <row r="30" spans="1:8" x14ac:dyDescent="0.2">
      <c r="A30" s="74" t="s">
        <v>39</v>
      </c>
      <c r="B30" s="88">
        <v>0</v>
      </c>
      <c r="C30" s="498">
        <f>+C29</f>
        <v>0.87990000000000002</v>
      </c>
      <c r="D30" s="496">
        <f>ROUND(+B30*C30,0)</f>
        <v>0</v>
      </c>
      <c r="E30" s="497">
        <f>ROUND(+D30/$D$34,4)</f>
        <v>0</v>
      </c>
      <c r="F30" s="82">
        <v>0</v>
      </c>
      <c r="G30" s="497">
        <f>ROUND(+E30*F30,4)</f>
        <v>0</v>
      </c>
    </row>
    <row r="31" spans="1:8" x14ac:dyDescent="0.2">
      <c r="A31" s="74" t="s">
        <v>40</v>
      </c>
      <c r="B31" s="88">
        <v>726210817</v>
      </c>
      <c r="C31" s="498">
        <f>+C30</f>
        <v>0.87990000000000002</v>
      </c>
      <c r="D31" s="496">
        <f>ROUND(+B31*C31,0)</f>
        <v>638992898</v>
      </c>
      <c r="E31" s="497">
        <f>ROUND(+D31/$D$34,4)</f>
        <v>0.4073</v>
      </c>
      <c r="F31" s="82">
        <v>3.4279999999999998E-2</v>
      </c>
      <c r="G31" s="497">
        <f>ROUND(+E31*F31,4)</f>
        <v>1.4E-2</v>
      </c>
    </row>
    <row r="32" spans="1:8" x14ac:dyDescent="0.2">
      <c r="A32" s="74" t="s">
        <v>41</v>
      </c>
      <c r="B32" s="88">
        <v>39726895</v>
      </c>
      <c r="C32" s="498">
        <f>+C31</f>
        <v>0.87990000000000002</v>
      </c>
      <c r="D32" s="496">
        <f>ROUND(+B32*C32,0)</f>
        <v>34955695</v>
      </c>
      <c r="E32" s="497">
        <f>ROUND(+D32/$D$34,4)</f>
        <v>2.23E-2</v>
      </c>
      <c r="F32" s="82">
        <v>5.679E-2</v>
      </c>
      <c r="G32" s="497">
        <f>ROUND(+E32*F32,4)</f>
        <v>1.2999999999999999E-3</v>
      </c>
    </row>
    <row r="33" spans="1:8" x14ac:dyDescent="0.2">
      <c r="A33" s="74" t="s">
        <v>42</v>
      </c>
      <c r="B33" s="88">
        <v>982204150</v>
      </c>
      <c r="C33" s="498">
        <f>+C32</f>
        <v>0.87990000000000002</v>
      </c>
      <c r="D33" s="496">
        <f>ROUND(+B33*C33,0)</f>
        <v>864241432</v>
      </c>
      <c r="E33" s="497">
        <f>ROUND(+D33/$D$34,4)</f>
        <v>0.55089999999999995</v>
      </c>
      <c r="F33" s="497">
        <f>ROUND(+G33/E33,4)</f>
        <v>0.12130000000000001</v>
      </c>
      <c r="G33" s="499">
        <f>+G38-G29-G30-G31-G32</f>
        <v>6.6800000000000012E-2</v>
      </c>
    </row>
    <row r="34" spans="1:8" x14ac:dyDescent="0.2">
      <c r="B34" s="89">
        <v>1782961862</v>
      </c>
      <c r="C34" s="490"/>
      <c r="D34" s="500">
        <f>SUM(D29:D33)</f>
        <v>1568828143</v>
      </c>
      <c r="E34" s="501">
        <f>SUM(E29:E33)</f>
        <v>1</v>
      </c>
      <c r="F34" s="81"/>
      <c r="G34" s="497">
        <f>SUM(G29:G33)</f>
        <v>8.2500000000000018E-2</v>
      </c>
    </row>
    <row r="35" spans="1:8" x14ac:dyDescent="0.2">
      <c r="D35" s="81"/>
      <c r="E35" s="81"/>
      <c r="F35" s="90"/>
      <c r="G35" s="82"/>
    </row>
    <row r="36" spans="1:8" x14ac:dyDescent="0.2">
      <c r="D36" s="81"/>
      <c r="E36" s="81"/>
      <c r="F36" s="81"/>
      <c r="G36" s="81"/>
    </row>
    <row r="37" spans="1:8" x14ac:dyDescent="0.2">
      <c r="A37" s="85" t="s">
        <v>187</v>
      </c>
      <c r="D37" s="81"/>
      <c r="E37" s="81"/>
      <c r="F37" s="81"/>
      <c r="G37" s="8">
        <f>+'Ex 3 - 2004'!D46</f>
        <v>129470155</v>
      </c>
    </row>
    <row r="38" spans="1:8" x14ac:dyDescent="0.2">
      <c r="A38" s="74" t="s">
        <v>44</v>
      </c>
      <c r="D38" s="81"/>
      <c r="E38" s="81"/>
      <c r="F38" s="81"/>
      <c r="G38" s="497">
        <f>ROUND(+G37/D34,4)</f>
        <v>8.2500000000000004E-2</v>
      </c>
      <c r="H38" s="503">
        <f>+G34-G38</f>
        <v>0</v>
      </c>
    </row>
    <row r="39" spans="1:8" x14ac:dyDescent="0.2">
      <c r="D39" s="81"/>
      <c r="E39" s="81"/>
      <c r="F39" s="81"/>
      <c r="G39" s="81"/>
    </row>
    <row r="41" spans="1:8" ht="13.5" thickBot="1" x14ac:dyDescent="0.25">
      <c r="A41" s="86"/>
      <c r="B41" s="86"/>
      <c r="C41" s="86"/>
      <c r="D41" s="86"/>
      <c r="E41" s="86"/>
      <c r="F41" s="86"/>
      <c r="G41" s="86"/>
    </row>
    <row r="42" spans="1:8" x14ac:dyDescent="0.2">
      <c r="A42" s="76"/>
      <c r="B42" s="76"/>
      <c r="C42" s="76"/>
      <c r="D42" s="76"/>
      <c r="E42" s="76"/>
      <c r="F42" s="76"/>
      <c r="G42" s="76"/>
    </row>
    <row r="44" spans="1:8" ht="15" x14ac:dyDescent="0.35">
      <c r="A44" s="830" t="s">
        <v>186</v>
      </c>
      <c r="B44" s="830"/>
      <c r="C44" s="830"/>
      <c r="D44" s="831"/>
      <c r="E44" s="831"/>
      <c r="F44" s="831"/>
      <c r="G44" s="831"/>
    </row>
    <row r="45" spans="1:8" x14ac:dyDescent="0.2">
      <c r="B45" s="76"/>
      <c r="C45" s="77" t="s">
        <v>45</v>
      </c>
      <c r="D45" s="75"/>
      <c r="E45" s="75"/>
      <c r="F45" s="75" t="s">
        <v>25</v>
      </c>
      <c r="G45" s="75" t="s">
        <v>26</v>
      </c>
    </row>
    <row r="46" spans="1:8" x14ac:dyDescent="0.2">
      <c r="B46" s="78" t="s">
        <v>27</v>
      </c>
      <c r="C46" s="77" t="s">
        <v>28</v>
      </c>
      <c r="D46" s="75" t="s">
        <v>45</v>
      </c>
      <c r="E46" s="489" t="s">
        <v>30</v>
      </c>
      <c r="F46" s="75" t="s">
        <v>31</v>
      </c>
      <c r="G46" s="75" t="s">
        <v>32</v>
      </c>
    </row>
    <row r="47" spans="1:8" x14ac:dyDescent="0.2">
      <c r="B47" s="79" t="s">
        <v>33</v>
      </c>
      <c r="C47" s="80" t="s">
        <v>34</v>
      </c>
      <c r="D47" s="79" t="s">
        <v>27</v>
      </c>
      <c r="E47" s="494" t="s">
        <v>35</v>
      </c>
      <c r="F47" s="79" t="s">
        <v>36</v>
      </c>
      <c r="G47" s="79" t="s">
        <v>37</v>
      </c>
    </row>
    <row r="48" spans="1:8" x14ac:dyDescent="0.2">
      <c r="A48" s="74" t="s">
        <v>38</v>
      </c>
      <c r="B48" s="88">
        <v>34820000</v>
      </c>
      <c r="C48" s="497">
        <f>+'Ex 3 - 2004'!F44</f>
        <v>0.1201</v>
      </c>
      <c r="D48" s="496">
        <f>ROUND(+B48*C48,0)</f>
        <v>4181882</v>
      </c>
      <c r="E48" s="497">
        <f>ROUND(+D48/$D$53,4)</f>
        <v>1.95E-2</v>
      </c>
      <c r="F48" s="82">
        <v>2.2200000000000001E-2</v>
      </c>
      <c r="G48" s="497">
        <f>ROUND(+E48*F48,4)</f>
        <v>4.0000000000000002E-4</v>
      </c>
    </row>
    <row r="49" spans="1:8" x14ac:dyDescent="0.2">
      <c r="A49" s="74" t="s">
        <v>39</v>
      </c>
      <c r="B49" s="88">
        <v>0</v>
      </c>
      <c r="C49" s="498">
        <f>+C48</f>
        <v>0.1201</v>
      </c>
      <c r="D49" s="496">
        <f>ROUND(+B49*C49,0)</f>
        <v>0</v>
      </c>
      <c r="E49" s="497">
        <f>ROUND(+D49/$D$53,4)</f>
        <v>0</v>
      </c>
      <c r="F49" s="82">
        <v>0</v>
      </c>
      <c r="G49" s="497">
        <f>ROUND(+E49*F49,4)</f>
        <v>0</v>
      </c>
    </row>
    <row r="50" spans="1:8" x14ac:dyDescent="0.2">
      <c r="A50" s="74" t="s">
        <v>40</v>
      </c>
      <c r="B50" s="88">
        <v>726210817</v>
      </c>
      <c r="C50" s="498">
        <f>+C49</f>
        <v>0.1201</v>
      </c>
      <c r="D50" s="496">
        <f>ROUND(+B50*C50,0)</f>
        <v>87217919</v>
      </c>
      <c r="E50" s="497">
        <f>ROUND(+D50/$D$53,4)</f>
        <v>0.4073</v>
      </c>
      <c r="F50" s="82">
        <v>3.4279999999999998E-2</v>
      </c>
      <c r="G50" s="497">
        <f>ROUND(+E50*F50,4)</f>
        <v>1.4E-2</v>
      </c>
    </row>
    <row r="51" spans="1:8" x14ac:dyDescent="0.2">
      <c r="A51" s="74" t="s">
        <v>41</v>
      </c>
      <c r="B51" s="88">
        <v>39726895</v>
      </c>
      <c r="C51" s="498">
        <f>+C50</f>
        <v>0.1201</v>
      </c>
      <c r="D51" s="496">
        <f>ROUND(+B51*C51,0)</f>
        <v>4771200</v>
      </c>
      <c r="E51" s="497">
        <f>ROUND(+D51/$D$53,4)</f>
        <v>2.23E-2</v>
      </c>
      <c r="F51" s="82">
        <v>5.679E-2</v>
      </c>
      <c r="G51" s="497">
        <f>ROUND(+E51*F51,4)</f>
        <v>1.2999999999999999E-3</v>
      </c>
    </row>
    <row r="52" spans="1:8" x14ac:dyDescent="0.2">
      <c r="A52" s="74" t="s">
        <v>42</v>
      </c>
      <c r="B52" s="88">
        <v>982204150</v>
      </c>
      <c r="C52" s="498">
        <f>+C51</f>
        <v>0.1201</v>
      </c>
      <c r="D52" s="496">
        <f>ROUND(+B52*C52,0)</f>
        <v>117962718</v>
      </c>
      <c r="E52" s="497">
        <f>ROUND(+D52/$D$53,4)</f>
        <v>0.55089999999999995</v>
      </c>
      <c r="F52" s="497">
        <f>ROUND(+G52/E52,4)</f>
        <v>0.13469999999999999</v>
      </c>
      <c r="G52" s="499">
        <f>+G57-G48-G49-G50-G51</f>
        <v>7.4200000000000002E-2</v>
      </c>
    </row>
    <row r="53" spans="1:8" x14ac:dyDescent="0.2">
      <c r="B53" s="89">
        <v>1782961862</v>
      </c>
      <c r="C53" s="490"/>
      <c r="D53" s="500">
        <f>SUM(D48:D52)</f>
        <v>214133719</v>
      </c>
      <c r="E53" s="501">
        <f>SUM(E48:E52)</f>
        <v>1</v>
      </c>
      <c r="F53" s="81"/>
      <c r="G53" s="497">
        <f>SUM(G48:G52)</f>
        <v>8.9900000000000008E-2</v>
      </c>
    </row>
    <row r="54" spans="1:8" x14ac:dyDescent="0.2">
      <c r="D54" s="81"/>
      <c r="E54" s="81"/>
      <c r="F54" s="90"/>
      <c r="G54" s="82"/>
    </row>
    <row r="55" spans="1:8" x14ac:dyDescent="0.2">
      <c r="D55" s="81"/>
      <c r="E55" s="81"/>
      <c r="F55" s="81"/>
      <c r="G55" s="81"/>
    </row>
    <row r="56" spans="1:8" x14ac:dyDescent="0.2">
      <c r="A56" s="85" t="s">
        <v>187</v>
      </c>
      <c r="D56" s="81"/>
      <c r="E56" s="81"/>
      <c r="F56" s="81"/>
      <c r="G56" s="8">
        <f>+'Ex 3 - 2004'!F46</f>
        <v>19248072</v>
      </c>
      <c r="H56" s="509"/>
    </row>
    <row r="57" spans="1:8" x14ac:dyDescent="0.2">
      <c r="A57" s="74" t="s">
        <v>44</v>
      </c>
      <c r="D57" s="81"/>
      <c r="E57" s="81"/>
      <c r="F57" s="81"/>
      <c r="G57" s="497">
        <f>ROUND(+G56/D53,4)</f>
        <v>8.9899999999999994E-2</v>
      </c>
      <c r="H57" s="503">
        <f>+G53-G57</f>
        <v>0</v>
      </c>
    </row>
    <row r="58" spans="1:8" x14ac:dyDescent="0.2">
      <c r="D58" s="81"/>
      <c r="E58" s="81"/>
      <c r="F58" s="81"/>
      <c r="G58" s="81"/>
    </row>
    <row r="60" spans="1:8" ht="13.5" thickBot="1" x14ac:dyDescent="0.25">
      <c r="A60" s="86"/>
      <c r="B60" s="86"/>
      <c r="C60" s="86"/>
      <c r="D60" s="86"/>
      <c r="E60" s="86"/>
      <c r="F60" s="86"/>
      <c r="G60" s="86"/>
    </row>
  </sheetData>
  <mergeCells count="7">
    <mergeCell ref="A44:G44"/>
    <mergeCell ref="A1:G1"/>
    <mergeCell ref="A2:G2"/>
    <mergeCell ref="A6:G6"/>
    <mergeCell ref="A25:G25"/>
    <mergeCell ref="A3:G3"/>
    <mergeCell ref="A4:G4"/>
  </mergeCells>
  <phoneticPr fontId="0" type="noConversion"/>
  <printOptions horizontalCentered="1"/>
  <pageMargins left="0.75" right="0.75" top="1" bottom="1" header="0.25" footer="0.5"/>
  <pageSetup scale="70" orientation="portrait" blackAndWhite="1" r:id="rId1"/>
  <headerFooter alignWithMargins="0">
    <oddHeader xml:space="preserve">&amp;R&amp;"Times New Roman,Bold"&amp;14Attachment to Response to Question No. 38
Page &amp;P of &amp;N
Rives&amp;12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3"/>
  <sheetViews>
    <sheetView tabSelected="1" topLeftCell="A55" zoomScale="60" zoomScaleNormal="60" workbookViewId="0">
      <selection activeCell="E11" sqref="E11"/>
    </sheetView>
  </sheetViews>
  <sheetFormatPr defaultRowHeight="15.75" x14ac:dyDescent="0.25"/>
  <cols>
    <col min="1" max="1" width="5.140625" style="558" bestFit="1" customWidth="1"/>
    <col min="2" max="2" width="59.28515625" style="559" customWidth="1"/>
    <col min="3" max="3" width="1.85546875" style="560" customWidth="1"/>
    <col min="4" max="4" width="21.140625" style="559" customWidth="1"/>
    <col min="5" max="5" width="1.85546875" style="560" customWidth="1"/>
    <col min="6" max="6" width="19" style="559" customWidth="1"/>
    <col min="7" max="7" width="1.85546875" style="560" customWidth="1"/>
    <col min="8" max="8" width="20.42578125" style="559" customWidth="1"/>
    <col min="9" max="16384" width="9.140625" style="559"/>
  </cols>
  <sheetData>
    <row r="1" spans="1:15" x14ac:dyDescent="0.25">
      <c r="H1" s="685"/>
    </row>
    <row r="2" spans="1:15" x14ac:dyDescent="0.25">
      <c r="H2" s="685"/>
      <c r="J2" s="685"/>
    </row>
    <row r="3" spans="1:15" x14ac:dyDescent="0.25">
      <c r="H3" s="686"/>
    </row>
    <row r="4" spans="1:15" x14ac:dyDescent="0.25">
      <c r="A4" s="835" t="s">
        <v>126</v>
      </c>
      <c r="B4" s="835"/>
      <c r="C4" s="835"/>
      <c r="D4" s="835"/>
      <c r="E4" s="835"/>
      <c r="F4" s="835"/>
      <c r="G4" s="835"/>
      <c r="H4" s="835"/>
    </row>
    <row r="6" spans="1:15" x14ac:dyDescent="0.25">
      <c r="A6" s="836" t="s">
        <v>127</v>
      </c>
      <c r="B6" s="836"/>
      <c r="C6" s="836"/>
      <c r="D6" s="836"/>
      <c r="E6" s="836"/>
      <c r="F6" s="836"/>
      <c r="G6" s="836"/>
      <c r="H6" s="836"/>
    </row>
    <row r="7" spans="1:15" x14ac:dyDescent="0.25">
      <c r="A7" s="837" t="str">
        <f>"At "&amp;[16]Inputs!B3&amp;""</f>
        <v>At March 31, 2012</v>
      </c>
      <c r="B7" s="837"/>
      <c r="C7" s="837"/>
      <c r="D7" s="837"/>
      <c r="E7" s="837"/>
      <c r="F7" s="837"/>
      <c r="G7" s="837"/>
      <c r="H7" s="837"/>
      <c r="I7" s="563"/>
      <c r="J7" s="563"/>
    </row>
    <row r="8" spans="1:15" x14ac:dyDescent="0.25">
      <c r="A8" s="838"/>
      <c r="B8" s="834"/>
      <c r="C8" s="834"/>
      <c r="D8" s="834"/>
      <c r="E8" s="834"/>
      <c r="F8" s="834"/>
      <c r="G8" s="834"/>
      <c r="H8" s="834"/>
      <c r="I8" s="564"/>
      <c r="J8" s="564"/>
      <c r="K8" s="564"/>
      <c r="L8" s="564"/>
      <c r="M8" s="564"/>
      <c r="N8" s="564"/>
      <c r="O8" s="564"/>
    </row>
    <row r="9" spans="1:15" x14ac:dyDescent="0.25">
      <c r="A9" s="565"/>
    </row>
    <row r="10" spans="1:15" x14ac:dyDescent="0.25">
      <c r="A10" s="565"/>
      <c r="B10" s="687"/>
      <c r="C10" s="688"/>
      <c r="D10" s="687"/>
      <c r="E10" s="688"/>
      <c r="F10" s="687"/>
      <c r="G10" s="688"/>
      <c r="H10" s="687"/>
    </row>
    <row r="11" spans="1:15" x14ac:dyDescent="0.25">
      <c r="A11" s="565"/>
      <c r="D11" s="689"/>
      <c r="E11" s="688"/>
      <c r="F11" s="689"/>
      <c r="G11" s="688"/>
      <c r="H11" s="689"/>
    </row>
    <row r="12" spans="1:15" x14ac:dyDescent="0.25">
      <c r="A12" s="565"/>
      <c r="B12" s="687"/>
      <c r="C12" s="688"/>
      <c r="D12" s="690" t="s">
        <v>5</v>
      </c>
      <c r="E12" s="688"/>
      <c r="F12" s="690" t="s">
        <v>6</v>
      </c>
      <c r="G12" s="688"/>
      <c r="H12" s="690" t="s">
        <v>16</v>
      </c>
    </row>
    <row r="13" spans="1:15" x14ac:dyDescent="0.25">
      <c r="A13" s="565"/>
      <c r="B13" s="687"/>
      <c r="C13" s="688"/>
      <c r="D13" s="690" t="s">
        <v>45</v>
      </c>
      <c r="E13" s="688"/>
      <c r="F13" s="690" t="s">
        <v>45</v>
      </c>
      <c r="G13" s="688"/>
      <c r="H13" s="690" t="s">
        <v>17</v>
      </c>
    </row>
    <row r="14" spans="1:15" x14ac:dyDescent="0.25">
      <c r="A14" s="565"/>
      <c r="B14" s="687" t="s">
        <v>128</v>
      </c>
      <c r="C14" s="688"/>
      <c r="D14" s="690" t="s">
        <v>28</v>
      </c>
      <c r="E14" s="688"/>
      <c r="F14" s="690" t="s">
        <v>28</v>
      </c>
      <c r="G14" s="688"/>
      <c r="H14" s="690" t="s">
        <v>28</v>
      </c>
    </row>
    <row r="15" spans="1:15" x14ac:dyDescent="0.25">
      <c r="A15" s="565"/>
      <c r="B15" s="691">
        <v>-1</v>
      </c>
      <c r="C15" s="688"/>
      <c r="D15" s="692">
        <v>-2</v>
      </c>
      <c r="E15" s="688"/>
      <c r="F15" s="691">
        <v>-3</v>
      </c>
      <c r="G15" s="688"/>
      <c r="H15" s="691">
        <v>-4</v>
      </c>
    </row>
    <row r="16" spans="1:15" x14ac:dyDescent="0.25">
      <c r="A16" s="565"/>
      <c r="B16" s="687"/>
      <c r="C16" s="688"/>
      <c r="D16" s="687"/>
      <c r="E16" s="688"/>
      <c r="F16" s="687"/>
      <c r="G16" s="688"/>
      <c r="H16" s="687"/>
    </row>
    <row r="17" spans="1:10" ht="21" customHeight="1" x14ac:dyDescent="0.25">
      <c r="A17" s="569">
        <f>1</f>
        <v>1</v>
      </c>
      <c r="B17" s="693" t="s">
        <v>129</v>
      </c>
      <c r="C17" s="694"/>
      <c r="D17" s="695">
        <f>+'[16]SuppSch-Ex 3(Page1,2)'!D18</f>
        <v>5952611566</v>
      </c>
      <c r="E17" s="696"/>
      <c r="F17" s="695">
        <f>+'[16]SuppSch-Ex 3(Page1,2)'!N18</f>
        <v>885196895</v>
      </c>
      <c r="G17" s="696"/>
      <c r="H17" s="695">
        <f>D17+F17</f>
        <v>6837808461</v>
      </c>
    </row>
    <row r="18" spans="1:10" ht="21" customHeight="1" x14ac:dyDescent="0.25">
      <c r="A18" s="565"/>
      <c r="B18" s="693"/>
      <c r="C18" s="694"/>
      <c r="D18" s="697"/>
      <c r="E18" s="696"/>
      <c r="F18" s="697"/>
      <c r="G18" s="696"/>
      <c r="H18" s="697"/>
    </row>
    <row r="19" spans="1:10" ht="21" customHeight="1" x14ac:dyDescent="0.25">
      <c r="A19" s="569">
        <f>1+A17</f>
        <v>2</v>
      </c>
      <c r="B19" s="693" t="s">
        <v>124</v>
      </c>
      <c r="C19" s="694"/>
      <c r="D19" s="697"/>
      <c r="E19" s="696"/>
      <c r="F19" s="697"/>
      <c r="G19" s="696"/>
      <c r="H19" s="697"/>
    </row>
    <row r="20" spans="1:10" ht="21" customHeight="1" x14ac:dyDescent="0.25">
      <c r="A20" s="569">
        <f>1+A19</f>
        <v>3</v>
      </c>
      <c r="B20" s="693" t="s">
        <v>130</v>
      </c>
      <c r="C20" s="694"/>
      <c r="D20" s="697">
        <f>+'[16]SuppSch-Ex 3(Page1,2)'!D21</f>
        <v>2091528460</v>
      </c>
      <c r="E20" s="696"/>
      <c r="F20" s="697">
        <f>+'[16]SuppSch-Ex 3(Page1,2)'!N21</f>
        <v>327757743</v>
      </c>
      <c r="G20" s="696"/>
      <c r="H20" s="697">
        <f>D20+F20</f>
        <v>2419286203</v>
      </c>
    </row>
    <row r="21" spans="1:10" ht="21" customHeight="1" x14ac:dyDescent="0.25">
      <c r="A21" s="569"/>
      <c r="B21" s="693"/>
      <c r="C21" s="694"/>
      <c r="D21" s="697"/>
      <c r="E21" s="696"/>
      <c r="F21" s="697"/>
      <c r="G21" s="696"/>
      <c r="H21" s="697"/>
    </row>
    <row r="22" spans="1:10" ht="21" customHeight="1" x14ac:dyDescent="0.25">
      <c r="A22" s="569">
        <f>1+A20</f>
        <v>4</v>
      </c>
      <c r="B22" s="693" t="s">
        <v>131</v>
      </c>
      <c r="C22" s="694"/>
      <c r="D22" s="698">
        <f>+D17-D20</f>
        <v>3861083106</v>
      </c>
      <c r="E22" s="696"/>
      <c r="F22" s="698">
        <f>+F17-F20</f>
        <v>557439152</v>
      </c>
      <c r="G22" s="696"/>
      <c r="H22" s="698">
        <f>+H17-H20</f>
        <v>4418522258</v>
      </c>
    </row>
    <row r="23" spans="1:10" ht="21" customHeight="1" x14ac:dyDescent="0.25">
      <c r="A23" s="569"/>
      <c r="B23" s="693"/>
      <c r="C23" s="694"/>
      <c r="D23" s="697"/>
      <c r="E23" s="696"/>
      <c r="F23" s="697"/>
      <c r="G23" s="696"/>
      <c r="H23" s="697"/>
    </row>
    <row r="24" spans="1:10" ht="21" customHeight="1" x14ac:dyDescent="0.25">
      <c r="A24" s="569">
        <f>1+A22</f>
        <v>5</v>
      </c>
      <c r="B24" s="693" t="s">
        <v>124</v>
      </c>
      <c r="C24" s="694"/>
      <c r="D24" s="697"/>
      <c r="E24" s="696"/>
      <c r="F24" s="697"/>
      <c r="G24" s="696"/>
      <c r="H24" s="697"/>
    </row>
    <row r="25" spans="1:10" ht="21" customHeight="1" x14ac:dyDescent="0.25">
      <c r="A25" s="569">
        <f>1+A24</f>
        <v>6</v>
      </c>
      <c r="B25" s="693" t="s">
        <v>132</v>
      </c>
      <c r="C25" s="694"/>
      <c r="D25" s="697">
        <f>+'[16]SuppSch-Ex 3(Page1,2)'!D26</f>
        <v>2936189</v>
      </c>
      <c r="E25" s="696"/>
      <c r="F25" s="697">
        <f>+'[16]SuppSch-Ex 3(Page1,2)'!N26</f>
        <v>211698</v>
      </c>
      <c r="G25" s="696"/>
      <c r="H25" s="697">
        <f>D25+F25</f>
        <v>3147887</v>
      </c>
    </row>
    <row r="26" spans="1:10" ht="21" customHeight="1" x14ac:dyDescent="0.25">
      <c r="A26" s="569">
        <f>1+A25</f>
        <v>7</v>
      </c>
      <c r="B26" s="693" t="s">
        <v>133</v>
      </c>
      <c r="C26" s="694"/>
      <c r="D26" s="697">
        <f>+'[16]SuppSch-Ex 3(Page1,2)'!D27</f>
        <v>439643557</v>
      </c>
      <c r="E26" s="696"/>
      <c r="F26" s="697">
        <f>+'[16]SuppSch-Ex 3(Page1,2)'!N27</f>
        <v>62552930</v>
      </c>
      <c r="G26" s="696"/>
      <c r="H26" s="697">
        <f>D26+F26</f>
        <v>502196487</v>
      </c>
    </row>
    <row r="27" spans="1:10" ht="21" customHeight="1" x14ac:dyDescent="0.25">
      <c r="A27" s="569">
        <f>1+A26</f>
        <v>8</v>
      </c>
      <c r="B27" s="699" t="s">
        <v>599</v>
      </c>
      <c r="C27" s="694"/>
      <c r="D27" s="697">
        <f>+'[16]SuppSch-Ex 3(Page1,2)'!D28</f>
        <v>46378395</v>
      </c>
      <c r="E27" s="696"/>
      <c r="F27" s="697">
        <f>+'[16]SuppSch-Ex 3(Page1,2)'!N28</f>
        <v>7207891</v>
      </c>
      <c r="G27" s="696"/>
      <c r="H27" s="697">
        <f>D27+F27</f>
        <v>53586286</v>
      </c>
      <c r="J27" s="700"/>
    </row>
    <row r="28" spans="1:10" ht="21" customHeight="1" x14ac:dyDescent="0.25">
      <c r="A28" s="569">
        <f>1+A27</f>
        <v>9</v>
      </c>
      <c r="B28" s="699" t="s">
        <v>600</v>
      </c>
      <c r="C28" s="694"/>
      <c r="D28" s="697">
        <f>+'[16]SuppSch-Ex 3(Page1,2)'!D29</f>
        <v>3062358</v>
      </c>
      <c r="E28" s="696"/>
      <c r="F28" s="697">
        <f>+'[16]SuppSch-Ex 3(Page1,2)'!N29</f>
        <v>475936</v>
      </c>
      <c r="G28" s="696"/>
      <c r="H28" s="697">
        <f>D28+F28</f>
        <v>3538294</v>
      </c>
      <c r="J28" s="700"/>
    </row>
    <row r="29" spans="1:10" ht="21" customHeight="1" x14ac:dyDescent="0.25">
      <c r="A29" s="569">
        <f>1+A28</f>
        <v>10</v>
      </c>
      <c r="B29" s="701" t="s">
        <v>134</v>
      </c>
      <c r="C29" s="694"/>
      <c r="D29" s="697">
        <f>+'[16]SuppSch-Ex 3(Page1,2)'!D30</f>
        <v>86299724</v>
      </c>
      <c r="E29" s="696"/>
      <c r="F29" s="697">
        <f>+'[16]SuppSch-Ex 3(Page1,2)'!N30</f>
        <v>14408015</v>
      </c>
      <c r="G29" s="696"/>
      <c r="H29" s="697">
        <f>D29+F29</f>
        <v>100707739</v>
      </c>
    </row>
    <row r="30" spans="1:10" ht="21" customHeight="1" x14ac:dyDescent="0.25">
      <c r="A30" s="569"/>
      <c r="B30" s="693"/>
      <c r="C30" s="694"/>
      <c r="D30" s="696"/>
      <c r="E30" s="696"/>
      <c r="F30" s="696"/>
      <c r="G30" s="696"/>
      <c r="H30" s="696"/>
    </row>
    <row r="31" spans="1:10" ht="21" customHeight="1" x14ac:dyDescent="0.25">
      <c r="A31" s="569">
        <f>1+A29</f>
        <v>11</v>
      </c>
      <c r="B31" s="693" t="s">
        <v>125</v>
      </c>
      <c r="C31" s="694"/>
      <c r="D31" s="698">
        <f>SUM(D25:D30)</f>
        <v>578320223</v>
      </c>
      <c r="E31" s="696"/>
      <c r="F31" s="698">
        <f>SUM(F25:F30)</f>
        <v>84856470</v>
      </c>
      <c r="G31" s="696"/>
      <c r="H31" s="698">
        <f>SUM(H25:H30)</f>
        <v>663176693</v>
      </c>
    </row>
    <row r="32" spans="1:10" ht="21" customHeight="1" x14ac:dyDescent="0.25">
      <c r="A32" s="565"/>
      <c r="B32" s="693"/>
      <c r="C32" s="694"/>
      <c r="D32" s="697"/>
      <c r="E32" s="696"/>
      <c r="F32" s="697"/>
      <c r="G32" s="696"/>
      <c r="H32" s="697"/>
    </row>
    <row r="33" spans="1:9" ht="21" customHeight="1" x14ac:dyDescent="0.25">
      <c r="A33" s="565">
        <f>1+A31</f>
        <v>12</v>
      </c>
      <c r="B33" s="693" t="s">
        <v>135</v>
      </c>
      <c r="C33" s="694"/>
      <c r="D33" s="697"/>
      <c r="E33" s="696"/>
      <c r="F33" s="697"/>
      <c r="G33" s="696"/>
      <c r="H33" s="697"/>
    </row>
    <row r="34" spans="1:9" ht="21" customHeight="1" x14ac:dyDescent="0.25">
      <c r="A34" s="569">
        <f>1+A33</f>
        <v>13</v>
      </c>
      <c r="B34" s="701" t="s">
        <v>136</v>
      </c>
      <c r="C34" s="694"/>
      <c r="D34" s="697">
        <f>+'[16]SuppSch-Ex 3(Page1,2)'!D37</f>
        <v>115098215</v>
      </c>
      <c r="E34" s="696"/>
      <c r="F34" s="697">
        <f>+'[16]SuppSch-Ex 3(Page1,2)'!N37</f>
        <v>17615722</v>
      </c>
      <c r="G34" s="696"/>
      <c r="H34" s="697">
        <f>D34+F34</f>
        <v>132713937</v>
      </c>
    </row>
    <row r="35" spans="1:9" ht="21" customHeight="1" x14ac:dyDescent="0.25">
      <c r="A35" s="569">
        <f>1+A34</f>
        <v>14</v>
      </c>
      <c r="B35" s="701" t="s">
        <v>137</v>
      </c>
      <c r="C35" s="694"/>
      <c r="D35" s="697">
        <f>+'[16]SuppSch-Ex 3(Page1,2)'!D38</f>
        <v>6567467</v>
      </c>
      <c r="E35" s="696"/>
      <c r="F35" s="697">
        <f>+'[16]SuppSch-Ex 3(Page1,2)'!N38</f>
        <v>759209</v>
      </c>
      <c r="G35" s="696"/>
      <c r="H35" s="697">
        <f>D35+F35</f>
        <v>7326676</v>
      </c>
    </row>
    <row r="36" spans="1:9" ht="21" customHeight="1" x14ac:dyDescent="0.25">
      <c r="A36" s="569">
        <f>1+A35</f>
        <v>15</v>
      </c>
      <c r="B36" s="693" t="s">
        <v>601</v>
      </c>
      <c r="C36" s="694"/>
      <c r="D36" s="697">
        <f>+'[16]SuppSch-Ex 3(Page1,2)'!D39</f>
        <v>415671</v>
      </c>
      <c r="E36" s="696"/>
      <c r="F36" s="697">
        <f>+'[16]SuppSch-Ex 3(Page1,2)'!N39</f>
        <v>64601</v>
      </c>
      <c r="G36" s="696"/>
      <c r="H36" s="697">
        <f>D36+F36</f>
        <v>480272</v>
      </c>
    </row>
    <row r="37" spans="1:9" ht="21" customHeight="1" x14ac:dyDescent="0.25">
      <c r="A37" s="569">
        <f>1+A36</f>
        <v>16</v>
      </c>
      <c r="B37" s="702" t="s">
        <v>139</v>
      </c>
      <c r="C37" s="694"/>
      <c r="D37" s="697">
        <f>+'[16]SuppSch-Ex 3(Page1,2)'!D40</f>
        <v>96090910</v>
      </c>
      <c r="E37" s="696"/>
      <c r="F37" s="697">
        <f>+'[16]SuppSch-Ex 3(Page1,2)'!N40</f>
        <v>7976529</v>
      </c>
      <c r="G37" s="696"/>
      <c r="H37" s="697">
        <f>D37+F37</f>
        <v>104067439</v>
      </c>
    </row>
    <row r="38" spans="1:9" ht="21" customHeight="1" x14ac:dyDescent="0.25">
      <c r="A38" s="569"/>
      <c r="B38" s="693"/>
      <c r="C38" s="694"/>
      <c r="D38" s="696"/>
      <c r="E38" s="696"/>
      <c r="F38" s="696"/>
      <c r="G38" s="696"/>
      <c r="H38" s="696"/>
    </row>
    <row r="39" spans="1:9" ht="21" customHeight="1" x14ac:dyDescent="0.25">
      <c r="A39" s="569">
        <f>1+A37</f>
        <v>17</v>
      </c>
      <c r="B39" s="699" t="s">
        <v>140</v>
      </c>
      <c r="C39" s="694"/>
      <c r="D39" s="698">
        <f>SUM(D34:D37)</f>
        <v>218172263</v>
      </c>
      <c r="E39" s="696"/>
      <c r="F39" s="698">
        <f>SUM(F34:F37)</f>
        <v>26416061</v>
      </c>
      <c r="G39" s="696"/>
      <c r="H39" s="698">
        <f>SUM(H34:H37)</f>
        <v>244588324</v>
      </c>
    </row>
    <row r="40" spans="1:9" ht="21" customHeight="1" x14ac:dyDescent="0.25">
      <c r="A40" s="569"/>
      <c r="B40" s="693"/>
      <c r="C40" s="694"/>
      <c r="D40" s="697"/>
      <c r="E40" s="696"/>
      <c r="F40" s="697"/>
      <c r="G40" s="696"/>
      <c r="H40" s="697"/>
    </row>
    <row r="41" spans="1:9" ht="21" customHeight="1" thickBot="1" x14ac:dyDescent="0.3">
      <c r="A41" s="569">
        <f>1+A39</f>
        <v>18</v>
      </c>
      <c r="B41" s="702" t="s">
        <v>141</v>
      </c>
      <c r="C41" s="694"/>
      <c r="D41" s="703">
        <f>D22-D31+D39</f>
        <v>3500935146</v>
      </c>
      <c r="E41" s="704"/>
      <c r="F41" s="703">
        <f>F22-F31+F39</f>
        <v>498998743</v>
      </c>
      <c r="G41" s="704"/>
      <c r="H41" s="703">
        <f>H22-H31+H39</f>
        <v>3999933889</v>
      </c>
    </row>
    <row r="42" spans="1:9" ht="21" customHeight="1" thickTop="1" x14ac:dyDescent="0.25">
      <c r="A42" s="569"/>
      <c r="B42" s="693"/>
      <c r="C42" s="694"/>
      <c r="D42" s="697"/>
      <c r="E42" s="696"/>
      <c r="F42" s="697"/>
      <c r="G42" s="696"/>
      <c r="H42" s="697"/>
    </row>
    <row r="43" spans="1:9" ht="21" customHeight="1" x14ac:dyDescent="0.25">
      <c r="A43" s="569"/>
      <c r="C43" s="694"/>
      <c r="D43" s="697"/>
      <c r="E43" s="696"/>
      <c r="F43" s="697"/>
      <c r="G43" s="696"/>
      <c r="H43" s="697"/>
    </row>
    <row r="44" spans="1:9" ht="21" customHeight="1" thickBot="1" x14ac:dyDescent="0.3">
      <c r="A44" s="578">
        <f>1+A41</f>
        <v>19</v>
      </c>
      <c r="B44" s="701" t="s">
        <v>142</v>
      </c>
      <c r="C44" s="559"/>
      <c r="D44" s="705">
        <f>ROUND(D41/$H41,4)</f>
        <v>0.87519999999999998</v>
      </c>
      <c r="E44" s="559"/>
      <c r="F44" s="705">
        <f>ROUND(F41/$H41,4)</f>
        <v>0.12479999999999999</v>
      </c>
      <c r="G44" s="559"/>
      <c r="H44" s="705">
        <f>ROUND(H41/$H41,4)</f>
        <v>1</v>
      </c>
    </row>
    <row r="45" spans="1:9" ht="21" customHeight="1" thickTop="1" x14ac:dyDescent="0.25">
      <c r="A45" s="578"/>
      <c r="B45" s="701"/>
      <c r="C45" s="559"/>
      <c r="D45" s="718"/>
      <c r="E45" s="559"/>
      <c r="F45" s="718"/>
      <c r="G45" s="559"/>
      <c r="H45" s="718"/>
    </row>
    <row r="46" spans="1:9" s="26" customFormat="1" ht="21" customHeight="1" x14ac:dyDescent="0.25">
      <c r="A46" s="38">
        <f>A44+1</f>
        <v>20</v>
      </c>
      <c r="B46" s="39" t="s">
        <v>43</v>
      </c>
      <c r="C46" s="40"/>
      <c r="D46" s="577">
        <v>202748924</v>
      </c>
      <c r="E46" s="47"/>
      <c r="F46" s="41">
        <f>H46-D46</f>
        <v>21606414.119999886</v>
      </c>
      <c r="G46" s="47"/>
      <c r="H46" s="41">
        <f>'2012 TY IS'!C35</f>
        <v>224355338.11999989</v>
      </c>
      <c r="I46" s="29"/>
    </row>
    <row r="47" spans="1:9" s="26" customFormat="1" ht="18.95" customHeight="1" thickBot="1" x14ac:dyDescent="0.3">
      <c r="D47" s="53"/>
      <c r="I47" s="29"/>
    </row>
    <row r="48" spans="1:9" s="26" customFormat="1" ht="18.95" customHeight="1" thickBot="1" x14ac:dyDescent="0.3">
      <c r="A48" s="52">
        <f>A46+1</f>
        <v>21</v>
      </c>
      <c r="B48" s="26" t="s">
        <v>81</v>
      </c>
      <c r="D48" s="762">
        <f>ROUND(D46/D41,4)</f>
        <v>5.79E-2</v>
      </c>
      <c r="F48" s="779">
        <f>ROUND(F46/F41,4)</f>
        <v>4.3299999999999998E-2</v>
      </c>
      <c r="H48" s="762">
        <f>ROUND(H46/H41,4)</f>
        <v>5.6099999999999997E-2</v>
      </c>
      <c r="I48" s="29"/>
    </row>
    <row r="49" spans="1:8" ht="21" customHeight="1" x14ac:dyDescent="0.25">
      <c r="A49" s="559"/>
      <c r="C49" s="559"/>
      <c r="E49" s="559"/>
      <c r="G49" s="559"/>
    </row>
    <row r="50" spans="1:8" ht="21" customHeight="1" x14ac:dyDescent="0.25">
      <c r="A50" s="580" t="s">
        <v>3</v>
      </c>
      <c r="B50" s="701" t="s">
        <v>143</v>
      </c>
      <c r="C50" s="559"/>
      <c r="E50" s="559"/>
      <c r="G50" s="559"/>
    </row>
    <row r="51" spans="1:8" ht="21" customHeight="1" x14ac:dyDescent="0.25">
      <c r="A51" s="581" t="s">
        <v>144</v>
      </c>
      <c r="B51" s="706" t="s">
        <v>145</v>
      </c>
      <c r="C51" s="559"/>
      <c r="E51" s="559"/>
      <c r="G51" s="559"/>
    </row>
    <row r="52" spans="1:8" ht="21" customHeight="1" x14ac:dyDescent="0.25">
      <c r="A52" s="581" t="s">
        <v>146</v>
      </c>
      <c r="B52" s="59" t="s">
        <v>602</v>
      </c>
      <c r="C52" s="559"/>
      <c r="E52" s="559"/>
      <c r="G52" s="559"/>
    </row>
    <row r="54" spans="1:8" x14ac:dyDescent="0.25">
      <c r="H54" s="707"/>
    </row>
    <row r="55" spans="1:8" x14ac:dyDescent="0.25">
      <c r="H55" s="686"/>
    </row>
    <row r="56" spans="1:8" x14ac:dyDescent="0.25">
      <c r="H56" s="686"/>
    </row>
    <row r="57" spans="1:8" x14ac:dyDescent="0.25">
      <c r="A57" s="835" t="s">
        <v>126</v>
      </c>
      <c r="B57" s="835"/>
      <c r="C57" s="835"/>
      <c r="D57" s="835"/>
      <c r="E57" s="835"/>
      <c r="F57" s="835"/>
      <c r="G57" s="835"/>
      <c r="H57" s="835"/>
    </row>
    <row r="59" spans="1:8" x14ac:dyDescent="0.25">
      <c r="A59" s="836" t="s">
        <v>148</v>
      </c>
      <c r="B59" s="836"/>
      <c r="C59" s="836"/>
      <c r="D59" s="836"/>
      <c r="E59" s="836"/>
      <c r="F59" s="836"/>
      <c r="G59" s="836"/>
      <c r="H59" s="836"/>
    </row>
    <row r="60" spans="1:8" x14ac:dyDescent="0.25">
      <c r="A60" s="834" t="str">
        <f>+A7</f>
        <v>At March 31, 2012</v>
      </c>
      <c r="B60" s="834"/>
      <c r="C60" s="834"/>
      <c r="D60" s="834"/>
      <c r="E60" s="834"/>
      <c r="F60" s="834"/>
      <c r="G60" s="834"/>
      <c r="H60" s="834"/>
    </row>
    <row r="61" spans="1:8" x14ac:dyDescent="0.25">
      <c r="A61" s="834"/>
      <c r="B61" s="834"/>
      <c r="C61" s="834"/>
      <c r="D61" s="834"/>
      <c r="E61" s="834"/>
      <c r="F61" s="834"/>
      <c r="G61" s="834"/>
      <c r="H61" s="834"/>
    </row>
    <row r="62" spans="1:8" x14ac:dyDescent="0.25">
      <c r="A62" s="565"/>
    </row>
    <row r="63" spans="1:8" x14ac:dyDescent="0.25">
      <c r="A63" s="565"/>
      <c r="B63" s="687"/>
      <c r="C63" s="688"/>
      <c r="D63" s="687"/>
      <c r="E63" s="688"/>
      <c r="F63" s="687"/>
      <c r="G63" s="688"/>
      <c r="H63" s="687"/>
    </row>
    <row r="64" spans="1:8" x14ac:dyDescent="0.25">
      <c r="A64" s="565"/>
      <c r="E64" s="688"/>
      <c r="G64" s="688"/>
    </row>
    <row r="65" spans="1:8" x14ac:dyDescent="0.25">
      <c r="A65" s="565"/>
      <c r="B65" s="687"/>
      <c r="C65" s="688"/>
      <c r="D65" s="690" t="s">
        <v>5</v>
      </c>
      <c r="E65" s="688"/>
      <c r="F65" s="690" t="s">
        <v>6</v>
      </c>
      <c r="G65" s="688"/>
      <c r="H65" s="690" t="s">
        <v>16</v>
      </c>
    </row>
    <row r="66" spans="1:8" x14ac:dyDescent="0.25">
      <c r="A66" s="565"/>
      <c r="B66" s="687"/>
      <c r="C66" s="688"/>
      <c r="D66" s="690" t="s">
        <v>45</v>
      </c>
      <c r="E66" s="688"/>
      <c r="F66" s="690" t="s">
        <v>45</v>
      </c>
      <c r="G66" s="688"/>
      <c r="H66" s="690" t="s">
        <v>17</v>
      </c>
    </row>
    <row r="67" spans="1:8" x14ac:dyDescent="0.25">
      <c r="A67" s="565"/>
      <c r="B67" s="687" t="s">
        <v>128</v>
      </c>
      <c r="C67" s="688"/>
      <c r="D67" s="690" t="s">
        <v>28</v>
      </c>
      <c r="E67" s="688"/>
      <c r="F67" s="690" t="s">
        <v>28</v>
      </c>
      <c r="G67" s="688"/>
      <c r="H67" s="690" t="s">
        <v>28</v>
      </c>
    </row>
    <row r="68" spans="1:8" x14ac:dyDescent="0.25">
      <c r="A68" s="565"/>
      <c r="B68" s="691">
        <v>-1</v>
      </c>
      <c r="C68" s="688"/>
      <c r="D68" s="692">
        <v>-2</v>
      </c>
      <c r="E68" s="688"/>
      <c r="F68" s="691">
        <v>-3</v>
      </c>
      <c r="G68" s="688"/>
      <c r="H68" s="691">
        <v>-4</v>
      </c>
    </row>
    <row r="69" spans="1:8" x14ac:dyDescent="0.25">
      <c r="A69" s="565"/>
      <c r="B69" s="687"/>
      <c r="C69" s="688"/>
      <c r="D69" s="687"/>
      <c r="E69" s="688"/>
      <c r="F69" s="687"/>
      <c r="G69" s="688"/>
      <c r="H69" s="687"/>
    </row>
    <row r="70" spans="1:8" ht="21" customHeight="1" x14ac:dyDescent="0.25">
      <c r="A70" s="583" t="s">
        <v>149</v>
      </c>
      <c r="B70" s="708" t="s">
        <v>150</v>
      </c>
    </row>
    <row r="71" spans="1:8" ht="21" customHeight="1" x14ac:dyDescent="0.25">
      <c r="A71" s="583"/>
      <c r="B71" s="702" t="str">
        <f>"12 months ended "&amp;[16]Inputs!B3&amp;""</f>
        <v>12 months ended March 31, 2012</v>
      </c>
      <c r="D71" s="695">
        <f>+'[16]SuppSch-Ex 3(Page1,2)'!D70</f>
        <v>858787982.80655313</v>
      </c>
      <c r="E71" s="704"/>
      <c r="F71" s="695">
        <f>+'[16]SuppSch-Ex 3(Page1,2)'!N70</f>
        <v>122073406.59344685</v>
      </c>
      <c r="H71" s="695">
        <f>+D71+F71</f>
        <v>980861389.39999998</v>
      </c>
    </row>
    <row r="72" spans="1:8" ht="21" customHeight="1" x14ac:dyDescent="0.25">
      <c r="A72" s="583"/>
      <c r="B72" s="708"/>
    </row>
    <row r="73" spans="1:8" ht="21" customHeight="1" x14ac:dyDescent="0.25">
      <c r="A73" s="584" t="s">
        <v>151</v>
      </c>
      <c r="B73" s="708" t="s">
        <v>124</v>
      </c>
    </row>
    <row r="74" spans="1:8" ht="21" customHeight="1" x14ac:dyDescent="0.25">
      <c r="A74" s="584" t="s">
        <v>152</v>
      </c>
      <c r="B74" s="585" t="s">
        <v>153</v>
      </c>
      <c r="D74" s="709">
        <f>+'[16]SuppSch-Ex 3(Page1,2)'!D73</f>
        <v>90060700.788345426</v>
      </c>
      <c r="E74" s="696"/>
      <c r="F74" s="709">
        <f>+'[16]SuppSch-Ex 3(Page1,2)'!N73</f>
        <v>13768569.021654591</v>
      </c>
      <c r="G74" s="697"/>
      <c r="H74" s="709">
        <f>+D74+F74</f>
        <v>103829269.81000002</v>
      </c>
    </row>
    <row r="75" spans="1:8" ht="21" customHeight="1" x14ac:dyDescent="0.25">
      <c r="A75" s="584" t="s">
        <v>154</v>
      </c>
      <c r="B75" s="710" t="s">
        <v>155</v>
      </c>
      <c r="D75" s="695">
        <f>SUM(D74)</f>
        <v>90060700.788345426</v>
      </c>
      <c r="F75" s="695">
        <f>SUM(F74)</f>
        <v>13768569.021654591</v>
      </c>
      <c r="H75" s="695">
        <f>SUM(H74)</f>
        <v>103829269.81000002</v>
      </c>
    </row>
    <row r="76" spans="1:8" ht="21" customHeight="1" x14ac:dyDescent="0.25">
      <c r="A76" s="584"/>
      <c r="B76" s="711"/>
      <c r="D76" s="588"/>
      <c r="F76" s="588"/>
      <c r="H76" s="588"/>
    </row>
    <row r="77" spans="1:8" ht="21" customHeight="1" thickBot="1" x14ac:dyDescent="0.3">
      <c r="A77" s="584" t="s">
        <v>156</v>
      </c>
      <c r="B77" s="712" t="s">
        <v>157</v>
      </c>
      <c r="D77" s="703">
        <f>D71-D75</f>
        <v>768727282.01820767</v>
      </c>
      <c r="F77" s="703">
        <f>F71-F75</f>
        <v>108304837.57179226</v>
      </c>
      <c r="H77" s="703">
        <f>H71-H75</f>
        <v>877032119.58999991</v>
      </c>
    </row>
    <row r="78" spans="1:8" ht="21" customHeight="1" thickTop="1" x14ac:dyDescent="0.25">
      <c r="A78" s="584"/>
      <c r="B78" s="711"/>
    </row>
    <row r="79" spans="1:8" ht="21" customHeight="1" thickBot="1" x14ac:dyDescent="0.3">
      <c r="A79" s="584" t="s">
        <v>158</v>
      </c>
      <c r="B79" s="711" t="s">
        <v>159</v>
      </c>
      <c r="D79" s="713">
        <f>ROUND(+D77*0.125,0)</f>
        <v>96090910</v>
      </c>
      <c r="E79" s="711"/>
      <c r="F79" s="714">
        <f>+'[16]SuppSch-Ex 3(Page1,2)'!N78</f>
        <v>7976529</v>
      </c>
      <c r="G79" s="711"/>
      <c r="H79" s="713">
        <f>+D79+F79</f>
        <v>104067439</v>
      </c>
    </row>
    <row r="80" spans="1:8" ht="21" customHeight="1" thickTop="1" x14ac:dyDescent="0.25">
      <c r="A80" s="584"/>
      <c r="B80" s="711"/>
      <c r="D80" s="791"/>
      <c r="E80" s="711"/>
      <c r="F80" s="704"/>
      <c r="G80" s="711"/>
      <c r="H80" s="791"/>
    </row>
    <row r="81" spans="2:2" ht="21" customHeight="1" x14ac:dyDescent="0.25">
      <c r="B81" s="711" t="s">
        <v>160</v>
      </c>
    </row>
    <row r="82" spans="2:2" ht="21" customHeight="1" x14ac:dyDescent="0.25">
      <c r="B82" s="711" t="s">
        <v>161</v>
      </c>
    </row>
    <row r="83" spans="2:2" ht="21" customHeight="1" x14ac:dyDescent="0.25">
      <c r="B83" s="559" t="s">
        <v>162</v>
      </c>
    </row>
  </sheetData>
  <mergeCells count="8">
    <mergeCell ref="A60:H60"/>
    <mergeCell ref="A61:H61"/>
    <mergeCell ref="A4:H4"/>
    <mergeCell ref="A6:H6"/>
    <mergeCell ref="A7:H7"/>
    <mergeCell ref="A8:H8"/>
    <mergeCell ref="A57:H57"/>
    <mergeCell ref="A59:H59"/>
  </mergeCells>
  <pageMargins left="0.7" right="0.7" top="0.75" bottom="0.75" header="0.3" footer="0.3"/>
  <pageSetup scale="66" orientation="portrait" r:id="rId1"/>
  <headerFooter>
    <oddHeader>&amp;R&amp;"Times New Roman,Bold"&amp;14Attachment to Response to Question No. 38
Page &amp;P of &amp;N
Blake</oddHeader>
  </headerFooter>
  <rowBreaks count="1" manualBreakCount="1">
    <brk id="5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zoomScale="75" zoomScaleNormal="75" zoomScaleSheetLayoutView="65" workbookViewId="0">
      <pane ySplit="15" topLeftCell="A32" activePane="bottomLeft" state="frozen"/>
      <selection sqref="A1:L1"/>
      <selection pane="bottomLeft" sqref="A1:L1"/>
    </sheetView>
  </sheetViews>
  <sheetFormatPr defaultRowHeight="15.75" x14ac:dyDescent="0.25"/>
  <cols>
    <col min="1" max="1" width="4.42578125" style="558" bestFit="1" customWidth="1"/>
    <col min="2" max="2" width="59.28515625" style="559" customWidth="1"/>
    <col min="3" max="3" width="1.85546875" style="560" customWidth="1"/>
    <col min="4" max="4" width="19" style="559" customWidth="1"/>
    <col min="5" max="5" width="1.85546875" style="560" customWidth="1"/>
    <col min="6" max="6" width="19" style="559" customWidth="1"/>
    <col min="7" max="7" width="1.85546875" style="560" customWidth="1"/>
    <col min="8" max="8" width="19" style="559" customWidth="1"/>
    <col min="9" max="16384" width="9.140625" style="559"/>
  </cols>
  <sheetData>
    <row r="1" spans="1:15" x14ac:dyDescent="0.25">
      <c r="H1" s="561"/>
    </row>
    <row r="2" spans="1:15" x14ac:dyDescent="0.25">
      <c r="H2" s="561"/>
    </row>
    <row r="3" spans="1:15" x14ac:dyDescent="0.25">
      <c r="H3" s="562"/>
    </row>
    <row r="4" spans="1:15" x14ac:dyDescent="0.25">
      <c r="A4" s="839" t="s">
        <v>126</v>
      </c>
      <c r="B4" s="839"/>
      <c r="C4" s="839"/>
      <c r="D4" s="839"/>
      <c r="E4" s="839"/>
      <c r="F4" s="839"/>
      <c r="G4" s="839"/>
      <c r="H4" s="839"/>
    </row>
    <row r="6" spans="1:15" x14ac:dyDescent="0.25">
      <c r="A6" s="840" t="s">
        <v>127</v>
      </c>
      <c r="B6" s="840"/>
      <c r="C6" s="840"/>
      <c r="D6" s="840"/>
      <c r="E6" s="840"/>
      <c r="F6" s="840"/>
      <c r="G6" s="840"/>
      <c r="H6" s="840"/>
    </row>
    <row r="7" spans="1:15" x14ac:dyDescent="0.25">
      <c r="A7" s="837" t="str">
        <f>"At "&amp;[17]Inputs!B3&amp;""</f>
        <v>At October 31, 2009</v>
      </c>
      <c r="B7" s="837"/>
      <c r="C7" s="837"/>
      <c r="D7" s="837"/>
      <c r="E7" s="837"/>
      <c r="F7" s="837"/>
      <c r="G7" s="837"/>
      <c r="H7" s="837"/>
      <c r="I7" s="563"/>
      <c r="J7" s="563"/>
    </row>
    <row r="8" spans="1:15" x14ac:dyDescent="0.25">
      <c r="A8" s="838"/>
      <c r="B8" s="834"/>
      <c r="C8" s="834"/>
      <c r="D8" s="834"/>
      <c r="E8" s="834"/>
      <c r="F8" s="834"/>
      <c r="G8" s="834"/>
      <c r="H8" s="834"/>
      <c r="I8" s="564"/>
      <c r="J8" s="564"/>
      <c r="K8" s="564"/>
      <c r="L8" s="564"/>
      <c r="M8" s="564"/>
      <c r="N8" s="564"/>
      <c r="O8" s="564"/>
    </row>
    <row r="9" spans="1:15" x14ac:dyDescent="0.25">
      <c r="A9" s="565"/>
    </row>
    <row r="10" spans="1:15" x14ac:dyDescent="0.25">
      <c r="A10" s="565"/>
      <c r="B10" s="566"/>
      <c r="C10" s="567"/>
      <c r="D10" s="566"/>
      <c r="E10" s="567"/>
      <c r="F10" s="566"/>
      <c r="G10" s="567"/>
      <c r="H10" s="566"/>
    </row>
    <row r="11" spans="1:15" x14ac:dyDescent="0.25">
      <c r="A11" s="565"/>
      <c r="D11" s="513" t="s">
        <v>5</v>
      </c>
      <c r="E11" s="567"/>
      <c r="F11" s="513" t="s">
        <v>6</v>
      </c>
      <c r="G11" s="567"/>
      <c r="H11" s="513" t="s">
        <v>16</v>
      </c>
    </row>
    <row r="12" spans="1:15" x14ac:dyDescent="0.25">
      <c r="A12" s="565"/>
      <c r="B12" s="566"/>
      <c r="C12" s="567"/>
      <c r="D12" s="513" t="s">
        <v>45</v>
      </c>
      <c r="E12" s="567"/>
      <c r="F12" s="513" t="s">
        <v>45</v>
      </c>
      <c r="G12" s="567"/>
      <c r="H12" s="513" t="s">
        <v>17</v>
      </c>
    </row>
    <row r="13" spans="1:15" x14ac:dyDescent="0.25">
      <c r="A13" s="565"/>
      <c r="B13" s="566"/>
      <c r="C13" s="567"/>
      <c r="D13" s="513" t="s">
        <v>46</v>
      </c>
      <c r="E13" s="567"/>
      <c r="F13" s="513" t="s">
        <v>46</v>
      </c>
      <c r="G13" s="567"/>
      <c r="H13" s="513" t="s">
        <v>46</v>
      </c>
    </row>
    <row r="14" spans="1:15" x14ac:dyDescent="0.25">
      <c r="A14" s="565"/>
      <c r="B14" s="566" t="s">
        <v>128</v>
      </c>
      <c r="C14" s="567"/>
      <c r="D14" s="568" t="str">
        <f>+[17]Inputs!B3</f>
        <v>October 31, 2009</v>
      </c>
      <c r="E14" s="567"/>
      <c r="F14" s="568" t="str">
        <f>D14</f>
        <v>October 31, 2009</v>
      </c>
      <c r="G14" s="567"/>
      <c r="H14" s="568" t="str">
        <f>D14</f>
        <v>October 31, 2009</v>
      </c>
    </row>
    <row r="15" spans="1:15" x14ac:dyDescent="0.25">
      <c r="A15" s="565"/>
      <c r="B15" s="592" t="s">
        <v>604</v>
      </c>
      <c r="C15" s="567"/>
      <c r="D15" s="593" t="s">
        <v>605</v>
      </c>
      <c r="E15" s="567"/>
      <c r="F15" s="592" t="s">
        <v>606</v>
      </c>
      <c r="G15" s="567"/>
      <c r="H15" s="592" t="s">
        <v>607</v>
      </c>
    </row>
    <row r="16" spans="1:15" x14ac:dyDescent="0.25">
      <c r="A16" s="565"/>
      <c r="B16" s="566"/>
      <c r="C16" s="567"/>
      <c r="D16" s="566"/>
      <c r="E16" s="567"/>
      <c r="F16" s="566"/>
      <c r="G16" s="567"/>
      <c r="H16" s="566"/>
    </row>
    <row r="17" spans="1:10" ht="21" customHeight="1" x14ac:dyDescent="0.25">
      <c r="A17" s="569">
        <f>1</f>
        <v>1</v>
      </c>
      <c r="B17" s="570" t="s">
        <v>129</v>
      </c>
      <c r="C17" s="571"/>
      <c r="D17" s="41">
        <v>5196890719</v>
      </c>
      <c r="E17" s="47"/>
      <c r="F17" s="41">
        <v>779005691</v>
      </c>
      <c r="G17" s="47"/>
      <c r="H17" s="41">
        <f>D17+F17</f>
        <v>5975896410</v>
      </c>
    </row>
    <row r="18" spans="1:10" ht="21" customHeight="1" x14ac:dyDescent="0.25">
      <c r="A18" s="565"/>
      <c r="B18" s="570"/>
      <c r="C18" s="571"/>
      <c r="D18" s="45"/>
      <c r="E18" s="47"/>
      <c r="F18" s="45"/>
      <c r="G18" s="47"/>
      <c r="H18" s="45"/>
    </row>
    <row r="19" spans="1:10" ht="21" customHeight="1" x14ac:dyDescent="0.25">
      <c r="A19" s="569">
        <f>1+A17</f>
        <v>2</v>
      </c>
      <c r="B19" s="570" t="s">
        <v>124</v>
      </c>
      <c r="C19" s="571"/>
      <c r="D19" s="45"/>
      <c r="E19" s="47"/>
      <c r="F19" s="45"/>
      <c r="G19" s="47"/>
      <c r="H19" s="45"/>
    </row>
    <row r="20" spans="1:10" ht="21" customHeight="1" x14ac:dyDescent="0.25">
      <c r="A20" s="569">
        <f>1+A19</f>
        <v>3</v>
      </c>
      <c r="B20" s="570" t="s">
        <v>130</v>
      </c>
      <c r="C20" s="571"/>
      <c r="D20" s="45">
        <v>1824368838</v>
      </c>
      <c r="E20" s="47"/>
      <c r="F20" s="45">
        <v>277102064</v>
      </c>
      <c r="G20" s="47"/>
      <c r="H20" s="45">
        <f>D20+F20</f>
        <v>2101470902</v>
      </c>
    </row>
    <row r="21" spans="1:10" ht="21" customHeight="1" x14ac:dyDescent="0.25">
      <c r="A21" s="569"/>
      <c r="B21" s="570"/>
      <c r="C21" s="571"/>
      <c r="D21" s="45"/>
      <c r="E21" s="47"/>
      <c r="F21" s="45"/>
      <c r="G21" s="47"/>
      <c r="H21" s="45"/>
    </row>
    <row r="22" spans="1:10" ht="21" customHeight="1" x14ac:dyDescent="0.25">
      <c r="A22" s="569">
        <f>1+A20</f>
        <v>4</v>
      </c>
      <c r="B22" s="570" t="s">
        <v>131</v>
      </c>
      <c r="C22" s="571"/>
      <c r="D22" s="572">
        <f>+D17-D20</f>
        <v>3372521881</v>
      </c>
      <c r="E22" s="47"/>
      <c r="F22" s="572">
        <f>+F17-F20</f>
        <v>501903627</v>
      </c>
      <c r="G22" s="47"/>
      <c r="H22" s="572">
        <f>+H17-H20</f>
        <v>3874425508</v>
      </c>
    </row>
    <row r="23" spans="1:10" ht="21" customHeight="1" x14ac:dyDescent="0.25">
      <c r="A23" s="569"/>
      <c r="B23" s="570"/>
      <c r="C23" s="571"/>
      <c r="D23" s="45"/>
      <c r="E23" s="47"/>
      <c r="F23" s="45"/>
      <c r="G23" s="47"/>
      <c r="H23" s="45"/>
    </row>
    <row r="24" spans="1:10" ht="21" customHeight="1" x14ac:dyDescent="0.25">
      <c r="A24" s="569">
        <f>1+A22</f>
        <v>5</v>
      </c>
      <c r="B24" s="570" t="s">
        <v>124</v>
      </c>
      <c r="C24" s="571"/>
      <c r="D24" s="45"/>
      <c r="E24" s="47"/>
      <c r="F24" s="45"/>
      <c r="G24" s="47"/>
      <c r="H24" s="45"/>
    </row>
    <row r="25" spans="1:10" ht="21" customHeight="1" x14ac:dyDescent="0.25">
      <c r="A25" s="569">
        <f>1+A24</f>
        <v>6</v>
      </c>
      <c r="B25" s="570" t="s">
        <v>132</v>
      </c>
      <c r="C25" s="571"/>
      <c r="D25" s="45">
        <v>2365522</v>
      </c>
      <c r="E25" s="47"/>
      <c r="F25" s="45">
        <v>14190</v>
      </c>
      <c r="G25" s="47"/>
      <c r="H25" s="45">
        <f>D25+F25</f>
        <v>2379712</v>
      </c>
    </row>
    <row r="26" spans="1:10" ht="21" customHeight="1" x14ac:dyDescent="0.25">
      <c r="A26" s="569">
        <f>1+A25</f>
        <v>7</v>
      </c>
      <c r="B26" s="570" t="s">
        <v>133</v>
      </c>
      <c r="C26" s="571"/>
      <c r="D26" s="45">
        <v>298216001</v>
      </c>
      <c r="E26" s="47"/>
      <c r="F26" s="45">
        <v>42501896</v>
      </c>
      <c r="G26" s="47"/>
      <c r="H26" s="45">
        <f>D26+F26</f>
        <v>340717897</v>
      </c>
    </row>
    <row r="27" spans="1:10" ht="21" customHeight="1" x14ac:dyDescent="0.25">
      <c r="A27" s="569">
        <f>1+A26</f>
        <v>8</v>
      </c>
      <c r="B27" s="573" t="s">
        <v>599</v>
      </c>
      <c r="C27" s="571"/>
      <c r="D27" s="45">
        <v>3839326</v>
      </c>
      <c r="E27" s="47"/>
      <c r="F27" s="45">
        <v>605212.73</v>
      </c>
      <c r="G27" s="47"/>
      <c r="H27" s="45">
        <f>D27+F27</f>
        <v>4444538.7300000004</v>
      </c>
      <c r="J27" s="574"/>
    </row>
    <row r="28" spans="1:10" ht="21" customHeight="1" x14ac:dyDescent="0.25">
      <c r="A28" s="569">
        <f>1+A27</f>
        <v>9</v>
      </c>
      <c r="B28" s="573" t="s">
        <v>600</v>
      </c>
      <c r="C28" s="571"/>
      <c r="D28" s="45">
        <v>3543696</v>
      </c>
      <c r="E28" s="47"/>
      <c r="F28" s="45">
        <v>558610.71</v>
      </c>
      <c r="G28" s="47"/>
      <c r="H28" s="45">
        <f>D28+F28</f>
        <v>4102306.71</v>
      </c>
      <c r="J28" s="574"/>
    </row>
    <row r="29" spans="1:10" ht="21" customHeight="1" x14ac:dyDescent="0.25">
      <c r="A29" s="569">
        <f>1+A28</f>
        <v>10</v>
      </c>
      <c r="B29" s="13" t="s">
        <v>134</v>
      </c>
      <c r="C29" s="571"/>
      <c r="D29" s="45">
        <v>84059458</v>
      </c>
      <c r="E29" s="47"/>
      <c r="F29" s="45">
        <v>14251644</v>
      </c>
      <c r="G29" s="47"/>
      <c r="H29" s="45">
        <f>D29+F29</f>
        <v>98311102</v>
      </c>
    </row>
    <row r="30" spans="1:10" ht="21" customHeight="1" x14ac:dyDescent="0.25">
      <c r="A30" s="569"/>
      <c r="B30" s="570"/>
      <c r="C30" s="571"/>
      <c r="D30" s="47"/>
      <c r="E30" s="47"/>
      <c r="F30" s="47"/>
      <c r="G30" s="47"/>
      <c r="H30" s="47"/>
    </row>
    <row r="31" spans="1:10" ht="21" customHeight="1" x14ac:dyDescent="0.25">
      <c r="A31" s="569">
        <f>1+A29</f>
        <v>11</v>
      </c>
      <c r="B31" s="570" t="s">
        <v>125</v>
      </c>
      <c r="C31" s="571"/>
      <c r="D31" s="572">
        <f>SUM(D25:D30)</f>
        <v>392024003</v>
      </c>
      <c r="E31" s="47"/>
      <c r="F31" s="572">
        <f>SUM(F25:F30)</f>
        <v>57931553.439999998</v>
      </c>
      <c r="G31" s="47"/>
      <c r="H31" s="572">
        <f>SUM(H25:H30)</f>
        <v>449955556.44</v>
      </c>
    </row>
    <row r="32" spans="1:10" ht="21" customHeight="1" x14ac:dyDescent="0.25">
      <c r="A32" s="565"/>
      <c r="B32" s="570"/>
      <c r="C32" s="571"/>
      <c r="D32" s="45"/>
      <c r="E32" s="47"/>
      <c r="F32" s="45"/>
      <c r="G32" s="47"/>
      <c r="H32" s="45"/>
    </row>
    <row r="33" spans="1:8" ht="21" customHeight="1" x14ac:dyDescent="0.25">
      <c r="A33" s="569">
        <f>1+A31</f>
        <v>12</v>
      </c>
      <c r="B33" s="570" t="s">
        <v>135</v>
      </c>
      <c r="C33" s="571"/>
      <c r="D33" s="45"/>
      <c r="E33" s="47"/>
      <c r="F33" s="45"/>
      <c r="G33" s="47"/>
      <c r="H33" s="45"/>
    </row>
    <row r="34" spans="1:8" ht="21" customHeight="1" x14ac:dyDescent="0.25">
      <c r="A34" s="569">
        <f>1+A33</f>
        <v>13</v>
      </c>
      <c r="B34" s="13" t="s">
        <v>136</v>
      </c>
      <c r="C34" s="571"/>
      <c r="D34" s="45">
        <v>105065854</v>
      </c>
      <c r="E34" s="47"/>
      <c r="F34" s="45">
        <v>16109584</v>
      </c>
      <c r="G34" s="47"/>
      <c r="H34" s="45">
        <f>D34+F34</f>
        <v>121175438</v>
      </c>
    </row>
    <row r="35" spans="1:8" ht="21" customHeight="1" x14ac:dyDescent="0.25">
      <c r="A35" s="569">
        <f>1+A34</f>
        <v>14</v>
      </c>
      <c r="B35" s="13" t="s">
        <v>137</v>
      </c>
      <c r="C35" s="571"/>
      <c r="D35" s="45">
        <v>3231585</v>
      </c>
      <c r="E35" s="47"/>
      <c r="F35" s="45">
        <v>441303</v>
      </c>
      <c r="G35" s="47"/>
      <c r="H35" s="45">
        <f>D35+F35</f>
        <v>3672888</v>
      </c>
    </row>
    <row r="36" spans="1:8" ht="21" customHeight="1" x14ac:dyDescent="0.25">
      <c r="A36" s="569">
        <f>1+A35</f>
        <v>15</v>
      </c>
      <c r="B36" s="570" t="s">
        <v>601</v>
      </c>
      <c r="C36" s="571"/>
      <c r="D36" s="45">
        <v>670815</v>
      </c>
      <c r="E36" s="47"/>
      <c r="F36" s="45">
        <v>105746</v>
      </c>
      <c r="G36" s="47"/>
      <c r="H36" s="45">
        <f>D36+F36</f>
        <v>776561</v>
      </c>
    </row>
    <row r="37" spans="1:8" ht="21" customHeight="1" x14ac:dyDescent="0.25">
      <c r="A37" s="569">
        <f>1+A36</f>
        <v>16</v>
      </c>
      <c r="B37" s="575" t="s">
        <v>139</v>
      </c>
      <c r="C37" s="571"/>
      <c r="D37" s="45">
        <v>80258812</v>
      </c>
      <c r="E37" s="47"/>
      <c r="F37" s="45">
        <v>6887593</v>
      </c>
      <c r="G37" s="47"/>
      <c r="H37" s="45">
        <f>D37+F37</f>
        <v>87146405</v>
      </c>
    </row>
    <row r="38" spans="1:8" ht="21" customHeight="1" x14ac:dyDescent="0.25">
      <c r="A38" s="569"/>
      <c r="B38" s="570"/>
      <c r="C38" s="571"/>
      <c r="D38" s="47"/>
      <c r="E38" s="47"/>
      <c r="F38" s="47"/>
      <c r="G38" s="47"/>
      <c r="H38" s="47"/>
    </row>
    <row r="39" spans="1:8" ht="21" customHeight="1" x14ac:dyDescent="0.25">
      <c r="A39" s="569">
        <f>1+A37</f>
        <v>17</v>
      </c>
      <c r="B39" s="573" t="s">
        <v>140</v>
      </c>
      <c r="C39" s="571"/>
      <c r="D39" s="572">
        <f>SUM(D34:D37)</f>
        <v>189227066</v>
      </c>
      <c r="E39" s="47"/>
      <c r="F39" s="572">
        <f>SUM(F34:F37)</f>
        <v>23544226</v>
      </c>
      <c r="G39" s="47"/>
      <c r="H39" s="572">
        <f>SUM(H34:H37)</f>
        <v>212771292</v>
      </c>
    </row>
    <row r="40" spans="1:8" ht="21" customHeight="1" x14ac:dyDescent="0.25">
      <c r="A40" s="569"/>
      <c r="B40" s="570"/>
      <c r="C40" s="571"/>
      <c r="D40" s="45"/>
      <c r="E40" s="47"/>
      <c r="F40" s="45"/>
      <c r="G40" s="47"/>
      <c r="H40" s="45"/>
    </row>
    <row r="41" spans="1:8" ht="21" customHeight="1" thickBot="1" x14ac:dyDescent="0.3">
      <c r="A41" s="569">
        <f>1+A39</f>
        <v>18</v>
      </c>
      <c r="B41" s="575" t="s">
        <v>141</v>
      </c>
      <c r="C41" s="571"/>
      <c r="D41" s="576">
        <f>D22-D31+D39</f>
        <v>3169724944</v>
      </c>
      <c r="E41" s="577"/>
      <c r="F41" s="576">
        <f>F22-F31+F39</f>
        <v>467516299.56</v>
      </c>
      <c r="G41" s="577"/>
      <c r="H41" s="576">
        <f>H22-H31+H39</f>
        <v>3637241243.5599999</v>
      </c>
    </row>
    <row r="42" spans="1:8" ht="21" customHeight="1" thickTop="1" x14ac:dyDescent="0.25">
      <c r="A42" s="569"/>
      <c r="B42" s="570"/>
      <c r="C42" s="571"/>
      <c r="D42" s="45"/>
      <c r="E42" s="47"/>
      <c r="F42" s="45"/>
      <c r="G42" s="47"/>
      <c r="H42" s="45"/>
    </row>
    <row r="43" spans="1:8" ht="21" customHeight="1" x14ac:dyDescent="0.25">
      <c r="A43" s="569"/>
      <c r="C43" s="571"/>
      <c r="D43" s="45"/>
      <c r="E43" s="47"/>
      <c r="F43" s="45"/>
      <c r="G43" s="47"/>
      <c r="H43" s="45"/>
    </row>
    <row r="44" spans="1:8" ht="21" customHeight="1" thickBot="1" x14ac:dyDescent="0.3">
      <c r="A44" s="578">
        <f>1+A41</f>
        <v>19</v>
      </c>
      <c r="B44" s="13" t="s">
        <v>142</v>
      </c>
      <c r="C44" s="559"/>
      <c r="D44" s="579">
        <f>ROUND(D41/$H41,4)</f>
        <v>0.87150000000000005</v>
      </c>
      <c r="E44" s="559"/>
      <c r="F44" s="579">
        <f>ROUND(F41/$H41,4)</f>
        <v>0.1285</v>
      </c>
      <c r="G44" s="559"/>
      <c r="H44" s="579">
        <f>ROUND(H41/$H41,4)</f>
        <v>1</v>
      </c>
    </row>
    <row r="45" spans="1:8" ht="21" customHeight="1" thickTop="1" x14ac:dyDescent="0.25">
      <c r="A45" s="559"/>
      <c r="C45" s="559"/>
      <c r="E45" s="559"/>
      <c r="G45" s="559"/>
    </row>
    <row r="46" spans="1:8" ht="21" customHeight="1" x14ac:dyDescent="0.25">
      <c r="A46" s="38">
        <v>21</v>
      </c>
      <c r="B46" s="39" t="s">
        <v>43</v>
      </c>
      <c r="C46" s="559"/>
      <c r="D46" s="45">
        <v>191120144.58888769</v>
      </c>
      <c r="E46" s="47"/>
      <c r="F46" s="45">
        <v>12499945</v>
      </c>
      <c r="G46" s="47"/>
      <c r="H46" s="45">
        <f>D46+F46</f>
        <v>203620089.58888769</v>
      </c>
    </row>
    <row r="47" spans="1:8" ht="21" customHeight="1" x14ac:dyDescent="0.25">
      <c r="A47" s="26"/>
      <c r="B47" s="26"/>
      <c r="C47" s="559"/>
      <c r="E47" s="559"/>
      <c r="G47" s="559"/>
    </row>
    <row r="48" spans="1:8" ht="21" customHeight="1" x14ac:dyDescent="0.25">
      <c r="A48" s="52">
        <v>22</v>
      </c>
      <c r="B48" s="26" t="s">
        <v>81</v>
      </c>
      <c r="C48" s="559"/>
      <c r="D48" s="594">
        <f>D46/D41</f>
        <v>6.0295498179001518E-2</v>
      </c>
      <c r="E48" s="559"/>
      <c r="F48" s="594">
        <f>F46/F41</f>
        <v>2.6736918074865505E-2</v>
      </c>
      <c r="G48" s="559"/>
      <c r="H48" s="594">
        <f>H46/H41</f>
        <v>5.5982013826938716E-2</v>
      </c>
    </row>
    <row r="49" spans="1:8" ht="21" customHeight="1" x14ac:dyDescent="0.25">
      <c r="A49" s="559"/>
      <c r="C49" s="559"/>
      <c r="E49" s="559"/>
      <c r="G49" s="559"/>
    </row>
    <row r="50" spans="1:8" ht="21" customHeight="1" x14ac:dyDescent="0.25">
      <c r="A50" s="580" t="s">
        <v>3</v>
      </c>
      <c r="B50" s="13" t="s">
        <v>143</v>
      </c>
      <c r="C50" s="559"/>
      <c r="E50" s="559"/>
      <c r="G50" s="559"/>
    </row>
    <row r="51" spans="1:8" ht="21" customHeight="1" x14ac:dyDescent="0.25">
      <c r="A51" s="581" t="s">
        <v>144</v>
      </c>
      <c r="B51" s="2" t="s">
        <v>145</v>
      </c>
      <c r="C51" s="559"/>
      <c r="E51" s="559"/>
      <c r="G51" s="559"/>
    </row>
    <row r="52" spans="1:8" ht="21" customHeight="1" x14ac:dyDescent="0.25">
      <c r="A52" s="581" t="s">
        <v>146</v>
      </c>
      <c r="B52" s="59" t="s">
        <v>602</v>
      </c>
      <c r="C52" s="559"/>
      <c r="E52" s="559"/>
      <c r="G52" s="559"/>
    </row>
    <row r="54" spans="1:8" x14ac:dyDescent="0.25">
      <c r="H54" s="582"/>
    </row>
    <row r="55" spans="1:8" x14ac:dyDescent="0.25">
      <c r="H55" s="562"/>
    </row>
    <row r="56" spans="1:8" x14ac:dyDescent="0.25">
      <c r="H56" s="562"/>
    </row>
    <row r="57" spans="1:8" x14ac:dyDescent="0.25">
      <c r="A57" s="839" t="s">
        <v>126</v>
      </c>
      <c r="B57" s="839"/>
      <c r="C57" s="839"/>
      <c r="D57" s="839"/>
      <c r="E57" s="839"/>
      <c r="F57" s="839"/>
      <c r="G57" s="839"/>
      <c r="H57" s="839"/>
    </row>
    <row r="59" spans="1:8" x14ac:dyDescent="0.25">
      <c r="A59" s="840" t="s">
        <v>148</v>
      </c>
      <c r="B59" s="840"/>
      <c r="C59" s="840"/>
      <c r="D59" s="840"/>
      <c r="E59" s="840"/>
      <c r="F59" s="840"/>
      <c r="G59" s="840"/>
      <c r="H59" s="840"/>
    </row>
    <row r="60" spans="1:8" x14ac:dyDescent="0.25">
      <c r="A60" s="834" t="str">
        <f>+A7</f>
        <v>At October 31, 2009</v>
      </c>
      <c r="B60" s="834"/>
      <c r="C60" s="834"/>
      <c r="D60" s="834"/>
      <c r="E60" s="834"/>
      <c r="F60" s="834"/>
      <c r="G60" s="834"/>
      <c r="H60" s="834"/>
    </row>
    <row r="61" spans="1:8" x14ac:dyDescent="0.25">
      <c r="A61" s="834"/>
      <c r="B61" s="834"/>
      <c r="C61" s="834"/>
      <c r="D61" s="834"/>
      <c r="E61" s="834"/>
      <c r="F61" s="834"/>
      <c r="G61" s="834"/>
      <c r="H61" s="834"/>
    </row>
    <row r="62" spans="1:8" x14ac:dyDescent="0.25">
      <c r="A62" s="565"/>
    </row>
    <row r="63" spans="1:8" x14ac:dyDescent="0.25">
      <c r="A63" s="565"/>
      <c r="B63" s="566"/>
      <c r="C63" s="567"/>
      <c r="D63" s="566"/>
      <c r="E63" s="567"/>
      <c r="F63" s="566"/>
      <c r="G63" s="567"/>
      <c r="H63" s="566"/>
    </row>
    <row r="64" spans="1:8" x14ac:dyDescent="0.25">
      <c r="A64" s="565"/>
      <c r="D64" s="513" t="s">
        <v>5</v>
      </c>
      <c r="E64" s="567"/>
      <c r="F64" s="513" t="s">
        <v>6</v>
      </c>
      <c r="G64" s="567"/>
      <c r="H64" s="513" t="s">
        <v>16</v>
      </c>
    </row>
    <row r="65" spans="1:8" x14ac:dyDescent="0.25">
      <c r="A65" s="565"/>
      <c r="B65" s="566"/>
      <c r="C65" s="567"/>
      <c r="D65" s="513" t="s">
        <v>45</v>
      </c>
      <c r="E65" s="567"/>
      <c r="F65" s="513" t="s">
        <v>45</v>
      </c>
      <c r="G65" s="567"/>
      <c r="H65" s="513" t="s">
        <v>17</v>
      </c>
    </row>
    <row r="66" spans="1:8" x14ac:dyDescent="0.25">
      <c r="A66" s="565"/>
      <c r="B66" s="566"/>
      <c r="C66" s="567"/>
      <c r="D66" s="513" t="s">
        <v>46</v>
      </c>
      <c r="E66" s="567"/>
      <c r="F66" s="513" t="s">
        <v>46</v>
      </c>
      <c r="G66" s="567"/>
      <c r="H66" s="513" t="s">
        <v>46</v>
      </c>
    </row>
    <row r="67" spans="1:8" x14ac:dyDescent="0.25">
      <c r="A67" s="565"/>
      <c r="B67" s="566" t="s">
        <v>128</v>
      </c>
      <c r="C67" s="567"/>
      <c r="D67" s="568" t="str">
        <f>+D14</f>
        <v>October 31, 2009</v>
      </c>
      <c r="E67" s="567"/>
      <c r="F67" s="568" t="str">
        <f>D67</f>
        <v>October 31, 2009</v>
      </c>
      <c r="G67" s="567"/>
      <c r="H67" s="568" t="str">
        <f>D67</f>
        <v>October 31, 2009</v>
      </c>
    </row>
    <row r="68" spans="1:8" x14ac:dyDescent="0.25">
      <c r="A68" s="565"/>
      <c r="B68" s="592" t="s">
        <v>604</v>
      </c>
      <c r="C68" s="567"/>
      <c r="D68" s="593" t="s">
        <v>605</v>
      </c>
      <c r="E68" s="567"/>
      <c r="F68" s="592" t="s">
        <v>606</v>
      </c>
      <c r="G68" s="567"/>
      <c r="H68" s="592" t="s">
        <v>607</v>
      </c>
    </row>
    <row r="69" spans="1:8" x14ac:dyDescent="0.25">
      <c r="A69" s="565"/>
      <c r="B69" s="566"/>
      <c r="C69" s="567"/>
      <c r="D69" s="566"/>
      <c r="E69" s="567"/>
      <c r="F69" s="566"/>
      <c r="G69" s="567"/>
      <c r="H69" s="566"/>
    </row>
    <row r="70" spans="1:8" ht="21" customHeight="1" x14ac:dyDescent="0.25">
      <c r="A70" s="583" t="s">
        <v>149</v>
      </c>
      <c r="B70" s="24" t="s">
        <v>150</v>
      </c>
    </row>
    <row r="71" spans="1:8" ht="21" customHeight="1" x14ac:dyDescent="0.25">
      <c r="A71" s="583"/>
      <c r="B71" s="575" t="s">
        <v>603</v>
      </c>
      <c r="D71" s="41">
        <v>819700590</v>
      </c>
      <c r="E71" s="577"/>
      <c r="F71" s="41">
        <v>119746509</v>
      </c>
      <c r="H71" s="41">
        <f>+D71+F71</f>
        <v>939447099</v>
      </c>
    </row>
    <row r="72" spans="1:8" ht="21" customHeight="1" x14ac:dyDescent="0.25">
      <c r="A72" s="583"/>
      <c r="B72" s="24"/>
    </row>
    <row r="73" spans="1:8" ht="21" customHeight="1" x14ac:dyDescent="0.25">
      <c r="A73" s="584" t="s">
        <v>151</v>
      </c>
      <c r="B73" s="24" t="s">
        <v>124</v>
      </c>
    </row>
    <row r="74" spans="1:8" ht="21" customHeight="1" x14ac:dyDescent="0.25">
      <c r="A74" s="584" t="s">
        <v>152</v>
      </c>
      <c r="B74" s="585" t="s">
        <v>153</v>
      </c>
      <c r="D74" s="62">
        <v>177630092</v>
      </c>
      <c r="E74" s="47"/>
      <c r="F74" s="62">
        <v>27375153</v>
      </c>
      <c r="G74" s="45"/>
      <c r="H74" s="62">
        <f>+D74+F74</f>
        <v>205005245</v>
      </c>
    </row>
    <row r="75" spans="1:8" ht="21" customHeight="1" x14ac:dyDescent="0.25">
      <c r="A75" s="584" t="s">
        <v>154</v>
      </c>
      <c r="B75" s="586" t="s">
        <v>155</v>
      </c>
      <c r="D75" s="41">
        <f>SUM(D74)</f>
        <v>177630092</v>
      </c>
      <c r="F75" s="41">
        <f>SUM(F74)</f>
        <v>27375153</v>
      </c>
      <c r="H75" s="41">
        <f>SUM(H74)</f>
        <v>205005245</v>
      </c>
    </row>
    <row r="76" spans="1:8" ht="21" customHeight="1" x14ac:dyDescent="0.25">
      <c r="A76" s="584"/>
      <c r="B76" s="587"/>
      <c r="D76" s="588"/>
      <c r="F76" s="588"/>
      <c r="H76" s="588"/>
    </row>
    <row r="77" spans="1:8" ht="21" customHeight="1" thickBot="1" x14ac:dyDescent="0.3">
      <c r="A77" s="584" t="s">
        <v>156</v>
      </c>
      <c r="B77" s="589" t="s">
        <v>157</v>
      </c>
      <c r="D77" s="576">
        <f>D71-D75</f>
        <v>642070498</v>
      </c>
      <c r="F77" s="576">
        <f>F71-F75</f>
        <v>92371356</v>
      </c>
      <c r="H77" s="576">
        <f>H71-H75</f>
        <v>734441854</v>
      </c>
    </row>
    <row r="78" spans="1:8" ht="21" customHeight="1" thickTop="1" x14ac:dyDescent="0.25">
      <c r="A78" s="584"/>
      <c r="B78" s="587"/>
    </row>
    <row r="79" spans="1:8" ht="21" customHeight="1" thickBot="1" x14ac:dyDescent="0.3">
      <c r="A79" s="584" t="s">
        <v>158</v>
      </c>
      <c r="B79" s="587" t="s">
        <v>159</v>
      </c>
      <c r="D79" s="590">
        <f>ROUND(+D77*0.125,0)</f>
        <v>80258812</v>
      </c>
      <c r="E79" s="587"/>
      <c r="F79" s="591">
        <v>6887593</v>
      </c>
      <c r="G79" s="587"/>
      <c r="H79" s="590">
        <f>+D79+F79</f>
        <v>87146405</v>
      </c>
    </row>
    <row r="80" spans="1:8" ht="21" customHeight="1" thickTop="1" x14ac:dyDescent="0.25">
      <c r="B80" s="587" t="s">
        <v>160</v>
      </c>
    </row>
    <row r="81" spans="2:2" ht="21" customHeight="1" x14ac:dyDescent="0.25">
      <c r="B81" s="587" t="s">
        <v>161</v>
      </c>
    </row>
    <row r="82" spans="2:2" ht="21" customHeight="1" x14ac:dyDescent="0.25">
      <c r="B82" s="559" t="s">
        <v>162</v>
      </c>
    </row>
  </sheetData>
  <mergeCells count="8">
    <mergeCell ref="A57:H57"/>
    <mergeCell ref="A59:H59"/>
    <mergeCell ref="A60:H60"/>
    <mergeCell ref="A61:H61"/>
    <mergeCell ref="A4:H4"/>
    <mergeCell ref="A6:H6"/>
    <mergeCell ref="A7:H7"/>
    <mergeCell ref="A8:H8"/>
  </mergeCells>
  <phoneticPr fontId="1" type="noConversion"/>
  <printOptions horizontalCentered="1"/>
  <pageMargins left="0" right="0" top="0.75" bottom="0.5" header="0.75" footer="0.25"/>
  <pageSetup scale="68" fitToHeight="2" orientation="portrait" r:id="rId1"/>
  <headerFooter alignWithMargins="0">
    <oddHeader>&amp;R&amp;"Times New Roman,Bold"&amp;14Attachment to Response to Question No. 38
Page &amp;P of &amp;N
Rives</oddHeader>
  </headerFooter>
  <rowBreaks count="1" manualBreakCount="1">
    <brk id="53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6"/>
  <sheetViews>
    <sheetView showGridLines="0" tabSelected="1" zoomScaleNormal="100" zoomScaleSheetLayoutView="65" workbookViewId="0">
      <pane xSplit="3" ySplit="15" topLeftCell="D78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10.28515625" defaultRowHeight="15.75" x14ac:dyDescent="0.25"/>
  <cols>
    <col min="1" max="1" width="4.85546875" style="558" bestFit="1" customWidth="1"/>
    <col min="2" max="2" width="60.5703125" style="72" customWidth="1"/>
    <col min="3" max="3" width="1.85546875" style="733" customWidth="1"/>
    <col min="4" max="4" width="19" style="72" customWidth="1"/>
    <col min="5" max="5" width="1.85546875" style="733" customWidth="1"/>
    <col min="6" max="6" width="19" style="72" customWidth="1"/>
    <col min="7" max="7" width="1.85546875" style="733" customWidth="1"/>
    <col min="8" max="8" width="19" style="72" customWidth="1"/>
    <col min="9" max="9" width="10.5703125" style="71" bestFit="1" customWidth="1"/>
    <col min="10" max="10" width="13.42578125" style="72" bestFit="1" customWidth="1"/>
    <col min="11" max="11" width="10.28515625" style="72"/>
    <col min="12" max="12" width="17.5703125" style="72" bestFit="1" customWidth="1"/>
    <col min="13" max="16384" width="10.28515625" style="72"/>
  </cols>
  <sheetData>
    <row r="1" spans="1:15" x14ac:dyDescent="0.25">
      <c r="A1" s="734"/>
      <c r="B1" s="734"/>
      <c r="C1" s="734"/>
      <c r="D1" s="734"/>
      <c r="E1" s="734"/>
      <c r="F1" s="734"/>
      <c r="G1" s="734"/>
      <c r="H1" s="756"/>
      <c r="I1" s="734"/>
      <c r="J1" s="734"/>
      <c r="K1" s="734"/>
      <c r="L1" s="734"/>
      <c r="M1" s="734"/>
      <c r="N1" s="734"/>
      <c r="O1" s="734"/>
    </row>
    <row r="2" spans="1:15" x14ac:dyDescent="0.25">
      <c r="A2" s="734"/>
      <c r="B2" s="734"/>
      <c r="C2" s="734"/>
      <c r="D2" s="734"/>
      <c r="E2" s="734"/>
      <c r="F2" s="734"/>
      <c r="G2" s="734"/>
      <c r="H2" s="756"/>
      <c r="I2" s="734"/>
      <c r="J2" s="756"/>
      <c r="K2" s="734"/>
      <c r="L2" s="734"/>
      <c r="M2" s="734"/>
      <c r="N2" s="734"/>
      <c r="O2" s="734"/>
    </row>
    <row r="3" spans="1:15" x14ac:dyDescent="0.25">
      <c r="A3" s="734"/>
      <c r="B3" s="734"/>
      <c r="C3" s="734"/>
      <c r="D3" s="734"/>
      <c r="E3" s="734"/>
      <c r="F3" s="734"/>
      <c r="G3" s="734"/>
      <c r="H3" s="744"/>
      <c r="I3" s="734"/>
      <c r="J3" s="734"/>
      <c r="K3" s="734"/>
      <c r="L3" s="734"/>
      <c r="M3" s="734"/>
      <c r="N3" s="734"/>
      <c r="O3" s="734"/>
    </row>
    <row r="4" spans="1:15" x14ac:dyDescent="0.25">
      <c r="A4" s="842" t="s">
        <v>126</v>
      </c>
      <c r="B4" s="842"/>
      <c r="C4" s="842"/>
      <c r="D4" s="842"/>
      <c r="E4" s="842"/>
      <c r="F4" s="842"/>
      <c r="G4" s="842"/>
      <c r="H4" s="842"/>
      <c r="I4" s="734"/>
      <c r="J4" s="734"/>
      <c r="K4" s="734"/>
      <c r="L4" s="734"/>
      <c r="M4" s="734"/>
      <c r="N4" s="734"/>
      <c r="O4" s="734"/>
    </row>
    <row r="6" spans="1:15" x14ac:dyDescent="0.25">
      <c r="A6" s="843" t="s">
        <v>127</v>
      </c>
      <c r="B6" s="843"/>
      <c r="C6" s="843"/>
      <c r="D6" s="843"/>
      <c r="E6" s="843"/>
      <c r="F6" s="843"/>
      <c r="G6" s="843"/>
      <c r="H6" s="843"/>
      <c r="I6" s="734"/>
      <c r="J6" s="734"/>
      <c r="K6" s="734"/>
      <c r="L6" s="734"/>
      <c r="M6" s="734"/>
      <c r="N6" s="734"/>
      <c r="O6" s="734"/>
    </row>
    <row r="7" spans="1:15" x14ac:dyDescent="0.25">
      <c r="A7" s="841" t="s">
        <v>738</v>
      </c>
      <c r="B7" s="841"/>
      <c r="C7" s="841"/>
      <c r="D7" s="841"/>
      <c r="E7" s="841"/>
      <c r="F7" s="841"/>
      <c r="G7" s="841"/>
      <c r="H7" s="841"/>
      <c r="I7" s="755"/>
      <c r="J7" s="755"/>
      <c r="K7" s="734"/>
      <c r="L7" s="734"/>
      <c r="M7" s="734"/>
      <c r="N7" s="734"/>
      <c r="O7" s="734"/>
    </row>
    <row r="8" spans="1:15" x14ac:dyDescent="0.25">
      <c r="A8" s="844"/>
      <c r="B8" s="841"/>
      <c r="C8" s="841"/>
      <c r="D8" s="841"/>
      <c r="E8" s="841"/>
      <c r="F8" s="841"/>
      <c r="G8" s="841"/>
      <c r="H8" s="841"/>
      <c r="I8" s="755"/>
      <c r="J8" s="755"/>
      <c r="K8" s="755"/>
      <c r="L8" s="755"/>
      <c r="M8" s="755"/>
      <c r="N8" s="755"/>
      <c r="O8" s="755"/>
    </row>
    <row r="9" spans="1:15" x14ac:dyDescent="0.25">
      <c r="A9" s="737"/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</row>
    <row r="10" spans="1:15" x14ac:dyDescent="0.25">
      <c r="A10" s="737"/>
      <c r="B10" s="738"/>
      <c r="C10" s="739"/>
      <c r="D10" s="738"/>
      <c r="E10" s="739"/>
      <c r="F10" s="738"/>
      <c r="G10" s="739"/>
      <c r="H10" s="738"/>
      <c r="I10" s="734"/>
      <c r="J10" s="734"/>
      <c r="K10" s="734"/>
      <c r="L10" s="734"/>
      <c r="M10" s="734"/>
      <c r="N10" s="734"/>
      <c r="O10" s="734"/>
    </row>
    <row r="11" spans="1:15" x14ac:dyDescent="0.25">
      <c r="A11" s="737"/>
      <c r="B11" s="734"/>
      <c r="C11" s="734"/>
      <c r="D11" s="759"/>
      <c r="E11" s="739"/>
      <c r="F11" s="759"/>
      <c r="G11" s="739"/>
      <c r="H11" s="759"/>
      <c r="I11" s="734"/>
      <c r="J11" s="734"/>
      <c r="K11" s="734"/>
      <c r="L11" s="734"/>
      <c r="M11" s="734"/>
      <c r="N11" s="734"/>
      <c r="O11" s="734"/>
    </row>
    <row r="12" spans="1:15" x14ac:dyDescent="0.25">
      <c r="A12" s="737"/>
      <c r="B12" s="738"/>
      <c r="C12" s="739"/>
      <c r="D12" s="740" t="s">
        <v>5</v>
      </c>
      <c r="E12" s="739"/>
      <c r="F12" s="740" t="s">
        <v>6</v>
      </c>
      <c r="G12" s="739"/>
      <c r="H12" s="740" t="s">
        <v>16</v>
      </c>
      <c r="I12" s="734"/>
      <c r="J12" s="734"/>
      <c r="K12" s="734"/>
      <c r="L12" s="734"/>
      <c r="M12" s="734"/>
      <c r="N12" s="734"/>
      <c r="O12" s="734"/>
    </row>
    <row r="13" spans="1:15" x14ac:dyDescent="0.25">
      <c r="A13" s="737"/>
      <c r="B13" s="738"/>
      <c r="C13" s="739"/>
      <c r="D13" s="740" t="s">
        <v>45</v>
      </c>
      <c r="E13" s="739"/>
      <c r="F13" s="740" t="s">
        <v>45</v>
      </c>
      <c r="G13" s="739"/>
      <c r="H13" s="740" t="s">
        <v>17</v>
      </c>
      <c r="I13" s="734"/>
      <c r="J13" s="734"/>
      <c r="K13" s="734"/>
      <c r="L13" s="734"/>
      <c r="M13" s="734"/>
      <c r="N13" s="734"/>
      <c r="O13" s="734"/>
    </row>
    <row r="14" spans="1:15" x14ac:dyDescent="0.25">
      <c r="A14" s="737"/>
      <c r="B14" s="738" t="s">
        <v>128</v>
      </c>
      <c r="C14" s="739"/>
      <c r="D14" s="740" t="s">
        <v>28</v>
      </c>
      <c r="E14" s="739"/>
      <c r="F14" s="740" t="s">
        <v>28</v>
      </c>
      <c r="G14" s="739"/>
      <c r="H14" s="740" t="s">
        <v>28</v>
      </c>
      <c r="I14" s="734"/>
      <c r="J14" s="734"/>
      <c r="K14" s="734"/>
      <c r="L14" s="734"/>
      <c r="M14" s="734"/>
      <c r="N14" s="734"/>
      <c r="O14" s="734"/>
    </row>
    <row r="15" spans="1:15" x14ac:dyDescent="0.25">
      <c r="A15" s="737"/>
      <c r="B15" s="741">
        <v>-1</v>
      </c>
      <c r="C15" s="739"/>
      <c r="D15" s="742">
        <v>-2</v>
      </c>
      <c r="E15" s="739"/>
      <c r="F15" s="741">
        <v>-3</v>
      </c>
      <c r="G15" s="739"/>
      <c r="H15" s="741">
        <v>-4</v>
      </c>
      <c r="I15" s="734"/>
      <c r="J15" s="734"/>
      <c r="K15" s="734"/>
      <c r="L15" s="734"/>
      <c r="M15" s="734"/>
      <c r="N15" s="734"/>
      <c r="O15" s="734"/>
    </row>
    <row r="16" spans="1:15" x14ac:dyDescent="0.25">
      <c r="A16" s="737"/>
      <c r="B16" s="738"/>
      <c r="C16" s="739"/>
      <c r="D16" s="738"/>
      <c r="E16" s="739"/>
      <c r="F16" s="738"/>
      <c r="G16" s="739"/>
      <c r="H16" s="738"/>
      <c r="I16" s="734"/>
      <c r="J16" s="734"/>
      <c r="K16" s="734"/>
      <c r="L16" s="734"/>
      <c r="M16" s="734"/>
      <c r="N16" s="734"/>
      <c r="O16" s="734"/>
    </row>
    <row r="17" spans="1:13" ht="21" customHeight="1" x14ac:dyDescent="0.25">
      <c r="A17" s="745">
        <v>1</v>
      </c>
      <c r="B17" s="746" t="s">
        <v>129</v>
      </c>
      <c r="C17" s="747"/>
      <c r="D17" s="695">
        <v>5911157982</v>
      </c>
      <c r="E17" s="696"/>
      <c r="F17" s="695">
        <v>872041691</v>
      </c>
      <c r="G17" s="696"/>
      <c r="H17" s="695">
        <f>+D17+F17</f>
        <v>6783199673</v>
      </c>
      <c r="I17" s="734"/>
      <c r="J17" s="734"/>
      <c r="K17" s="290"/>
      <c r="L17" s="290"/>
      <c r="M17" s="290"/>
    </row>
    <row r="18" spans="1:13" ht="13.5" customHeight="1" x14ac:dyDescent="0.25">
      <c r="A18" s="737"/>
      <c r="B18" s="746"/>
      <c r="C18" s="747"/>
      <c r="D18" s="697"/>
      <c r="E18" s="696"/>
      <c r="F18" s="697"/>
      <c r="G18" s="696"/>
      <c r="H18" s="697"/>
      <c r="I18" s="734"/>
      <c r="J18" s="734"/>
      <c r="K18" s="290"/>
      <c r="L18" s="290"/>
      <c r="M18" s="290"/>
    </row>
    <row r="19" spans="1:13" ht="21" customHeight="1" x14ac:dyDescent="0.25">
      <c r="A19" s="745">
        <v>2</v>
      </c>
      <c r="B19" s="746" t="s">
        <v>124</v>
      </c>
      <c r="C19" s="747"/>
      <c r="D19" s="697"/>
      <c r="E19" s="696"/>
      <c r="F19" s="697"/>
      <c r="G19" s="696"/>
      <c r="H19" s="697"/>
      <c r="I19" s="734"/>
      <c r="J19" s="734"/>
      <c r="K19" s="290"/>
      <c r="L19" s="290"/>
      <c r="M19" s="290"/>
    </row>
    <row r="20" spans="1:13" ht="21" customHeight="1" x14ac:dyDescent="0.25">
      <c r="A20" s="745">
        <v>3</v>
      </c>
      <c r="B20" s="746" t="s">
        <v>130</v>
      </c>
      <c r="C20" s="747"/>
      <c r="D20" s="697">
        <v>2080817095</v>
      </c>
      <c r="E20" s="696"/>
      <c r="F20" s="697">
        <v>314220678</v>
      </c>
      <c r="G20" s="696"/>
      <c r="H20" s="697">
        <f>+D20+F20</f>
        <v>2395037773</v>
      </c>
      <c r="I20" s="734"/>
      <c r="J20" s="734"/>
      <c r="K20" s="290"/>
      <c r="L20" s="290"/>
      <c r="M20" s="290"/>
    </row>
    <row r="21" spans="1:13" ht="13.5" customHeight="1" x14ac:dyDescent="0.25">
      <c r="A21" s="745"/>
      <c r="B21" s="746"/>
      <c r="C21" s="747"/>
      <c r="D21" s="697"/>
      <c r="E21" s="696"/>
      <c r="F21" s="697"/>
      <c r="G21" s="696"/>
      <c r="H21" s="697"/>
      <c r="I21" s="734"/>
      <c r="J21" s="734"/>
      <c r="K21" s="290"/>
      <c r="L21" s="290"/>
      <c r="M21" s="290"/>
    </row>
    <row r="22" spans="1:13" ht="21" customHeight="1" x14ac:dyDescent="0.25">
      <c r="A22" s="745">
        <v>4</v>
      </c>
      <c r="B22" s="746" t="s">
        <v>131</v>
      </c>
      <c r="C22" s="747"/>
      <c r="D22" s="698">
        <f>+D17-D20</f>
        <v>3830340887</v>
      </c>
      <c r="E22" s="696"/>
      <c r="F22" s="698">
        <f>+F17-F20</f>
        <v>557821013</v>
      </c>
      <c r="G22" s="696"/>
      <c r="H22" s="698">
        <f>+H17-H20</f>
        <v>4388161900</v>
      </c>
      <c r="I22" s="734"/>
      <c r="J22" s="734"/>
      <c r="K22" s="290"/>
      <c r="L22" s="290"/>
      <c r="M22" s="290"/>
    </row>
    <row r="23" spans="1:13" ht="13.5" customHeight="1" x14ac:dyDescent="0.25">
      <c r="A23" s="745"/>
      <c r="B23" s="746"/>
      <c r="C23" s="747"/>
      <c r="D23" s="697"/>
      <c r="E23" s="696"/>
      <c r="F23" s="697"/>
      <c r="G23" s="696"/>
      <c r="H23" s="697"/>
      <c r="I23" s="734"/>
      <c r="J23" s="734"/>
      <c r="K23" s="290"/>
      <c r="L23" s="290"/>
      <c r="M23" s="290"/>
    </row>
    <row r="24" spans="1:13" ht="21" customHeight="1" x14ac:dyDescent="0.25">
      <c r="A24" s="745">
        <v>5</v>
      </c>
      <c r="B24" s="746" t="s">
        <v>124</v>
      </c>
      <c r="C24" s="747"/>
      <c r="D24" s="697"/>
      <c r="E24" s="696"/>
      <c r="F24" s="697"/>
      <c r="G24" s="696"/>
      <c r="H24" s="697"/>
      <c r="I24" s="734"/>
      <c r="J24" s="734"/>
      <c r="K24" s="290"/>
      <c r="L24" s="290"/>
      <c r="M24" s="290"/>
    </row>
    <row r="25" spans="1:13" ht="21" customHeight="1" x14ac:dyDescent="0.25">
      <c r="A25" s="745">
        <v>6</v>
      </c>
      <c r="B25" s="746" t="s">
        <v>132</v>
      </c>
      <c r="C25" s="747"/>
      <c r="D25" s="697">
        <v>2998149</v>
      </c>
      <c r="E25" s="696"/>
      <c r="F25" s="697">
        <v>157790</v>
      </c>
      <c r="G25" s="696"/>
      <c r="H25" s="697">
        <f>+D25+F25</f>
        <v>3155939</v>
      </c>
      <c r="I25" s="734"/>
      <c r="J25" s="734"/>
      <c r="K25" s="290"/>
      <c r="L25" s="290"/>
      <c r="M25" s="290"/>
    </row>
    <row r="26" spans="1:13" ht="21" customHeight="1" x14ac:dyDescent="0.25">
      <c r="A26" s="745">
        <v>7</v>
      </c>
      <c r="B26" s="746" t="s">
        <v>133</v>
      </c>
      <c r="C26" s="747"/>
      <c r="D26" s="697">
        <v>416040136</v>
      </c>
      <c r="E26" s="696"/>
      <c r="F26" s="697">
        <v>59901626</v>
      </c>
      <c r="G26" s="696"/>
      <c r="H26" s="697">
        <f>+D26+F26</f>
        <v>475941762</v>
      </c>
      <c r="I26" s="734"/>
      <c r="J26" s="734"/>
      <c r="K26" s="290"/>
      <c r="L26" s="290"/>
      <c r="M26" s="290"/>
    </row>
    <row r="27" spans="1:13" ht="21" customHeight="1" x14ac:dyDescent="0.25">
      <c r="A27" s="745">
        <v>8</v>
      </c>
      <c r="B27" s="748" t="s">
        <v>599</v>
      </c>
      <c r="C27" s="747"/>
      <c r="D27" s="697">
        <v>47120453.2601</v>
      </c>
      <c r="E27" s="696"/>
      <c r="F27" s="697">
        <v>7247836.7399000004</v>
      </c>
      <c r="G27" s="696"/>
      <c r="H27" s="697">
        <f>+D27+F27</f>
        <v>54368290</v>
      </c>
      <c r="I27" s="734"/>
      <c r="J27" s="700"/>
    </row>
    <row r="28" spans="1:13" ht="21" customHeight="1" x14ac:dyDescent="0.25">
      <c r="A28" s="745">
        <v>9</v>
      </c>
      <c r="B28" s="748" t="s">
        <v>600</v>
      </c>
      <c r="C28" s="747"/>
      <c r="D28" s="697">
        <v>3062534.0506199999</v>
      </c>
      <c r="E28" s="696"/>
      <c r="F28" s="697">
        <v>471063.94938000012</v>
      </c>
      <c r="G28" s="696"/>
      <c r="H28" s="697">
        <f>+D28+F28</f>
        <v>3533598</v>
      </c>
      <c r="I28" s="734"/>
      <c r="J28" s="700"/>
    </row>
    <row r="29" spans="1:13" ht="21" customHeight="1" x14ac:dyDescent="0.25">
      <c r="A29" s="745">
        <v>10</v>
      </c>
      <c r="B29" s="736" t="s">
        <v>134</v>
      </c>
      <c r="C29" s="747"/>
      <c r="D29" s="697">
        <v>87006521</v>
      </c>
      <c r="E29" s="696"/>
      <c r="F29" s="697">
        <v>14401246</v>
      </c>
      <c r="G29" s="696"/>
      <c r="H29" s="697">
        <f>+D29+F29</f>
        <v>101407767</v>
      </c>
      <c r="I29" s="734"/>
      <c r="J29" s="734"/>
    </row>
    <row r="30" spans="1:13" ht="12" customHeight="1" x14ac:dyDescent="0.25">
      <c r="A30" s="745"/>
      <c r="B30" s="746"/>
      <c r="C30" s="747"/>
      <c r="D30" s="696"/>
      <c r="E30" s="696"/>
      <c r="F30" s="696"/>
      <c r="G30" s="696"/>
      <c r="H30" s="696"/>
      <c r="I30" s="734"/>
      <c r="J30" s="734"/>
    </row>
    <row r="31" spans="1:13" ht="21" customHeight="1" x14ac:dyDescent="0.25">
      <c r="A31" s="745">
        <v>11</v>
      </c>
      <c r="B31" s="746" t="s">
        <v>125</v>
      </c>
      <c r="C31" s="747"/>
      <c r="D31" s="698">
        <f>SUM(D25:D30)</f>
        <v>556227793.31071997</v>
      </c>
      <c r="E31" s="696"/>
      <c r="F31" s="698">
        <f>SUM(F25:F30)</f>
        <v>82179562.689279988</v>
      </c>
      <c r="G31" s="696"/>
      <c r="H31" s="698">
        <f>SUM(H25:H30)</f>
        <v>638407356</v>
      </c>
      <c r="I31" s="734"/>
      <c r="J31" s="734"/>
    </row>
    <row r="32" spans="1:13" ht="13.5" customHeight="1" x14ac:dyDescent="0.25">
      <c r="A32" s="737"/>
      <c r="B32" s="746"/>
      <c r="C32" s="747"/>
      <c r="D32" s="697"/>
      <c r="E32" s="696"/>
      <c r="F32" s="697"/>
      <c r="G32" s="696"/>
      <c r="H32" s="697"/>
      <c r="I32" s="734"/>
      <c r="J32" s="734"/>
    </row>
    <row r="33" spans="1:10" s="71" customFormat="1" ht="21" customHeight="1" x14ac:dyDescent="0.25">
      <c r="A33" s="737">
        <v>12</v>
      </c>
      <c r="B33" s="746" t="s">
        <v>135</v>
      </c>
      <c r="C33" s="747"/>
      <c r="D33" s="697"/>
      <c r="E33" s="696"/>
      <c r="F33" s="697"/>
      <c r="G33" s="696"/>
      <c r="H33" s="697"/>
    </row>
    <row r="34" spans="1:10" s="71" customFormat="1" ht="21" customHeight="1" x14ac:dyDescent="0.25">
      <c r="A34" s="745">
        <v>13</v>
      </c>
      <c r="B34" s="736" t="s">
        <v>136</v>
      </c>
      <c r="C34" s="747"/>
      <c r="D34" s="697">
        <v>115624987</v>
      </c>
      <c r="E34" s="696"/>
      <c r="F34" s="697">
        <v>17611966</v>
      </c>
      <c r="G34" s="696"/>
      <c r="H34" s="697">
        <f>+D34+F34</f>
        <v>133236953</v>
      </c>
    </row>
    <row r="35" spans="1:10" s="71" customFormat="1" ht="21" customHeight="1" x14ac:dyDescent="0.25">
      <c r="A35" s="745">
        <v>14</v>
      </c>
      <c r="B35" s="736" t="s">
        <v>137</v>
      </c>
      <c r="C35" s="747"/>
      <c r="D35" s="697">
        <v>6956836</v>
      </c>
      <c r="E35" s="696"/>
      <c r="F35" s="697">
        <v>810868</v>
      </c>
      <c r="G35" s="696"/>
      <c r="H35" s="697">
        <f>+D35+F35</f>
        <v>7767704</v>
      </c>
    </row>
    <row r="36" spans="1:10" s="71" customFormat="1" ht="21" customHeight="1" x14ac:dyDescent="0.25">
      <c r="A36" s="745">
        <v>15</v>
      </c>
      <c r="B36" s="746" t="s">
        <v>601</v>
      </c>
      <c r="C36" s="747"/>
      <c r="D36" s="697">
        <v>442484</v>
      </c>
      <c r="E36" s="696"/>
      <c r="F36" s="697">
        <v>68059</v>
      </c>
      <c r="G36" s="696"/>
      <c r="H36" s="697">
        <f>+D36+F36</f>
        <v>510543</v>
      </c>
    </row>
    <row r="37" spans="1:10" s="71" customFormat="1" ht="21" customHeight="1" x14ac:dyDescent="0.25">
      <c r="A37" s="745">
        <v>16</v>
      </c>
      <c r="B37" s="736" t="s">
        <v>139</v>
      </c>
      <c r="C37" s="747"/>
      <c r="D37" s="697">
        <v>95623543</v>
      </c>
      <c r="E37" s="696"/>
      <c r="F37" s="697">
        <v>7917443</v>
      </c>
      <c r="G37" s="696"/>
      <c r="H37" s="697">
        <f>+D37+F37</f>
        <v>103540986</v>
      </c>
    </row>
    <row r="38" spans="1:10" s="71" customFormat="1" ht="13.5" customHeight="1" x14ac:dyDescent="0.25">
      <c r="A38" s="745"/>
      <c r="B38" s="746"/>
      <c r="C38" s="747"/>
      <c r="D38" s="696"/>
      <c r="E38" s="696"/>
      <c r="F38" s="696"/>
      <c r="G38" s="696"/>
      <c r="H38" s="696"/>
    </row>
    <row r="39" spans="1:10" s="71" customFormat="1" ht="21" customHeight="1" x14ac:dyDescent="0.25">
      <c r="A39" s="745">
        <v>17</v>
      </c>
      <c r="B39" s="748" t="s">
        <v>140</v>
      </c>
      <c r="C39" s="747"/>
      <c r="D39" s="698">
        <f>SUM(D34:D38)</f>
        <v>218647850</v>
      </c>
      <c r="E39" s="696"/>
      <c r="F39" s="698">
        <f>SUM(F34:F38)</f>
        <v>26408336</v>
      </c>
      <c r="G39" s="696"/>
      <c r="H39" s="698">
        <f>SUM(H34:H38)</f>
        <v>245056186</v>
      </c>
    </row>
    <row r="40" spans="1:10" s="71" customFormat="1" ht="13.5" customHeight="1" x14ac:dyDescent="0.25">
      <c r="A40" s="745"/>
      <c r="B40" s="746"/>
      <c r="C40" s="747"/>
      <c r="D40" s="697"/>
      <c r="E40" s="696"/>
      <c r="F40" s="697"/>
      <c r="G40" s="696"/>
      <c r="H40" s="697"/>
    </row>
    <row r="41" spans="1:10" s="71" customFormat="1" ht="21" customHeight="1" thickBot="1" x14ac:dyDescent="0.3">
      <c r="A41" s="745">
        <v>18</v>
      </c>
      <c r="B41" s="736" t="s">
        <v>141</v>
      </c>
      <c r="C41" s="747"/>
      <c r="D41" s="703">
        <f>D22-D31+D39</f>
        <v>3492760943.68928</v>
      </c>
      <c r="E41" s="704"/>
      <c r="F41" s="703">
        <f>F22-F31+F39</f>
        <v>502049786.31072003</v>
      </c>
      <c r="G41" s="704"/>
      <c r="H41" s="703">
        <f>H22-H31+H39</f>
        <v>3994810730</v>
      </c>
    </row>
    <row r="42" spans="1:10" s="71" customFormat="1" ht="13.5" customHeight="1" thickTop="1" x14ac:dyDescent="0.25">
      <c r="A42" s="745"/>
      <c r="B42" s="746"/>
      <c r="C42" s="747"/>
      <c r="D42" s="697"/>
      <c r="E42" s="696"/>
      <c r="F42" s="697"/>
      <c r="G42" s="696"/>
      <c r="H42" s="697"/>
    </row>
    <row r="43" spans="1:10" s="71" customFormat="1" ht="15.75" customHeight="1" x14ac:dyDescent="0.25">
      <c r="A43" s="745"/>
      <c r="B43" s="734"/>
      <c r="C43" s="747"/>
      <c r="D43" s="697"/>
      <c r="E43" s="696"/>
      <c r="F43" s="697"/>
      <c r="G43" s="696"/>
      <c r="H43" s="697"/>
    </row>
    <row r="44" spans="1:10" s="71" customFormat="1" ht="21" customHeight="1" thickBot="1" x14ac:dyDescent="0.3">
      <c r="A44" s="749">
        <v>19</v>
      </c>
      <c r="B44" s="736" t="s">
        <v>142</v>
      </c>
      <c r="C44" s="743"/>
      <c r="D44" s="705">
        <f>ROUND(D41/$H41,4)</f>
        <v>0.87429999999999997</v>
      </c>
      <c r="E44" s="559"/>
      <c r="F44" s="705">
        <f>ROUND(F41/$H41,4)</f>
        <v>0.12570000000000001</v>
      </c>
      <c r="G44" s="559"/>
      <c r="H44" s="705">
        <f>ROUND(H41/$H41,4)</f>
        <v>1</v>
      </c>
    </row>
    <row r="45" spans="1:10" s="71" customFormat="1" ht="18.95" customHeight="1" thickTop="1" x14ac:dyDescent="0.25">
      <c r="A45" s="743"/>
      <c r="B45" s="734"/>
      <c r="C45" s="743"/>
      <c r="D45" s="734"/>
      <c r="E45" s="743"/>
      <c r="F45" s="734"/>
      <c r="G45" s="743"/>
      <c r="H45" s="734"/>
    </row>
    <row r="46" spans="1:10" s="26" customFormat="1" ht="21" customHeight="1" x14ac:dyDescent="0.25">
      <c r="A46" s="38">
        <f>A44+1</f>
        <v>20</v>
      </c>
      <c r="B46" s="39" t="s">
        <v>43</v>
      </c>
      <c r="C46" s="40"/>
      <c r="D46" s="41">
        <v>219338640</v>
      </c>
      <c r="E46" s="47"/>
      <c r="F46" s="41">
        <f>H46-D46</f>
        <v>23251548.230000019</v>
      </c>
      <c r="G46" s="42"/>
      <c r="H46" s="41">
        <f>'2011 IS'!C35</f>
        <v>242590188.23000002</v>
      </c>
      <c r="I46" s="29"/>
      <c r="J46" s="719"/>
    </row>
    <row r="47" spans="1:10" s="26" customFormat="1" ht="18.95" customHeight="1" thickBot="1" x14ac:dyDescent="0.3">
      <c r="D47" s="53"/>
      <c r="I47" s="29"/>
    </row>
    <row r="48" spans="1:10" s="26" customFormat="1" ht="18.95" customHeight="1" thickBot="1" x14ac:dyDescent="0.3">
      <c r="A48" s="52">
        <f>A46+1</f>
        <v>21</v>
      </c>
      <c r="B48" s="26" t="s">
        <v>81</v>
      </c>
      <c r="D48" s="762">
        <f>ROUND(D46/D41,4)</f>
        <v>6.2799999999999995E-2</v>
      </c>
      <c r="F48" s="779">
        <f>ROUND(F46/F41,4)</f>
        <v>4.6300000000000001E-2</v>
      </c>
      <c r="H48" s="762">
        <f>ROUND(H46/H41,4)</f>
        <v>6.0699999999999997E-2</v>
      </c>
      <c r="I48" s="29"/>
    </row>
    <row r="49" spans="1:8" s="71" customFormat="1" ht="18.95" customHeight="1" x14ac:dyDescent="0.25">
      <c r="A49" s="743"/>
      <c r="B49" s="734"/>
      <c r="C49" s="743"/>
      <c r="D49" s="734"/>
      <c r="E49" s="743"/>
      <c r="F49" s="734"/>
      <c r="G49" s="743"/>
      <c r="H49" s="734"/>
    </row>
    <row r="50" spans="1:8" s="71" customFormat="1" ht="21" customHeight="1" x14ac:dyDescent="0.25">
      <c r="A50" s="732" t="s">
        <v>3</v>
      </c>
      <c r="B50" s="736" t="s">
        <v>143</v>
      </c>
      <c r="C50" s="743"/>
      <c r="D50" s="734"/>
      <c r="E50" s="743"/>
      <c r="F50" s="734"/>
      <c r="G50" s="743"/>
      <c r="H50" s="734"/>
    </row>
    <row r="51" spans="1:8" s="71" customFormat="1" ht="18.95" customHeight="1" x14ac:dyDescent="0.25">
      <c r="A51" s="759" t="s">
        <v>144</v>
      </c>
      <c r="B51" s="735" t="s">
        <v>145</v>
      </c>
      <c r="C51" s="743"/>
      <c r="D51" s="734"/>
      <c r="E51" s="743"/>
      <c r="F51" s="734"/>
      <c r="G51" s="743"/>
      <c r="H51" s="734"/>
    </row>
    <row r="52" spans="1:8" s="71" customFormat="1" ht="18.95" customHeight="1" x14ac:dyDescent="0.25">
      <c r="A52" s="759" t="s">
        <v>146</v>
      </c>
      <c r="B52" s="743" t="s">
        <v>602</v>
      </c>
      <c r="C52" s="743"/>
      <c r="D52" s="734"/>
      <c r="E52" s="743"/>
      <c r="F52" s="734"/>
      <c r="G52" s="743"/>
      <c r="H52" s="734"/>
    </row>
    <row r="53" spans="1:8" s="71" customFormat="1" ht="18.95" customHeight="1" x14ac:dyDescent="0.25">
      <c r="A53" s="72"/>
      <c r="B53" s="72"/>
      <c r="C53" s="72"/>
      <c r="D53" s="72"/>
      <c r="E53" s="72"/>
      <c r="F53" s="72"/>
      <c r="G53" s="72"/>
      <c r="H53" s="72"/>
    </row>
    <row r="54" spans="1:8" s="71" customFormat="1" ht="18.95" customHeight="1" x14ac:dyDescent="0.25">
      <c r="A54" s="734"/>
      <c r="B54" s="734"/>
      <c r="C54" s="734"/>
      <c r="D54" s="734"/>
      <c r="E54" s="734"/>
      <c r="F54" s="734"/>
      <c r="G54" s="734"/>
      <c r="H54" s="756"/>
    </row>
    <row r="55" spans="1:8" s="71" customFormat="1" ht="18.95" customHeight="1" x14ac:dyDescent="0.25">
      <c r="A55" s="734"/>
      <c r="B55" s="734"/>
      <c r="C55" s="734"/>
      <c r="D55" s="734"/>
      <c r="E55" s="734"/>
      <c r="F55" s="734"/>
      <c r="G55" s="734"/>
      <c r="H55" s="744"/>
    </row>
    <row r="56" spans="1:8" s="71" customFormat="1" ht="18.95" customHeight="1" x14ac:dyDescent="0.25">
      <c r="A56" s="734"/>
      <c r="B56" s="734"/>
      <c r="C56" s="734"/>
      <c r="D56" s="734"/>
      <c r="E56" s="734"/>
      <c r="F56" s="734"/>
      <c r="G56" s="734"/>
      <c r="H56" s="744"/>
    </row>
    <row r="57" spans="1:8" s="71" customFormat="1" x14ac:dyDescent="0.25">
      <c r="A57" s="842" t="s">
        <v>126</v>
      </c>
      <c r="B57" s="842"/>
      <c r="C57" s="842"/>
      <c r="D57" s="842"/>
      <c r="E57" s="842"/>
      <c r="F57" s="842"/>
      <c r="G57" s="842"/>
      <c r="H57" s="842"/>
    </row>
    <row r="58" spans="1:8" s="71" customFormat="1" x14ac:dyDescent="0.25">
      <c r="A58" s="558"/>
      <c r="B58" s="72"/>
      <c r="C58" s="733"/>
      <c r="D58" s="72"/>
      <c r="E58" s="733"/>
      <c r="F58" s="72"/>
      <c r="G58" s="72"/>
      <c r="H58" s="731"/>
    </row>
    <row r="59" spans="1:8" s="71" customFormat="1" x14ac:dyDescent="0.25">
      <c r="A59" s="843" t="s">
        <v>148</v>
      </c>
      <c r="B59" s="843"/>
      <c r="C59" s="843"/>
      <c r="D59" s="843"/>
      <c r="E59" s="843"/>
      <c r="F59" s="843"/>
      <c r="G59" s="843"/>
      <c r="H59" s="843"/>
    </row>
    <row r="60" spans="1:8" s="71" customFormat="1" x14ac:dyDescent="0.25">
      <c r="A60" s="841" t="s">
        <v>738</v>
      </c>
      <c r="B60" s="841"/>
      <c r="C60" s="841"/>
      <c r="D60" s="841"/>
      <c r="E60" s="841"/>
      <c r="F60" s="841"/>
      <c r="G60" s="841"/>
      <c r="H60" s="841"/>
    </row>
    <row r="61" spans="1:8" x14ac:dyDescent="0.25">
      <c r="A61" s="841"/>
      <c r="B61" s="841"/>
      <c r="C61" s="841"/>
      <c r="D61" s="841"/>
      <c r="E61" s="841"/>
      <c r="F61" s="841"/>
      <c r="G61" s="841"/>
      <c r="H61" s="841"/>
    </row>
    <row r="62" spans="1:8" s="71" customFormat="1" x14ac:dyDescent="0.25">
      <c r="A62" s="737"/>
      <c r="B62" s="734"/>
      <c r="C62" s="734"/>
      <c r="D62" s="734"/>
      <c r="E62" s="734"/>
      <c r="F62" s="734"/>
      <c r="G62" s="734"/>
      <c r="H62" s="734"/>
    </row>
    <row r="63" spans="1:8" s="71" customFormat="1" x14ac:dyDescent="0.25">
      <c r="A63" s="737"/>
      <c r="B63" s="738"/>
      <c r="C63" s="739"/>
      <c r="D63" s="738"/>
      <c r="E63" s="739"/>
      <c r="F63" s="738"/>
      <c r="G63" s="739"/>
      <c r="H63" s="738"/>
    </row>
    <row r="64" spans="1:8" s="71" customFormat="1" x14ac:dyDescent="0.25">
      <c r="A64" s="737"/>
      <c r="B64" s="734"/>
      <c r="C64" s="734"/>
      <c r="D64" s="734"/>
      <c r="E64" s="739"/>
      <c r="F64" s="734"/>
      <c r="G64" s="739"/>
      <c r="H64" s="734"/>
    </row>
    <row r="65" spans="1:8" s="71" customFormat="1" x14ac:dyDescent="0.25">
      <c r="A65" s="737"/>
      <c r="B65" s="738"/>
      <c r="C65" s="739"/>
      <c r="D65" s="740" t="s">
        <v>5</v>
      </c>
      <c r="E65" s="739"/>
      <c r="F65" s="740" t="s">
        <v>6</v>
      </c>
      <c r="G65" s="739"/>
      <c r="H65" s="740" t="s">
        <v>16</v>
      </c>
    </row>
    <row r="66" spans="1:8" s="71" customFormat="1" x14ac:dyDescent="0.25">
      <c r="A66" s="737"/>
      <c r="B66" s="738"/>
      <c r="C66" s="739"/>
      <c r="D66" s="740" t="s">
        <v>45</v>
      </c>
      <c r="E66" s="739"/>
      <c r="F66" s="740" t="s">
        <v>45</v>
      </c>
      <c r="G66" s="739"/>
      <c r="H66" s="740" t="s">
        <v>17</v>
      </c>
    </row>
    <row r="67" spans="1:8" s="71" customFormat="1" x14ac:dyDescent="0.25">
      <c r="A67" s="737"/>
      <c r="B67" s="738" t="s">
        <v>128</v>
      </c>
      <c r="C67" s="739"/>
      <c r="D67" s="740" t="s">
        <v>28</v>
      </c>
      <c r="E67" s="739"/>
      <c r="F67" s="740" t="s">
        <v>28</v>
      </c>
      <c r="G67" s="739"/>
      <c r="H67" s="740" t="s">
        <v>28</v>
      </c>
    </row>
    <row r="68" spans="1:8" s="71" customFormat="1" x14ac:dyDescent="0.25">
      <c r="A68" s="737"/>
      <c r="B68" s="741">
        <v>-1</v>
      </c>
      <c r="C68" s="739"/>
      <c r="D68" s="742">
        <v>-2</v>
      </c>
      <c r="E68" s="739"/>
      <c r="F68" s="741">
        <v>-3</v>
      </c>
      <c r="G68" s="739"/>
      <c r="H68" s="741">
        <v>-4</v>
      </c>
    </row>
    <row r="69" spans="1:8" s="71" customFormat="1" x14ac:dyDescent="0.25">
      <c r="A69" s="737"/>
      <c r="B69" s="738"/>
      <c r="C69" s="739"/>
      <c r="D69" s="738"/>
      <c r="E69" s="739"/>
      <c r="F69" s="738"/>
      <c r="G69" s="739"/>
      <c r="H69" s="738"/>
    </row>
    <row r="70" spans="1:8" s="71" customFormat="1" x14ac:dyDescent="0.25">
      <c r="A70" s="750" t="s">
        <v>149</v>
      </c>
      <c r="B70" s="735" t="s">
        <v>150</v>
      </c>
      <c r="C70" s="734"/>
      <c r="D70" s="734"/>
      <c r="E70" s="734"/>
      <c r="F70" s="734"/>
      <c r="G70" s="734"/>
      <c r="H70" s="734"/>
    </row>
    <row r="71" spans="1:8" s="71" customFormat="1" x14ac:dyDescent="0.25">
      <c r="A71" s="750"/>
      <c r="B71" s="736" t="s">
        <v>739</v>
      </c>
      <c r="C71" s="734"/>
      <c r="D71" s="695">
        <v>859662729</v>
      </c>
      <c r="E71" s="704"/>
      <c r="F71" s="695">
        <v>101912920</v>
      </c>
      <c r="G71" s="734"/>
      <c r="H71" s="695">
        <v>961575649</v>
      </c>
    </row>
    <row r="72" spans="1:8" s="71" customFormat="1" x14ac:dyDescent="0.25">
      <c r="A72" s="750"/>
      <c r="B72" s="735"/>
      <c r="C72" s="734"/>
      <c r="D72" s="734"/>
      <c r="E72" s="734"/>
      <c r="F72" s="734"/>
      <c r="G72" s="734"/>
      <c r="H72" s="734"/>
    </row>
    <row r="73" spans="1:8" s="71" customFormat="1" ht="21" customHeight="1" x14ac:dyDescent="0.25">
      <c r="A73" s="751" t="s">
        <v>151</v>
      </c>
      <c r="B73" s="735" t="s">
        <v>124</v>
      </c>
      <c r="C73" s="734"/>
      <c r="D73" s="734"/>
      <c r="E73" s="734"/>
      <c r="F73" s="734"/>
      <c r="G73" s="734"/>
      <c r="H73" s="734"/>
    </row>
    <row r="74" spans="1:8" s="71" customFormat="1" ht="21" customHeight="1" x14ac:dyDescent="0.25">
      <c r="A74" s="751" t="s">
        <v>152</v>
      </c>
      <c r="B74" s="585" t="s">
        <v>153</v>
      </c>
      <c r="C74" s="734"/>
      <c r="D74" s="709">
        <v>94674385</v>
      </c>
      <c r="E74" s="696"/>
      <c r="F74" s="709">
        <v>14440563</v>
      </c>
      <c r="G74" s="697"/>
      <c r="H74" s="709">
        <v>109114948</v>
      </c>
    </row>
    <row r="75" spans="1:8" s="71" customFormat="1" ht="15" customHeight="1" x14ac:dyDescent="0.25">
      <c r="A75" s="751" t="s">
        <v>154</v>
      </c>
      <c r="B75" s="752" t="s">
        <v>155</v>
      </c>
      <c r="C75" s="734"/>
      <c r="D75" s="695">
        <v>94674385</v>
      </c>
      <c r="E75" s="734"/>
      <c r="F75" s="695">
        <v>14440563</v>
      </c>
      <c r="G75" s="734"/>
      <c r="H75" s="695">
        <v>109114948</v>
      </c>
    </row>
    <row r="76" spans="1:8" s="71" customFormat="1" ht="21" customHeight="1" x14ac:dyDescent="0.25">
      <c r="A76" s="751"/>
      <c r="B76" s="753"/>
      <c r="C76" s="734"/>
      <c r="D76" s="754"/>
      <c r="E76" s="734"/>
      <c r="F76" s="754"/>
      <c r="G76" s="734"/>
      <c r="H76" s="754"/>
    </row>
    <row r="77" spans="1:8" s="71" customFormat="1" ht="21" customHeight="1" thickBot="1" x14ac:dyDescent="0.3">
      <c r="A77" s="751" t="s">
        <v>156</v>
      </c>
      <c r="B77" s="757" t="s">
        <v>157</v>
      </c>
      <c r="C77" s="734"/>
      <c r="D77" s="703">
        <v>764988344</v>
      </c>
      <c r="E77" s="734"/>
      <c r="F77" s="703">
        <v>87472357</v>
      </c>
      <c r="G77" s="734"/>
      <c r="H77" s="703">
        <v>852460701</v>
      </c>
    </row>
    <row r="78" spans="1:8" s="71" customFormat="1" ht="21" customHeight="1" thickTop="1" x14ac:dyDescent="0.25">
      <c r="A78" s="751"/>
      <c r="B78" s="753"/>
      <c r="C78" s="734"/>
      <c r="D78" s="734"/>
      <c r="E78" s="734"/>
      <c r="F78" s="734"/>
      <c r="G78" s="734"/>
      <c r="H78" s="734"/>
    </row>
    <row r="79" spans="1:8" s="71" customFormat="1" ht="13.5" customHeight="1" thickBot="1" x14ac:dyDescent="0.3">
      <c r="A79" s="751" t="s">
        <v>158</v>
      </c>
      <c r="B79" s="753" t="s">
        <v>159</v>
      </c>
      <c r="C79" s="734"/>
      <c r="D79" s="713">
        <v>95623543</v>
      </c>
      <c r="E79" s="753"/>
      <c r="F79" s="714">
        <v>7917443</v>
      </c>
      <c r="G79" s="753"/>
      <c r="H79" s="713">
        <v>103540986</v>
      </c>
    </row>
    <row r="80" spans="1:8" s="71" customFormat="1" ht="21" customHeight="1" thickTop="1" x14ac:dyDescent="0.25">
      <c r="A80" s="734"/>
      <c r="B80" s="753" t="s">
        <v>160</v>
      </c>
      <c r="C80" s="734"/>
      <c r="D80" s="734"/>
      <c r="E80" s="734"/>
      <c r="F80" s="734"/>
      <c r="G80" s="734"/>
      <c r="H80" s="734"/>
    </row>
    <row r="81" spans="1:8" s="71" customFormat="1" ht="15" customHeight="1" x14ac:dyDescent="0.25">
      <c r="A81" s="734"/>
      <c r="B81" s="753" t="s">
        <v>161</v>
      </c>
      <c r="C81" s="734"/>
      <c r="D81" s="734"/>
      <c r="E81" s="734"/>
      <c r="F81" s="734"/>
      <c r="G81" s="734"/>
      <c r="H81" s="734"/>
    </row>
    <row r="82" spans="1:8" s="71" customFormat="1" ht="21" customHeight="1" x14ac:dyDescent="0.25">
      <c r="A82" s="734"/>
      <c r="B82" s="743" t="s">
        <v>162</v>
      </c>
      <c r="C82" s="734"/>
      <c r="D82" s="734"/>
      <c r="E82" s="734"/>
      <c r="F82" s="734"/>
      <c r="G82" s="734"/>
      <c r="H82" s="734"/>
    </row>
    <row r="83" spans="1:8" s="71" customFormat="1" ht="21" customHeight="1" x14ac:dyDescent="0.25">
      <c r="A83" s="758"/>
      <c r="B83" s="730"/>
      <c r="C83" s="733"/>
      <c r="D83" s="729"/>
      <c r="E83" s="730"/>
      <c r="F83" s="729"/>
      <c r="G83" s="730"/>
      <c r="H83" s="729"/>
    </row>
    <row r="84" spans="1:8" s="71" customFormat="1" ht="18.95" customHeight="1" x14ac:dyDescent="0.25">
      <c r="A84" s="558"/>
      <c r="B84" s="730" t="s">
        <v>160</v>
      </c>
      <c r="C84" s="733"/>
      <c r="D84" s="72"/>
      <c r="E84" s="733"/>
      <c r="F84" s="728"/>
      <c r="G84" s="72"/>
      <c r="H84" s="72"/>
    </row>
    <row r="85" spans="1:8" ht="18.95" customHeight="1" x14ac:dyDescent="0.25">
      <c r="B85" s="730" t="s">
        <v>161</v>
      </c>
      <c r="G85" s="72"/>
    </row>
    <row r="86" spans="1:8" ht="18.95" customHeight="1" x14ac:dyDescent="0.25">
      <c r="B86" s="72" t="s">
        <v>162</v>
      </c>
      <c r="G86" s="72"/>
    </row>
  </sheetData>
  <mergeCells count="8">
    <mergeCell ref="A61:H61"/>
    <mergeCell ref="A57:H57"/>
    <mergeCell ref="A59:H59"/>
    <mergeCell ref="A60:H60"/>
    <mergeCell ref="A4:H4"/>
    <mergeCell ref="A6:H6"/>
    <mergeCell ref="A7:H7"/>
    <mergeCell ref="A8:H8"/>
  </mergeCells>
  <printOptions horizontalCentered="1"/>
  <pageMargins left="0.65" right="0.72" top="0.75" bottom="0.5" header="0.75" footer="0.25"/>
  <pageSetup scale="61" orientation="portrait" r:id="rId1"/>
  <headerFooter alignWithMargins="0">
    <oddHeader>&amp;R&amp;"Times New Roman,Bold"&amp;14Attachment to Response to Question No. 38
Page &amp;P of &amp;N
Blake</oddHeader>
  </headerFooter>
  <rowBreaks count="1" manualBreakCount="1">
    <brk id="5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M84"/>
  <sheetViews>
    <sheetView showGridLines="0" tabSelected="1" zoomScaleNormal="100" zoomScaleSheetLayoutView="65" workbookViewId="0">
      <pane xSplit="3" ySplit="15" topLeftCell="D68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10.28515625" defaultRowHeight="15.75" x14ac:dyDescent="0.25"/>
  <cols>
    <col min="1" max="1" width="4.85546875" style="558" bestFit="1" customWidth="1"/>
    <col min="2" max="2" width="60.5703125" style="72" customWidth="1"/>
    <col min="3" max="3" width="1.85546875" style="733" customWidth="1"/>
    <col min="4" max="4" width="19" style="72" customWidth="1"/>
    <col min="5" max="5" width="1.85546875" style="733" customWidth="1"/>
    <col min="6" max="6" width="19" style="72" customWidth="1"/>
    <col min="7" max="7" width="1.85546875" style="733" customWidth="1"/>
    <col min="8" max="8" width="19" style="72" customWidth="1"/>
    <col min="9" max="9" width="10.5703125" style="71" bestFit="1" customWidth="1"/>
    <col min="10" max="10" width="13.42578125" style="72" bestFit="1" customWidth="1"/>
    <col min="11" max="11" width="10.28515625" style="72"/>
    <col min="12" max="12" width="17.5703125" style="72" bestFit="1" customWidth="1"/>
    <col min="13" max="16384" width="10.28515625" style="72"/>
  </cols>
  <sheetData>
    <row r="4" spans="1:13" x14ac:dyDescent="0.25">
      <c r="A4" s="847" t="s">
        <v>126</v>
      </c>
      <c r="B4" s="847"/>
      <c r="C4" s="847"/>
      <c r="D4" s="847"/>
      <c r="E4" s="847"/>
      <c r="F4" s="847"/>
      <c r="G4" s="847"/>
      <c r="H4" s="847"/>
      <c r="I4" s="778"/>
      <c r="J4" s="778"/>
      <c r="K4" s="778"/>
      <c r="L4" s="778"/>
      <c r="M4" s="778"/>
    </row>
    <row r="6" spans="1:13" x14ac:dyDescent="0.25">
      <c r="A6" s="848" t="s">
        <v>127</v>
      </c>
      <c r="B6" s="848"/>
      <c r="C6" s="848"/>
      <c r="D6" s="848"/>
      <c r="E6" s="848"/>
      <c r="F6" s="848"/>
      <c r="G6" s="848"/>
      <c r="H6" s="848"/>
      <c r="I6" s="778"/>
      <c r="J6" s="778"/>
      <c r="K6" s="778"/>
      <c r="L6" s="778"/>
      <c r="M6" s="778"/>
    </row>
    <row r="7" spans="1:13" x14ac:dyDescent="0.25">
      <c r="A7" s="845" t="s">
        <v>740</v>
      </c>
      <c r="B7" s="846"/>
      <c r="C7" s="846"/>
      <c r="D7" s="846"/>
      <c r="E7" s="846"/>
      <c r="F7" s="846"/>
      <c r="G7" s="846"/>
      <c r="H7" s="846"/>
      <c r="I7" s="778"/>
      <c r="J7" s="778"/>
      <c r="K7" s="778"/>
      <c r="L7" s="778"/>
      <c r="M7" s="778"/>
    </row>
    <row r="8" spans="1:13" x14ac:dyDescent="0.25">
      <c r="A8" s="777"/>
      <c r="B8" s="721"/>
      <c r="C8" s="776"/>
      <c r="D8" s="721"/>
      <c r="E8" s="776"/>
      <c r="F8" s="721"/>
      <c r="G8" s="776"/>
      <c r="H8" s="721"/>
      <c r="I8" s="778"/>
      <c r="J8" s="778"/>
      <c r="K8" s="778"/>
      <c r="L8" s="778"/>
      <c r="M8" s="778"/>
    </row>
    <row r="9" spans="1:13" x14ac:dyDescent="0.25">
      <c r="A9" s="777"/>
      <c r="B9" s="778"/>
      <c r="C9" s="778"/>
      <c r="D9" s="778"/>
      <c r="E9" s="778"/>
      <c r="F9" s="778"/>
      <c r="G9" s="778"/>
      <c r="H9" s="778"/>
      <c r="I9" s="778"/>
      <c r="J9" s="778"/>
      <c r="K9" s="778"/>
      <c r="L9" s="778"/>
      <c r="M9" s="778"/>
    </row>
    <row r="10" spans="1:13" x14ac:dyDescent="0.25">
      <c r="A10" s="777"/>
      <c r="B10" s="721"/>
      <c r="C10" s="776"/>
      <c r="D10" s="721"/>
      <c r="E10" s="776"/>
      <c r="F10" s="721"/>
      <c r="G10" s="776"/>
      <c r="H10" s="721"/>
      <c r="I10" s="778"/>
      <c r="J10" s="778"/>
      <c r="K10" s="778"/>
      <c r="L10" s="778"/>
      <c r="M10" s="778"/>
    </row>
    <row r="11" spans="1:13" x14ac:dyDescent="0.25">
      <c r="A11" s="777"/>
      <c r="B11" s="775"/>
      <c r="C11" s="778"/>
      <c r="D11" s="778"/>
      <c r="E11" s="778"/>
      <c r="F11" s="778"/>
      <c r="G11" s="778"/>
      <c r="H11" s="778"/>
      <c r="I11" s="778"/>
      <c r="J11" s="778"/>
      <c r="K11" s="778"/>
      <c r="L11" s="778"/>
      <c r="M11" s="778"/>
    </row>
    <row r="12" spans="1:13" x14ac:dyDescent="0.25">
      <c r="A12" s="777"/>
      <c r="B12" s="721"/>
      <c r="C12" s="776"/>
      <c r="D12" s="722" t="s">
        <v>5</v>
      </c>
      <c r="E12" s="776"/>
      <c r="F12" s="722" t="s">
        <v>6</v>
      </c>
      <c r="G12" s="776"/>
      <c r="H12" s="722" t="s">
        <v>16</v>
      </c>
      <c r="I12" s="778"/>
      <c r="J12" s="778"/>
      <c r="K12" s="778"/>
      <c r="L12" s="778"/>
      <c r="M12" s="778"/>
    </row>
    <row r="13" spans="1:13" x14ac:dyDescent="0.25">
      <c r="A13" s="777"/>
      <c r="B13" s="721"/>
      <c r="C13" s="776"/>
      <c r="D13" s="722" t="s">
        <v>45</v>
      </c>
      <c r="E13" s="776"/>
      <c r="F13" s="722" t="s">
        <v>45</v>
      </c>
      <c r="G13" s="776"/>
      <c r="H13" s="722" t="s">
        <v>17</v>
      </c>
      <c r="I13" s="778"/>
      <c r="J13" s="778"/>
      <c r="K13" s="778"/>
      <c r="L13" s="778"/>
      <c r="M13" s="778"/>
    </row>
    <row r="14" spans="1:13" x14ac:dyDescent="0.25">
      <c r="A14" s="777"/>
      <c r="B14" s="721" t="s">
        <v>128</v>
      </c>
      <c r="C14" s="776"/>
      <c r="D14" s="722" t="s">
        <v>28</v>
      </c>
      <c r="E14" s="776"/>
      <c r="F14" s="722" t="s">
        <v>28</v>
      </c>
      <c r="G14" s="776"/>
      <c r="H14" s="722" t="s">
        <v>28</v>
      </c>
      <c r="I14" s="778"/>
      <c r="J14" s="778"/>
      <c r="K14" s="778"/>
      <c r="L14" s="778"/>
      <c r="M14" s="778"/>
    </row>
    <row r="15" spans="1:13" x14ac:dyDescent="0.25">
      <c r="A15" s="777"/>
      <c r="B15" s="774">
        <v>-1</v>
      </c>
      <c r="C15" s="776"/>
      <c r="D15" s="773">
        <v>-2</v>
      </c>
      <c r="E15" s="776"/>
      <c r="F15" s="774">
        <v>-3</v>
      </c>
      <c r="G15" s="776"/>
      <c r="H15" s="774">
        <v>-4</v>
      </c>
      <c r="I15" s="778"/>
      <c r="J15" s="778"/>
      <c r="K15" s="778"/>
      <c r="L15" s="778"/>
      <c r="M15" s="778"/>
    </row>
    <row r="16" spans="1:13" x14ac:dyDescent="0.25">
      <c r="A16" s="777"/>
      <c r="B16" s="721"/>
      <c r="C16" s="776"/>
      <c r="D16" s="721"/>
      <c r="E16" s="776"/>
      <c r="F16" s="721"/>
      <c r="G16" s="776"/>
      <c r="H16" s="721"/>
      <c r="I16" s="778"/>
      <c r="J16" s="778"/>
      <c r="K16" s="778"/>
      <c r="L16" s="778"/>
      <c r="M16" s="778"/>
    </row>
    <row r="17" spans="1:13" ht="21" customHeight="1" x14ac:dyDescent="0.25">
      <c r="A17" s="616">
        <v>1</v>
      </c>
      <c r="B17" s="772" t="s">
        <v>129</v>
      </c>
      <c r="C17" s="70"/>
      <c r="D17" s="787">
        <v>5661438627</v>
      </c>
      <c r="E17" s="789"/>
      <c r="F17" s="787">
        <v>834859657</v>
      </c>
      <c r="G17" s="789"/>
      <c r="H17" s="787">
        <f>+D17+F17</f>
        <v>6496298284</v>
      </c>
      <c r="I17" s="778"/>
      <c r="J17" s="778"/>
      <c r="K17" s="778"/>
      <c r="L17" s="778"/>
      <c r="M17" s="778"/>
    </row>
    <row r="18" spans="1:13" ht="13.5" customHeight="1" x14ac:dyDescent="0.25">
      <c r="A18" s="777"/>
      <c r="B18" s="772"/>
      <c r="C18" s="70"/>
      <c r="D18" s="788"/>
      <c r="E18" s="789"/>
      <c r="F18" s="788"/>
      <c r="G18" s="789"/>
      <c r="H18" s="788"/>
      <c r="I18" s="778"/>
      <c r="J18" s="778"/>
      <c r="K18" s="778"/>
      <c r="L18" s="778"/>
      <c r="M18" s="778"/>
    </row>
    <row r="19" spans="1:13" ht="21" customHeight="1" x14ac:dyDescent="0.25">
      <c r="A19" s="616">
        <v>2</v>
      </c>
      <c r="B19" s="772" t="s">
        <v>124</v>
      </c>
      <c r="C19" s="70"/>
      <c r="D19" s="788"/>
      <c r="E19" s="789"/>
      <c r="F19" s="788"/>
      <c r="G19" s="789"/>
      <c r="H19" s="788"/>
      <c r="I19" s="778"/>
      <c r="J19" s="778"/>
      <c r="K19" s="778"/>
      <c r="L19" s="778"/>
      <c r="M19" s="778"/>
    </row>
    <row r="20" spans="1:13" ht="21" customHeight="1" x14ac:dyDescent="0.25">
      <c r="A20" s="616">
        <v>3</v>
      </c>
      <c r="B20" s="772" t="s">
        <v>130</v>
      </c>
      <c r="C20" s="70"/>
      <c r="D20" s="788">
        <v>1966638078</v>
      </c>
      <c r="E20" s="789"/>
      <c r="F20" s="788">
        <v>295288704</v>
      </c>
      <c r="G20" s="789"/>
      <c r="H20" s="788">
        <f>+D20+F20</f>
        <v>2261926782</v>
      </c>
      <c r="I20" s="778"/>
      <c r="J20" s="778"/>
      <c r="K20" s="778"/>
      <c r="L20" s="778"/>
      <c r="M20" s="778"/>
    </row>
    <row r="21" spans="1:13" ht="13.5" customHeight="1" x14ac:dyDescent="0.25">
      <c r="A21" s="616"/>
      <c r="B21" s="772"/>
      <c r="C21" s="70"/>
      <c r="D21" s="788"/>
      <c r="E21" s="789"/>
      <c r="F21" s="788"/>
      <c r="G21" s="789"/>
      <c r="H21" s="788"/>
      <c r="I21" s="778"/>
      <c r="J21" s="778"/>
      <c r="K21" s="778"/>
      <c r="L21" s="778"/>
      <c r="M21" s="778"/>
    </row>
    <row r="22" spans="1:13" ht="21" customHeight="1" x14ac:dyDescent="0.25">
      <c r="A22" s="616">
        <v>4</v>
      </c>
      <c r="B22" s="772" t="s">
        <v>131</v>
      </c>
      <c r="C22" s="70"/>
      <c r="D22" s="771">
        <f>+D17-D20</f>
        <v>3694800549</v>
      </c>
      <c r="E22" s="789"/>
      <c r="F22" s="771">
        <f>+F17-F20</f>
        <v>539570953</v>
      </c>
      <c r="G22" s="789"/>
      <c r="H22" s="771">
        <f>+H17-H20</f>
        <v>4234371502</v>
      </c>
      <c r="I22" s="778"/>
      <c r="J22" s="778"/>
      <c r="K22" s="778"/>
      <c r="L22" s="778"/>
      <c r="M22" s="778"/>
    </row>
    <row r="23" spans="1:13" ht="13.5" customHeight="1" x14ac:dyDescent="0.25">
      <c r="A23" s="616"/>
      <c r="B23" s="772"/>
      <c r="C23" s="70"/>
      <c r="D23" s="788"/>
      <c r="E23" s="789"/>
      <c r="F23" s="788"/>
      <c r="G23" s="789"/>
      <c r="H23" s="788"/>
      <c r="I23" s="778"/>
      <c r="J23" s="778"/>
      <c r="K23" s="778"/>
      <c r="L23" s="778"/>
      <c r="M23" s="778"/>
    </row>
    <row r="24" spans="1:13" ht="21" customHeight="1" x14ac:dyDescent="0.25">
      <c r="A24" s="616">
        <v>5</v>
      </c>
      <c r="B24" s="772" t="s">
        <v>124</v>
      </c>
      <c r="C24" s="70"/>
      <c r="D24" s="788"/>
      <c r="E24" s="789"/>
      <c r="F24" s="788"/>
      <c r="G24" s="789"/>
      <c r="H24" s="788"/>
      <c r="I24" s="778"/>
      <c r="J24" s="778"/>
      <c r="K24" s="778"/>
      <c r="L24" s="778"/>
      <c r="M24" s="778"/>
    </row>
    <row r="25" spans="1:13" ht="21" customHeight="1" x14ac:dyDescent="0.25">
      <c r="A25" s="616">
        <v>6</v>
      </c>
      <c r="B25" s="772" t="s">
        <v>132</v>
      </c>
      <c r="C25" s="70"/>
      <c r="D25" s="788">
        <v>2862085</v>
      </c>
      <c r="E25" s="789"/>
      <c r="F25" s="788">
        <v>7189</v>
      </c>
      <c r="G25" s="789"/>
      <c r="H25" s="788">
        <f>+D25+F25</f>
        <v>2869274</v>
      </c>
      <c r="I25" s="778"/>
      <c r="J25" s="778"/>
      <c r="K25" s="778"/>
      <c r="L25" s="778"/>
      <c r="M25" s="778"/>
    </row>
    <row r="26" spans="1:13" ht="21" customHeight="1" x14ac:dyDescent="0.25">
      <c r="A26" s="616">
        <v>7</v>
      </c>
      <c r="B26" s="772" t="s">
        <v>133</v>
      </c>
      <c r="C26" s="70"/>
      <c r="D26" s="788">
        <v>318782523</v>
      </c>
      <c r="E26" s="789"/>
      <c r="F26" s="788">
        <v>45596000</v>
      </c>
      <c r="G26" s="789"/>
      <c r="H26" s="788">
        <f>+D26+F26</f>
        <v>364378523</v>
      </c>
      <c r="I26" s="778"/>
      <c r="J26" s="778"/>
      <c r="K26" s="778"/>
      <c r="L26" s="778"/>
      <c r="M26" s="778"/>
    </row>
    <row r="27" spans="1:13" ht="21" customHeight="1" x14ac:dyDescent="0.25">
      <c r="A27" s="616">
        <v>8</v>
      </c>
      <c r="B27" s="782" t="s">
        <v>599</v>
      </c>
      <c r="C27" s="70"/>
      <c r="D27" s="789">
        <v>45455634</v>
      </c>
      <c r="E27" s="789"/>
      <c r="F27" s="789">
        <v>6974824</v>
      </c>
      <c r="G27" s="789"/>
      <c r="H27" s="788">
        <f>+D27+F27</f>
        <v>52430458</v>
      </c>
      <c r="I27" s="783"/>
      <c r="J27" s="784"/>
      <c r="K27" s="785"/>
      <c r="L27" s="743"/>
      <c r="M27" s="743"/>
    </row>
    <row r="28" spans="1:13" ht="21" customHeight="1" x14ac:dyDescent="0.25">
      <c r="A28" s="616">
        <v>9</v>
      </c>
      <c r="B28" s="782" t="s">
        <v>600</v>
      </c>
      <c r="C28" s="70"/>
      <c r="D28" s="789">
        <v>3798226</v>
      </c>
      <c r="E28" s="789"/>
      <c r="F28" s="789">
        <v>582809.50999999978</v>
      </c>
      <c r="G28" s="789"/>
      <c r="H28" s="788">
        <f>+D28+F28</f>
        <v>4381035.51</v>
      </c>
      <c r="I28" s="783"/>
      <c r="J28" s="743"/>
      <c r="K28" s="743"/>
      <c r="L28" s="743"/>
      <c r="M28" s="743"/>
    </row>
    <row r="29" spans="1:13" ht="21" customHeight="1" x14ac:dyDescent="0.25">
      <c r="A29" s="616">
        <v>10</v>
      </c>
      <c r="B29" s="770" t="s">
        <v>134</v>
      </c>
      <c r="C29" s="70"/>
      <c r="D29" s="789">
        <v>89415185</v>
      </c>
      <c r="E29" s="789"/>
      <c r="F29" s="789">
        <v>14678984</v>
      </c>
      <c r="G29" s="789"/>
      <c r="H29" s="788">
        <f>+D29+F29</f>
        <v>104094169</v>
      </c>
      <c r="I29" s="778"/>
      <c r="J29" s="778"/>
      <c r="K29" s="778"/>
      <c r="L29" s="778"/>
      <c r="M29" s="778"/>
    </row>
    <row r="30" spans="1:13" ht="12" customHeight="1" x14ac:dyDescent="0.25">
      <c r="A30" s="616"/>
      <c r="B30" s="772"/>
      <c r="C30" s="70"/>
      <c r="D30" s="789"/>
      <c r="E30" s="789"/>
      <c r="F30" s="789"/>
      <c r="G30" s="789"/>
      <c r="H30" s="789"/>
      <c r="I30" s="778"/>
      <c r="J30" s="778"/>
      <c r="K30" s="778"/>
      <c r="L30" s="778"/>
      <c r="M30" s="778"/>
    </row>
    <row r="31" spans="1:13" ht="21" customHeight="1" x14ac:dyDescent="0.25">
      <c r="A31" s="616">
        <v>11</v>
      </c>
      <c r="B31" s="772" t="s">
        <v>125</v>
      </c>
      <c r="C31" s="70"/>
      <c r="D31" s="771">
        <f>SUM(D25:D30)</f>
        <v>460313653</v>
      </c>
      <c r="E31" s="789"/>
      <c r="F31" s="771">
        <f>SUM(F25:F30)</f>
        <v>67839806.50999999</v>
      </c>
      <c r="G31" s="789"/>
      <c r="H31" s="771">
        <f>SUM(H25:H30)</f>
        <v>528153459.50999999</v>
      </c>
      <c r="I31" s="778"/>
      <c r="J31" s="778"/>
      <c r="K31" s="778"/>
      <c r="L31" s="778"/>
      <c r="M31" s="778"/>
    </row>
    <row r="32" spans="1:13" ht="13.5" customHeight="1" x14ac:dyDescent="0.25">
      <c r="A32" s="777"/>
      <c r="B32" s="772"/>
      <c r="C32" s="70"/>
      <c r="D32" s="788"/>
      <c r="E32" s="789"/>
      <c r="F32" s="788"/>
      <c r="G32" s="789"/>
      <c r="H32" s="788"/>
      <c r="I32" s="778"/>
      <c r="J32" s="778"/>
      <c r="K32" s="778"/>
      <c r="L32" s="778"/>
      <c r="M32" s="778"/>
    </row>
    <row r="33" spans="1:8" s="71" customFormat="1" ht="21" customHeight="1" x14ac:dyDescent="0.25">
      <c r="A33" s="777">
        <v>12</v>
      </c>
      <c r="B33" s="772" t="s">
        <v>741</v>
      </c>
      <c r="C33" s="70"/>
      <c r="D33" s="771">
        <f>+D22-D31</f>
        <v>3234486896</v>
      </c>
      <c r="E33" s="789"/>
      <c r="F33" s="771">
        <f>+F22-F31</f>
        <v>471731146.49000001</v>
      </c>
      <c r="G33" s="789"/>
      <c r="H33" s="771">
        <f>+H22-H31</f>
        <v>3706218042.4899998</v>
      </c>
    </row>
    <row r="34" spans="1:8" s="71" customFormat="1" ht="21" customHeight="1" x14ac:dyDescent="0.25">
      <c r="A34" s="777"/>
      <c r="B34" s="772"/>
      <c r="C34" s="70"/>
      <c r="D34" s="788"/>
      <c r="E34" s="789"/>
      <c r="F34" s="788"/>
      <c r="G34" s="789"/>
      <c r="H34" s="788"/>
    </row>
    <row r="35" spans="1:8" s="71" customFormat="1" ht="21" customHeight="1" x14ac:dyDescent="0.25">
      <c r="A35" s="777">
        <v>13</v>
      </c>
      <c r="B35" s="772" t="s">
        <v>135</v>
      </c>
      <c r="C35" s="70"/>
      <c r="D35" s="788"/>
      <c r="E35" s="789"/>
      <c r="F35" s="788"/>
      <c r="G35" s="789"/>
      <c r="H35" s="788"/>
    </row>
    <row r="36" spans="1:8" s="71" customFormat="1" ht="21" customHeight="1" x14ac:dyDescent="0.25">
      <c r="A36" s="616">
        <v>14</v>
      </c>
      <c r="B36" s="770" t="s">
        <v>136</v>
      </c>
      <c r="C36" s="70"/>
      <c r="D36" s="788">
        <v>123472575</v>
      </c>
      <c r="E36" s="789"/>
      <c r="F36" s="789">
        <v>19397854</v>
      </c>
      <c r="G36" s="789"/>
      <c r="H36" s="788">
        <f>+D36+F36</f>
        <v>142870429</v>
      </c>
    </row>
    <row r="37" spans="1:8" s="71" customFormat="1" ht="21" customHeight="1" x14ac:dyDescent="0.25">
      <c r="A37" s="616">
        <v>15</v>
      </c>
      <c r="B37" s="770" t="s">
        <v>137</v>
      </c>
      <c r="C37" s="70"/>
      <c r="D37" s="788">
        <v>5936818</v>
      </c>
      <c r="E37" s="789"/>
      <c r="F37" s="789">
        <v>684065</v>
      </c>
      <c r="G37" s="789"/>
      <c r="H37" s="788">
        <f>+D37+F37</f>
        <v>6620883</v>
      </c>
    </row>
    <row r="38" spans="1:8" s="71" customFormat="1" ht="13.5" customHeight="1" x14ac:dyDescent="0.25">
      <c r="A38" s="616">
        <v>16</v>
      </c>
      <c r="B38" s="772" t="s">
        <v>601</v>
      </c>
      <c r="C38" s="70"/>
      <c r="D38" s="788">
        <v>621872</v>
      </c>
      <c r="E38" s="789"/>
      <c r="F38" s="789">
        <v>95421</v>
      </c>
      <c r="G38" s="789"/>
      <c r="H38" s="788">
        <f>+D38+F38</f>
        <v>717293</v>
      </c>
    </row>
    <row r="39" spans="1:8" s="71" customFormat="1" ht="21" customHeight="1" x14ac:dyDescent="0.25">
      <c r="A39" s="616">
        <v>17</v>
      </c>
      <c r="B39" s="772" t="s">
        <v>139</v>
      </c>
      <c r="C39" s="70"/>
      <c r="D39" s="789">
        <v>89520992</v>
      </c>
      <c r="E39" s="789"/>
      <c r="F39" s="789">
        <v>7799888</v>
      </c>
      <c r="G39" s="789"/>
      <c r="H39" s="788">
        <f>+D39+F39</f>
        <v>97320880</v>
      </c>
    </row>
    <row r="40" spans="1:8" s="71" customFormat="1" ht="13.5" customHeight="1" x14ac:dyDescent="0.25">
      <c r="A40" s="616"/>
      <c r="B40" s="772"/>
      <c r="C40" s="70"/>
      <c r="D40" s="789"/>
      <c r="E40" s="789"/>
      <c r="F40" s="789"/>
      <c r="G40" s="789"/>
      <c r="H40" s="789"/>
    </row>
    <row r="41" spans="1:8" s="71" customFormat="1" ht="21" customHeight="1" x14ac:dyDescent="0.25">
      <c r="A41" s="616">
        <v>18</v>
      </c>
      <c r="B41" s="781" t="s">
        <v>140</v>
      </c>
      <c r="C41" s="70"/>
      <c r="D41" s="771">
        <f>SUM(D36:D40)</f>
        <v>219552257</v>
      </c>
      <c r="E41" s="789"/>
      <c r="F41" s="771">
        <f>SUM(F36:F40)</f>
        <v>27977228</v>
      </c>
      <c r="G41" s="789"/>
      <c r="H41" s="771">
        <f>SUM(H36:H40)</f>
        <v>247529485</v>
      </c>
    </row>
    <row r="42" spans="1:8" s="71" customFormat="1" ht="13.5" customHeight="1" x14ac:dyDescent="0.25">
      <c r="A42" s="616"/>
      <c r="B42" s="772"/>
      <c r="C42" s="70"/>
      <c r="D42" s="788"/>
      <c r="E42" s="789"/>
      <c r="F42" s="788"/>
      <c r="G42" s="789"/>
      <c r="H42" s="788"/>
    </row>
    <row r="43" spans="1:8" s="71" customFormat="1" ht="15.75" customHeight="1" thickBot="1" x14ac:dyDescent="0.3">
      <c r="A43" s="616">
        <v>19</v>
      </c>
      <c r="B43" s="770" t="s">
        <v>141</v>
      </c>
      <c r="C43" s="70"/>
      <c r="D43" s="769">
        <f>+D22-D31+D41</f>
        <v>3454039153</v>
      </c>
      <c r="E43" s="768"/>
      <c r="F43" s="769">
        <f>+F22-F31+F41</f>
        <v>499708374.49000001</v>
      </c>
      <c r="G43" s="768"/>
      <c r="H43" s="769">
        <f>+H22-H31+H41</f>
        <v>3953747527.4899998</v>
      </c>
    </row>
    <row r="44" spans="1:8" s="71" customFormat="1" ht="21" customHeight="1" thickTop="1" x14ac:dyDescent="0.25">
      <c r="A44" s="616"/>
      <c r="B44" s="772"/>
      <c r="C44" s="70"/>
      <c r="D44" s="788"/>
      <c r="E44" s="789"/>
      <c r="F44" s="788"/>
      <c r="G44" s="789"/>
      <c r="H44" s="788"/>
    </row>
    <row r="45" spans="1:8" s="71" customFormat="1" ht="18.95" customHeight="1" x14ac:dyDescent="0.25">
      <c r="A45" s="616"/>
      <c r="B45" s="778"/>
      <c r="C45" s="70"/>
      <c r="D45" s="788"/>
      <c r="E45" s="789"/>
      <c r="F45" s="788"/>
      <c r="G45" s="789"/>
      <c r="H45" s="788"/>
    </row>
    <row r="46" spans="1:8" s="71" customFormat="1" ht="21" customHeight="1" thickBot="1" x14ac:dyDescent="0.3">
      <c r="A46" s="749">
        <v>20</v>
      </c>
      <c r="B46" s="770" t="s">
        <v>142</v>
      </c>
      <c r="C46" s="743"/>
      <c r="D46" s="705">
        <f>ROUND(D43/$H43,4)</f>
        <v>0.87360000000000004</v>
      </c>
      <c r="E46" s="559"/>
      <c r="F46" s="705">
        <f>ROUND(F43/$H43,4)</f>
        <v>0.12640000000000001</v>
      </c>
      <c r="G46" s="559"/>
      <c r="H46" s="705">
        <f>ROUND(H43/$H43,4)</f>
        <v>1</v>
      </c>
    </row>
    <row r="47" spans="1:8" s="71" customFormat="1" ht="18.95" customHeight="1" thickTop="1" x14ac:dyDescent="0.25">
      <c r="A47" s="743"/>
      <c r="B47" s="778"/>
      <c r="C47" s="743"/>
      <c r="D47" s="778"/>
      <c r="E47" s="743"/>
      <c r="F47" s="778"/>
      <c r="G47" s="743"/>
      <c r="H47" s="778"/>
    </row>
    <row r="48" spans="1:8" s="71" customFormat="1" ht="18.95" customHeight="1" x14ac:dyDescent="0.25">
      <c r="A48" s="616">
        <v>21</v>
      </c>
      <c r="B48" s="772" t="s">
        <v>43</v>
      </c>
      <c r="C48" s="70"/>
      <c r="D48" s="787">
        <v>226197402</v>
      </c>
      <c r="E48" s="789"/>
      <c r="F48" s="787">
        <v>26271059.879999995</v>
      </c>
      <c r="G48" s="789"/>
      <c r="H48" s="787">
        <v>252468461.88</v>
      </c>
    </row>
    <row r="49" spans="1:8" s="71" customFormat="1" ht="18.95" customHeight="1" thickBot="1" x14ac:dyDescent="0.3">
      <c r="A49" s="743"/>
      <c r="B49" s="778"/>
      <c r="C49" s="743"/>
      <c r="D49" s="718"/>
      <c r="E49" s="743"/>
      <c r="F49" s="778"/>
      <c r="G49" s="743"/>
      <c r="H49" s="778"/>
    </row>
    <row r="50" spans="1:8" s="71" customFormat="1" ht="18.95" customHeight="1" thickBot="1" x14ac:dyDescent="0.3">
      <c r="A50" s="749">
        <v>22</v>
      </c>
      <c r="B50" s="743" t="s">
        <v>81</v>
      </c>
      <c r="C50" s="743"/>
      <c r="D50" s="762">
        <f>ROUND(D48/D43,4)</f>
        <v>6.5500000000000003E-2</v>
      </c>
      <c r="E50" s="26"/>
      <c r="F50" s="779">
        <f>ROUND(F48/F43,4)</f>
        <v>5.2600000000000001E-2</v>
      </c>
      <c r="G50" s="26"/>
      <c r="H50" s="762">
        <f>ROUND(H48/H43,4)</f>
        <v>6.3899999999999998E-2</v>
      </c>
    </row>
    <row r="51" spans="1:8" s="71" customFormat="1" ht="18.95" customHeight="1" x14ac:dyDescent="0.25">
      <c r="A51" s="743"/>
      <c r="B51" s="778"/>
      <c r="C51" s="743"/>
      <c r="D51" s="778"/>
      <c r="E51" s="743"/>
      <c r="F51" s="778"/>
      <c r="G51" s="743"/>
      <c r="H51" s="778"/>
    </row>
    <row r="52" spans="1:8" s="71" customFormat="1" ht="18.95" customHeight="1" x14ac:dyDescent="0.25">
      <c r="A52" s="732" t="s">
        <v>3</v>
      </c>
      <c r="B52" s="770" t="s">
        <v>143</v>
      </c>
      <c r="C52" s="743"/>
      <c r="D52" s="778"/>
      <c r="E52" s="743"/>
      <c r="F52" s="778"/>
      <c r="G52" s="743"/>
      <c r="H52" s="778"/>
    </row>
    <row r="53" spans="1:8" s="71" customFormat="1" x14ac:dyDescent="0.25">
      <c r="A53" s="759" t="s">
        <v>144</v>
      </c>
      <c r="B53" s="767" t="s">
        <v>145</v>
      </c>
      <c r="C53" s="743"/>
      <c r="D53" s="778"/>
      <c r="E53" s="743"/>
      <c r="F53" s="778"/>
      <c r="G53" s="743"/>
      <c r="H53" s="778"/>
    </row>
    <row r="54" spans="1:8" s="71" customFormat="1" x14ac:dyDescent="0.25">
      <c r="A54" s="759" t="s">
        <v>146</v>
      </c>
      <c r="B54" s="743" t="s">
        <v>602</v>
      </c>
      <c r="C54" s="743"/>
      <c r="D54" s="778"/>
      <c r="E54" s="743"/>
      <c r="F54" s="778"/>
      <c r="G54" s="743"/>
      <c r="H54" s="778"/>
    </row>
    <row r="55" spans="1:8" s="71" customFormat="1" x14ac:dyDescent="0.25">
      <c r="A55" s="778"/>
      <c r="B55" s="778"/>
      <c r="C55" s="778"/>
      <c r="D55" s="778"/>
      <c r="E55" s="778"/>
      <c r="F55" s="778"/>
      <c r="G55" s="743"/>
      <c r="H55" s="731"/>
    </row>
    <row r="56" spans="1:8" s="71" customFormat="1" x14ac:dyDescent="0.25">
      <c r="A56" s="778"/>
      <c r="B56" s="778"/>
      <c r="C56" s="778"/>
      <c r="D56" s="778"/>
      <c r="E56" s="778"/>
      <c r="F56" s="778"/>
      <c r="G56" s="743"/>
      <c r="H56" s="731"/>
    </row>
    <row r="57" spans="1:8" x14ac:dyDescent="0.25">
      <c r="A57" s="778"/>
      <c r="B57" s="778"/>
      <c r="C57" s="778"/>
      <c r="D57" s="778"/>
      <c r="E57" s="778"/>
      <c r="F57" s="778"/>
      <c r="G57" s="743"/>
      <c r="H57" s="731"/>
    </row>
    <row r="58" spans="1:8" s="71" customFormat="1" x14ac:dyDescent="0.25">
      <c r="A58" s="847" t="s">
        <v>126</v>
      </c>
      <c r="B58" s="847"/>
      <c r="C58" s="847"/>
      <c r="D58" s="847"/>
      <c r="E58" s="847"/>
      <c r="F58" s="847"/>
      <c r="G58" s="847"/>
      <c r="H58" s="847"/>
    </row>
    <row r="59" spans="1:8" s="71" customFormat="1" x14ac:dyDescent="0.25">
      <c r="A59" s="766"/>
      <c r="B59" s="766"/>
      <c r="C59" s="766"/>
      <c r="D59" s="766"/>
      <c r="E59" s="766"/>
      <c r="F59" s="766"/>
      <c r="G59" s="766"/>
      <c r="H59" s="766"/>
    </row>
    <row r="60" spans="1:8" s="71" customFormat="1" x14ac:dyDescent="0.25">
      <c r="A60" s="848" t="s">
        <v>148</v>
      </c>
      <c r="B60" s="848"/>
      <c r="C60" s="848"/>
      <c r="D60" s="848"/>
      <c r="E60" s="848"/>
      <c r="F60" s="848"/>
      <c r="G60" s="848"/>
      <c r="H60" s="848"/>
    </row>
    <row r="61" spans="1:8" s="71" customFormat="1" x14ac:dyDescent="0.25">
      <c r="A61" s="845" t="s">
        <v>740</v>
      </c>
      <c r="B61" s="846"/>
      <c r="C61" s="846"/>
      <c r="D61" s="846"/>
      <c r="E61" s="846"/>
      <c r="F61" s="846"/>
      <c r="G61" s="846"/>
      <c r="H61" s="846"/>
    </row>
    <row r="62" spans="1:8" s="71" customFormat="1" x14ac:dyDescent="0.25">
      <c r="A62" s="777"/>
      <c r="B62" s="721"/>
      <c r="C62" s="776"/>
      <c r="D62" s="721"/>
      <c r="E62" s="776"/>
      <c r="F62" s="778"/>
      <c r="G62" s="743"/>
      <c r="H62" s="778"/>
    </row>
    <row r="63" spans="1:8" s="71" customFormat="1" x14ac:dyDescent="0.25">
      <c r="A63" s="777"/>
      <c r="B63" s="778"/>
      <c r="C63" s="778"/>
      <c r="D63" s="778"/>
      <c r="E63" s="778"/>
      <c r="F63" s="778"/>
      <c r="G63" s="743"/>
      <c r="H63" s="778"/>
    </row>
    <row r="64" spans="1:8" s="71" customFormat="1" x14ac:dyDescent="0.25">
      <c r="A64" s="777"/>
      <c r="B64" s="721"/>
      <c r="C64" s="776"/>
      <c r="D64" s="721"/>
      <c r="E64" s="776"/>
      <c r="F64" s="778"/>
      <c r="G64" s="743"/>
      <c r="H64" s="778"/>
    </row>
    <row r="65" spans="1:9" s="71" customFormat="1" x14ac:dyDescent="0.25">
      <c r="A65" s="777"/>
      <c r="B65" s="778"/>
      <c r="C65" s="778"/>
      <c r="D65" s="778"/>
      <c r="E65" s="778"/>
      <c r="F65" s="778"/>
      <c r="G65" s="778"/>
      <c r="H65" s="778"/>
      <c r="I65" s="778"/>
    </row>
    <row r="66" spans="1:9" s="71" customFormat="1" x14ac:dyDescent="0.25">
      <c r="A66" s="777"/>
      <c r="B66" s="721"/>
      <c r="C66" s="776"/>
      <c r="D66" s="722" t="s">
        <v>5</v>
      </c>
      <c r="E66" s="776"/>
      <c r="F66" s="722" t="s">
        <v>6</v>
      </c>
      <c r="G66" s="776"/>
      <c r="H66" s="722" t="s">
        <v>16</v>
      </c>
      <c r="I66" s="778"/>
    </row>
    <row r="67" spans="1:9" s="71" customFormat="1" x14ac:dyDescent="0.25">
      <c r="A67" s="777"/>
      <c r="B67" s="721"/>
      <c r="C67" s="776"/>
      <c r="D67" s="722" t="s">
        <v>45</v>
      </c>
      <c r="E67" s="776"/>
      <c r="F67" s="722" t="s">
        <v>45</v>
      </c>
      <c r="G67" s="776"/>
      <c r="H67" s="722" t="s">
        <v>17</v>
      </c>
      <c r="I67" s="778"/>
    </row>
    <row r="68" spans="1:9" s="71" customFormat="1" x14ac:dyDescent="0.25">
      <c r="A68" s="777"/>
      <c r="B68" s="721" t="s">
        <v>128</v>
      </c>
      <c r="C68" s="776"/>
      <c r="D68" s="722" t="s">
        <v>28</v>
      </c>
      <c r="E68" s="776"/>
      <c r="F68" s="722" t="s">
        <v>28</v>
      </c>
      <c r="G68" s="776"/>
      <c r="H68" s="722" t="s">
        <v>28</v>
      </c>
      <c r="I68" s="778"/>
    </row>
    <row r="69" spans="1:9" s="71" customFormat="1" ht="21" customHeight="1" x14ac:dyDescent="0.25">
      <c r="A69" s="777"/>
      <c r="B69" s="774">
        <v>-1</v>
      </c>
      <c r="C69" s="776"/>
      <c r="D69" s="773">
        <v>-2</v>
      </c>
      <c r="E69" s="776"/>
      <c r="F69" s="774">
        <v>-3</v>
      </c>
      <c r="G69" s="776"/>
      <c r="H69" s="774">
        <v>-4</v>
      </c>
      <c r="I69" s="778"/>
    </row>
    <row r="70" spans="1:9" s="71" customFormat="1" ht="21" customHeight="1" x14ac:dyDescent="0.25">
      <c r="A70" s="777"/>
      <c r="B70" s="721"/>
      <c r="C70" s="776"/>
      <c r="D70" s="721"/>
      <c r="E70" s="776"/>
      <c r="F70" s="721"/>
      <c r="G70" s="776"/>
      <c r="H70" s="721"/>
      <c r="I70" s="778"/>
    </row>
    <row r="71" spans="1:9" s="71" customFormat="1" ht="15" customHeight="1" x14ac:dyDescent="0.25">
      <c r="A71" s="765" t="s">
        <v>149</v>
      </c>
      <c r="B71" s="767" t="s">
        <v>150</v>
      </c>
      <c r="C71" s="778"/>
      <c r="D71" s="778"/>
      <c r="E71" s="778"/>
      <c r="F71" s="778"/>
      <c r="G71" s="778"/>
      <c r="H71" s="778"/>
      <c r="I71" s="778"/>
    </row>
    <row r="72" spans="1:9" s="71" customFormat="1" ht="21" customHeight="1" x14ac:dyDescent="0.25">
      <c r="A72" s="765"/>
      <c r="B72" s="770" t="s">
        <v>742</v>
      </c>
      <c r="C72" s="778"/>
      <c r="D72" s="787">
        <v>866640592</v>
      </c>
      <c r="E72" s="778"/>
      <c r="F72" s="787">
        <v>128526746</v>
      </c>
      <c r="G72" s="778"/>
      <c r="H72" s="787">
        <v>995167338</v>
      </c>
      <c r="I72" s="778"/>
    </row>
    <row r="73" spans="1:9" s="71" customFormat="1" ht="21" customHeight="1" x14ac:dyDescent="0.25">
      <c r="A73" s="765"/>
      <c r="B73" s="767"/>
      <c r="C73" s="778"/>
      <c r="D73" s="778"/>
      <c r="E73" s="778"/>
      <c r="F73" s="778"/>
      <c r="G73" s="778"/>
      <c r="H73" s="778"/>
      <c r="I73" s="778"/>
    </row>
    <row r="74" spans="1:9" s="71" customFormat="1" ht="21" customHeight="1" x14ac:dyDescent="0.25">
      <c r="A74" s="758" t="s">
        <v>151</v>
      </c>
      <c r="B74" s="767" t="s">
        <v>124</v>
      </c>
      <c r="C74" s="778"/>
      <c r="D74" s="778"/>
      <c r="E74" s="778"/>
      <c r="F74" s="778"/>
      <c r="G74" s="778"/>
      <c r="H74" s="778"/>
      <c r="I74" s="778"/>
    </row>
    <row r="75" spans="1:9" s="71" customFormat="1" ht="13.5" customHeight="1" x14ac:dyDescent="0.25">
      <c r="A75" s="758" t="s">
        <v>152</v>
      </c>
      <c r="B75" s="585" t="s">
        <v>153</v>
      </c>
      <c r="C75" s="786"/>
      <c r="D75" s="790">
        <v>150472658</v>
      </c>
      <c r="E75" s="786"/>
      <c r="F75" s="790">
        <v>24149279</v>
      </c>
      <c r="G75" s="788"/>
      <c r="H75" s="790">
        <v>174621937</v>
      </c>
      <c r="I75" s="783"/>
    </row>
    <row r="76" spans="1:9" s="71" customFormat="1" ht="21" customHeight="1" x14ac:dyDescent="0.25">
      <c r="A76" s="758" t="s">
        <v>154</v>
      </c>
      <c r="B76" s="760" t="s">
        <v>155</v>
      </c>
      <c r="C76" s="778"/>
      <c r="D76" s="787">
        <v>150472658</v>
      </c>
      <c r="E76" s="778"/>
      <c r="F76" s="787">
        <v>24149279</v>
      </c>
      <c r="G76" s="778"/>
      <c r="H76" s="787">
        <v>174621937</v>
      </c>
      <c r="I76" s="778"/>
    </row>
    <row r="77" spans="1:9" s="71" customFormat="1" ht="15" customHeight="1" x14ac:dyDescent="0.25">
      <c r="A77" s="758"/>
      <c r="B77" s="730"/>
      <c r="C77" s="778"/>
      <c r="D77" s="754"/>
      <c r="E77" s="778"/>
      <c r="F77" s="754"/>
      <c r="G77" s="778"/>
      <c r="H77" s="754"/>
      <c r="I77" s="778"/>
    </row>
    <row r="78" spans="1:9" s="71" customFormat="1" ht="21" customHeight="1" thickBot="1" x14ac:dyDescent="0.3">
      <c r="A78" s="758" t="s">
        <v>156</v>
      </c>
      <c r="B78" s="730" t="s">
        <v>157</v>
      </c>
      <c r="C78" s="778"/>
      <c r="D78" s="769">
        <v>716167934</v>
      </c>
      <c r="E78" s="778"/>
      <c r="F78" s="769">
        <v>104377467</v>
      </c>
      <c r="G78" s="778"/>
      <c r="H78" s="769">
        <v>820545401</v>
      </c>
      <c r="I78" s="778"/>
    </row>
    <row r="79" spans="1:9" s="71" customFormat="1" ht="21" customHeight="1" thickTop="1" x14ac:dyDescent="0.25">
      <c r="A79" s="758"/>
      <c r="B79" s="730"/>
      <c r="C79" s="778"/>
      <c r="D79" s="778"/>
      <c r="E79" s="778"/>
      <c r="F79" s="778"/>
      <c r="G79" s="778"/>
      <c r="H79" s="778"/>
      <c r="I79" s="778"/>
    </row>
    <row r="80" spans="1:9" s="71" customFormat="1" ht="18.95" customHeight="1" thickBot="1" x14ac:dyDescent="0.3">
      <c r="A80" s="758" t="s">
        <v>158</v>
      </c>
      <c r="B80" s="730" t="s">
        <v>159</v>
      </c>
      <c r="C80" s="778"/>
      <c r="D80" s="764">
        <v>89520992</v>
      </c>
      <c r="E80" s="730"/>
      <c r="F80" s="764">
        <v>7799888</v>
      </c>
      <c r="G80" s="730"/>
      <c r="H80" s="764">
        <v>97320880</v>
      </c>
      <c r="I80" s="778"/>
    </row>
    <row r="81" spans="1:8" ht="18.95" customHeight="1" thickTop="1" x14ac:dyDescent="0.25">
      <c r="A81" s="758"/>
      <c r="B81" s="730"/>
      <c r="C81" s="778"/>
      <c r="D81" s="763"/>
      <c r="E81" s="730"/>
      <c r="F81" s="763"/>
      <c r="G81" s="730"/>
      <c r="H81" s="763"/>
    </row>
    <row r="82" spans="1:8" ht="18.95" customHeight="1" x14ac:dyDescent="0.25">
      <c r="A82" s="778"/>
      <c r="B82" s="730" t="s">
        <v>160</v>
      </c>
      <c r="C82" s="778"/>
      <c r="D82" s="778"/>
      <c r="E82" s="778"/>
      <c r="F82" s="780"/>
      <c r="G82" s="743"/>
      <c r="H82" s="778"/>
    </row>
    <row r="83" spans="1:8" x14ac:dyDescent="0.25">
      <c r="A83" s="778"/>
      <c r="B83" s="730" t="s">
        <v>161</v>
      </c>
      <c r="C83" s="778"/>
      <c r="D83" s="778"/>
      <c r="E83" s="778"/>
      <c r="F83" s="778"/>
      <c r="G83" s="743"/>
      <c r="H83" s="778"/>
    </row>
    <row r="84" spans="1:8" x14ac:dyDescent="0.25">
      <c r="A84" s="778"/>
      <c r="B84" s="743" t="s">
        <v>162</v>
      </c>
      <c r="C84" s="778"/>
      <c r="D84" s="778"/>
      <c r="E84" s="778"/>
      <c r="F84" s="778"/>
      <c r="G84" s="743"/>
      <c r="H84" s="778"/>
    </row>
  </sheetData>
  <mergeCells count="6">
    <mergeCell ref="A61:H61"/>
    <mergeCell ref="A4:H4"/>
    <mergeCell ref="A6:H6"/>
    <mergeCell ref="A7:H7"/>
    <mergeCell ref="A58:H58"/>
    <mergeCell ref="A60:H60"/>
  </mergeCells>
  <printOptions horizontalCentered="1"/>
  <pageMargins left="1" right="0.66" top="0.75" bottom="0.5" header="0.75" footer="0.25"/>
  <pageSetup scale="66" orientation="portrait" r:id="rId1"/>
  <headerFooter alignWithMargins="0">
    <oddHeader>&amp;R&amp;"Times New Roman,Bold"&amp;14Attachment to Response to Question No. 38
Page &amp;P of &amp;N
Blake</oddHeader>
  </headerFooter>
  <rowBreaks count="1" manualBreakCount="1">
    <brk id="55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M84"/>
  <sheetViews>
    <sheetView showGridLines="0" tabSelected="1" zoomScaleNormal="100" zoomScaleSheetLayoutView="65" workbookViewId="0">
      <pane xSplit="3" ySplit="15" topLeftCell="D71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10.28515625" defaultRowHeight="15.75" x14ac:dyDescent="0.25"/>
  <cols>
    <col min="1" max="1" width="4.85546875" style="558" bestFit="1" customWidth="1"/>
    <col min="2" max="2" width="60.5703125" style="72" customWidth="1"/>
    <col min="3" max="3" width="1.85546875" style="733" customWidth="1"/>
    <col min="4" max="4" width="19" style="72" customWidth="1"/>
    <col min="5" max="5" width="1.85546875" style="733" customWidth="1"/>
    <col min="6" max="6" width="19" style="72" customWidth="1"/>
    <col min="7" max="7" width="1.85546875" style="733" customWidth="1"/>
    <col min="8" max="8" width="19" style="72" customWidth="1"/>
    <col min="9" max="9" width="10.5703125" style="71" bestFit="1" customWidth="1"/>
    <col min="10" max="10" width="13.42578125" style="72" bestFit="1" customWidth="1"/>
    <col min="11" max="11" width="10.28515625" style="72"/>
    <col min="12" max="12" width="17.5703125" style="72" bestFit="1" customWidth="1"/>
    <col min="13" max="16384" width="10.28515625" style="72"/>
  </cols>
  <sheetData>
    <row r="4" spans="1:13" x14ac:dyDescent="0.25">
      <c r="A4" s="847" t="s">
        <v>126</v>
      </c>
      <c r="B4" s="847"/>
      <c r="C4" s="847"/>
      <c r="D4" s="847"/>
      <c r="E4" s="847"/>
      <c r="F4" s="847"/>
      <c r="G4" s="847"/>
      <c r="H4" s="847"/>
      <c r="I4" s="778"/>
      <c r="J4" s="778"/>
      <c r="K4" s="778"/>
      <c r="L4" s="778"/>
      <c r="M4" s="778"/>
    </row>
    <row r="6" spans="1:13" x14ac:dyDescent="0.25">
      <c r="A6" s="848" t="s">
        <v>127</v>
      </c>
      <c r="B6" s="848"/>
      <c r="C6" s="848"/>
      <c r="D6" s="848"/>
      <c r="E6" s="848"/>
      <c r="F6" s="848"/>
      <c r="G6" s="848"/>
      <c r="H6" s="848"/>
      <c r="I6" s="778"/>
      <c r="J6" s="778"/>
      <c r="K6" s="778"/>
      <c r="L6" s="778"/>
      <c r="M6" s="778"/>
    </row>
    <row r="7" spans="1:13" x14ac:dyDescent="0.25">
      <c r="A7" s="845" t="s">
        <v>743</v>
      </c>
      <c r="B7" s="846"/>
      <c r="C7" s="846"/>
      <c r="D7" s="846"/>
      <c r="E7" s="846"/>
      <c r="F7" s="846"/>
      <c r="G7" s="846"/>
      <c r="H7" s="846"/>
      <c r="I7" s="778"/>
      <c r="J7" s="778"/>
      <c r="K7" s="778"/>
      <c r="L7" s="778"/>
      <c r="M7" s="778"/>
    </row>
    <row r="8" spans="1:13" x14ac:dyDescent="0.25">
      <c r="A8" s="777"/>
      <c r="B8" s="721"/>
      <c r="C8" s="776"/>
      <c r="D8" s="721"/>
      <c r="E8" s="776"/>
      <c r="F8" s="721"/>
      <c r="G8" s="776"/>
      <c r="H8" s="721"/>
      <c r="I8" s="778"/>
      <c r="J8" s="778"/>
      <c r="K8" s="778"/>
      <c r="L8" s="778"/>
      <c r="M8" s="778"/>
    </row>
    <row r="9" spans="1:13" x14ac:dyDescent="0.25">
      <c r="A9" s="777"/>
      <c r="B9" s="778"/>
      <c r="C9" s="778"/>
      <c r="D9" s="778"/>
      <c r="E9" s="778"/>
      <c r="F9" s="778"/>
      <c r="G9" s="778"/>
      <c r="H9" s="778"/>
      <c r="I9" s="778"/>
      <c r="J9" s="778"/>
      <c r="K9" s="778"/>
      <c r="L9" s="778"/>
      <c r="M9" s="778"/>
    </row>
    <row r="10" spans="1:13" x14ac:dyDescent="0.25">
      <c r="A10" s="777"/>
      <c r="B10" s="721"/>
      <c r="C10" s="776"/>
      <c r="D10" s="721"/>
      <c r="E10" s="776"/>
      <c r="F10" s="721"/>
      <c r="G10" s="776"/>
      <c r="H10" s="721"/>
      <c r="I10" s="778"/>
      <c r="J10" s="778"/>
      <c r="K10" s="778"/>
      <c r="L10" s="778"/>
      <c r="M10" s="778"/>
    </row>
    <row r="11" spans="1:13" x14ac:dyDescent="0.25">
      <c r="A11" s="777"/>
      <c r="B11" s="775"/>
      <c r="C11" s="778"/>
      <c r="D11" s="778"/>
      <c r="E11" s="778"/>
      <c r="F11" s="778"/>
      <c r="G11" s="778"/>
      <c r="H11" s="778"/>
      <c r="I11" s="778"/>
      <c r="J11" s="778"/>
      <c r="K11" s="778"/>
      <c r="L11" s="778"/>
      <c r="M11" s="778"/>
    </row>
    <row r="12" spans="1:13" x14ac:dyDescent="0.25">
      <c r="A12" s="777"/>
      <c r="B12" s="721"/>
      <c r="C12" s="776"/>
      <c r="D12" s="722" t="s">
        <v>5</v>
      </c>
      <c r="E12" s="776"/>
      <c r="F12" s="722" t="s">
        <v>6</v>
      </c>
      <c r="G12" s="776"/>
      <c r="H12" s="722" t="s">
        <v>16</v>
      </c>
      <c r="I12" s="778"/>
      <c r="J12" s="778"/>
      <c r="K12" s="778"/>
      <c r="L12" s="778"/>
      <c r="M12" s="778"/>
    </row>
    <row r="13" spans="1:13" x14ac:dyDescent="0.25">
      <c r="A13" s="777"/>
      <c r="B13" s="721"/>
      <c r="C13" s="776"/>
      <c r="D13" s="722" t="s">
        <v>45</v>
      </c>
      <c r="E13" s="776"/>
      <c r="F13" s="722" t="s">
        <v>45</v>
      </c>
      <c r="G13" s="776"/>
      <c r="H13" s="722" t="s">
        <v>17</v>
      </c>
      <c r="I13" s="778"/>
      <c r="J13" s="778"/>
      <c r="K13" s="778"/>
      <c r="L13" s="778"/>
      <c r="M13" s="778"/>
    </row>
    <row r="14" spans="1:13" x14ac:dyDescent="0.25">
      <c r="A14" s="777"/>
      <c r="B14" s="721" t="s">
        <v>128</v>
      </c>
      <c r="C14" s="776"/>
      <c r="D14" s="722" t="s">
        <v>28</v>
      </c>
      <c r="E14" s="776"/>
      <c r="F14" s="722" t="s">
        <v>28</v>
      </c>
      <c r="G14" s="776"/>
      <c r="H14" s="722" t="s">
        <v>28</v>
      </c>
      <c r="I14" s="778"/>
      <c r="J14" s="778"/>
      <c r="K14" s="778"/>
      <c r="L14" s="778"/>
      <c r="M14" s="778"/>
    </row>
    <row r="15" spans="1:13" x14ac:dyDescent="0.25">
      <c r="A15" s="777"/>
      <c r="B15" s="774">
        <v>-1</v>
      </c>
      <c r="C15" s="776"/>
      <c r="D15" s="773">
        <v>-2</v>
      </c>
      <c r="E15" s="776"/>
      <c r="F15" s="774">
        <v>-3</v>
      </c>
      <c r="G15" s="776"/>
      <c r="H15" s="774">
        <v>-4</v>
      </c>
      <c r="I15" s="778"/>
      <c r="J15" s="778"/>
      <c r="K15" s="778"/>
      <c r="L15" s="778"/>
      <c r="M15" s="778"/>
    </row>
    <row r="16" spans="1:13" x14ac:dyDescent="0.25">
      <c r="A16" s="777"/>
      <c r="B16" s="721"/>
      <c r="C16" s="776"/>
      <c r="D16" s="721"/>
      <c r="E16" s="776"/>
      <c r="F16" s="721"/>
      <c r="G16" s="776"/>
      <c r="H16" s="721"/>
      <c r="I16" s="778"/>
      <c r="J16" s="778"/>
      <c r="K16" s="778"/>
      <c r="L16" s="778"/>
      <c r="M16" s="778"/>
    </row>
    <row r="17" spans="1:13" ht="21" customHeight="1" x14ac:dyDescent="0.25">
      <c r="A17" s="616">
        <v>1</v>
      </c>
      <c r="B17" s="772" t="s">
        <v>129</v>
      </c>
      <c r="C17" s="70"/>
      <c r="D17" s="695">
        <v>5350672439</v>
      </c>
      <c r="E17" s="795"/>
      <c r="F17" s="695">
        <v>798748478</v>
      </c>
      <c r="G17" s="795"/>
      <c r="H17" s="695">
        <f>+D17+F17</f>
        <v>6149420917</v>
      </c>
      <c r="I17" s="778"/>
      <c r="J17" s="778"/>
      <c r="K17" s="778"/>
      <c r="L17" s="778"/>
      <c r="M17" s="778"/>
    </row>
    <row r="18" spans="1:13" ht="13.5" customHeight="1" x14ac:dyDescent="0.25">
      <c r="A18" s="777"/>
      <c r="B18" s="772"/>
      <c r="C18" s="70"/>
      <c r="D18" s="794"/>
      <c r="E18" s="795"/>
      <c r="F18" s="794"/>
      <c r="G18" s="795"/>
      <c r="H18" s="794"/>
      <c r="I18" s="778"/>
      <c r="J18" s="778"/>
      <c r="K18" s="778"/>
      <c r="L18" s="778"/>
      <c r="M18" s="778"/>
    </row>
    <row r="19" spans="1:13" ht="21" customHeight="1" x14ac:dyDescent="0.25">
      <c r="A19" s="616">
        <v>2</v>
      </c>
      <c r="B19" s="772" t="s">
        <v>124</v>
      </c>
      <c r="C19" s="70"/>
      <c r="D19" s="794"/>
      <c r="E19" s="795"/>
      <c r="F19" s="794"/>
      <c r="G19" s="795"/>
      <c r="H19" s="794"/>
      <c r="I19" s="778"/>
      <c r="J19" s="778"/>
      <c r="K19" s="778"/>
      <c r="L19" s="778"/>
      <c r="M19" s="778"/>
    </row>
    <row r="20" spans="1:13" ht="21" customHeight="1" x14ac:dyDescent="0.25">
      <c r="A20" s="616">
        <v>3</v>
      </c>
      <c r="B20" s="772" t="s">
        <v>130</v>
      </c>
      <c r="C20" s="70"/>
      <c r="D20" s="794">
        <v>1883188729</v>
      </c>
      <c r="E20" s="795"/>
      <c r="F20" s="794">
        <v>285302397</v>
      </c>
      <c r="G20" s="795"/>
      <c r="H20" s="794">
        <f>+D20+F20</f>
        <v>2168491126</v>
      </c>
      <c r="I20" s="778"/>
      <c r="J20" s="778"/>
      <c r="K20" s="778"/>
      <c r="L20" s="778"/>
      <c r="M20" s="778"/>
    </row>
    <row r="21" spans="1:13" ht="13.5" customHeight="1" x14ac:dyDescent="0.25">
      <c r="A21" s="616"/>
      <c r="B21" s="772"/>
      <c r="C21" s="70"/>
      <c r="D21" s="794"/>
      <c r="E21" s="795"/>
      <c r="F21" s="794"/>
      <c r="G21" s="795"/>
      <c r="H21" s="794"/>
      <c r="I21" s="778"/>
      <c r="J21" s="778"/>
      <c r="K21" s="778"/>
      <c r="L21" s="778"/>
      <c r="M21" s="778"/>
    </row>
    <row r="22" spans="1:13" ht="21" customHeight="1" x14ac:dyDescent="0.25">
      <c r="A22" s="616">
        <v>4</v>
      </c>
      <c r="B22" s="772" t="s">
        <v>131</v>
      </c>
      <c r="C22" s="70"/>
      <c r="D22" s="793">
        <f>+D17-D20</f>
        <v>3467483710</v>
      </c>
      <c r="E22" s="795"/>
      <c r="F22" s="793">
        <f>+F17-F20</f>
        <v>513446081</v>
      </c>
      <c r="G22" s="795"/>
      <c r="H22" s="793">
        <f>+H17-H20</f>
        <v>3980929791</v>
      </c>
      <c r="I22" s="778"/>
      <c r="J22" s="778"/>
      <c r="K22" s="778"/>
      <c r="L22" s="778"/>
      <c r="M22" s="778"/>
    </row>
    <row r="23" spans="1:13" ht="13.5" customHeight="1" x14ac:dyDescent="0.25">
      <c r="A23" s="616"/>
      <c r="B23" s="772"/>
      <c r="C23" s="70"/>
      <c r="D23" s="794"/>
      <c r="E23" s="795"/>
      <c r="F23" s="794"/>
      <c r="G23" s="795"/>
      <c r="H23" s="794"/>
      <c r="I23" s="778"/>
      <c r="J23" s="778"/>
      <c r="K23" s="778"/>
      <c r="L23" s="778"/>
      <c r="M23" s="778"/>
    </row>
    <row r="24" spans="1:13" ht="21" customHeight="1" x14ac:dyDescent="0.25">
      <c r="A24" s="616">
        <v>5</v>
      </c>
      <c r="B24" s="772" t="s">
        <v>124</v>
      </c>
      <c r="C24" s="70"/>
      <c r="D24" s="794"/>
      <c r="E24" s="795"/>
      <c r="F24" s="794"/>
      <c r="G24" s="795"/>
      <c r="H24" s="794"/>
      <c r="I24" s="778"/>
      <c r="J24" s="778"/>
      <c r="K24" s="778"/>
      <c r="L24" s="778"/>
      <c r="M24" s="778"/>
    </row>
    <row r="25" spans="1:13" ht="21" customHeight="1" x14ac:dyDescent="0.25">
      <c r="A25" s="616">
        <v>6</v>
      </c>
      <c r="B25" s="772" t="s">
        <v>132</v>
      </c>
      <c r="C25" s="70"/>
      <c r="D25" s="794">
        <v>2913732</v>
      </c>
      <c r="E25" s="795"/>
      <c r="F25" s="794">
        <v>14190</v>
      </c>
      <c r="G25" s="795"/>
      <c r="H25" s="794">
        <f>+D25+F25</f>
        <v>2927922</v>
      </c>
      <c r="I25" s="778"/>
      <c r="J25" s="778"/>
      <c r="K25" s="778"/>
      <c r="L25" s="778"/>
      <c r="M25" s="778"/>
    </row>
    <row r="26" spans="1:13" ht="21" customHeight="1" x14ac:dyDescent="0.25">
      <c r="A26" s="616">
        <v>7</v>
      </c>
      <c r="B26" s="772" t="s">
        <v>133</v>
      </c>
      <c r="C26" s="70"/>
      <c r="D26" s="794">
        <v>296292573</v>
      </c>
      <c r="E26" s="795"/>
      <c r="F26" s="794">
        <v>42497132</v>
      </c>
      <c r="G26" s="795"/>
      <c r="H26" s="794">
        <f>+D26+F26</f>
        <v>338789705</v>
      </c>
      <c r="I26" s="778"/>
      <c r="J26" s="778"/>
      <c r="K26" s="778"/>
      <c r="L26" s="778"/>
      <c r="M26" s="778"/>
    </row>
    <row r="27" spans="1:13" ht="21" customHeight="1" x14ac:dyDescent="0.25">
      <c r="A27" s="616">
        <v>8</v>
      </c>
      <c r="B27" s="782" t="s">
        <v>599</v>
      </c>
      <c r="C27" s="70"/>
      <c r="D27" s="795">
        <v>3799783</v>
      </c>
      <c r="E27" s="795"/>
      <c r="F27" s="795">
        <v>595265.52999999933</v>
      </c>
      <c r="G27" s="795"/>
      <c r="H27" s="794">
        <f>+D27+F27</f>
        <v>4395048.5299999993</v>
      </c>
      <c r="I27" s="796"/>
      <c r="J27" s="797"/>
      <c r="K27" s="785"/>
      <c r="L27" s="743"/>
      <c r="M27" s="743"/>
    </row>
    <row r="28" spans="1:13" ht="21" customHeight="1" x14ac:dyDescent="0.25">
      <c r="A28" s="616">
        <v>9</v>
      </c>
      <c r="B28" s="782" t="s">
        <v>600</v>
      </c>
      <c r="C28" s="70"/>
      <c r="D28" s="795">
        <v>3581116</v>
      </c>
      <c r="E28" s="795"/>
      <c r="F28" s="795">
        <v>561009.10999999987</v>
      </c>
      <c r="G28" s="795"/>
      <c r="H28" s="794">
        <f>+D28+F28</f>
        <v>4142125.11</v>
      </c>
      <c r="I28" s="796"/>
      <c r="J28" s="743"/>
      <c r="K28" s="743"/>
      <c r="L28" s="743"/>
      <c r="M28" s="743"/>
    </row>
    <row r="29" spans="1:13" ht="21" customHeight="1" x14ac:dyDescent="0.25">
      <c r="A29" s="616">
        <v>10</v>
      </c>
      <c r="B29" s="770" t="s">
        <v>134</v>
      </c>
      <c r="C29" s="70"/>
      <c r="D29" s="795">
        <v>89176441</v>
      </c>
      <c r="E29" s="795"/>
      <c r="F29" s="795">
        <v>14988828</v>
      </c>
      <c r="G29" s="795"/>
      <c r="H29" s="794">
        <f>+D29+F29</f>
        <v>104165269</v>
      </c>
      <c r="I29" s="778"/>
      <c r="J29" s="778"/>
      <c r="K29" s="778"/>
      <c r="L29" s="778"/>
      <c r="M29" s="778"/>
    </row>
    <row r="30" spans="1:13" ht="12" customHeight="1" x14ac:dyDescent="0.25">
      <c r="A30" s="616"/>
      <c r="B30" s="772"/>
      <c r="C30" s="70"/>
      <c r="D30" s="795"/>
      <c r="E30" s="795"/>
      <c r="F30" s="795"/>
      <c r="G30" s="795"/>
      <c r="H30" s="795"/>
      <c r="I30" s="778"/>
      <c r="J30" s="778"/>
      <c r="K30" s="778"/>
      <c r="L30" s="778"/>
      <c r="M30" s="778"/>
    </row>
    <row r="31" spans="1:13" ht="21" customHeight="1" x14ac:dyDescent="0.25">
      <c r="A31" s="616">
        <v>11</v>
      </c>
      <c r="B31" s="772" t="s">
        <v>125</v>
      </c>
      <c r="C31" s="70"/>
      <c r="D31" s="793">
        <f>SUM(D25:D30)</f>
        <v>395763645</v>
      </c>
      <c r="E31" s="795"/>
      <c r="F31" s="793">
        <f>SUM(F25:F30)</f>
        <v>58656424.640000001</v>
      </c>
      <c r="G31" s="795"/>
      <c r="H31" s="793">
        <f>SUM(H25:H30)</f>
        <v>454420069.63999999</v>
      </c>
      <c r="I31" s="778"/>
      <c r="J31" s="778"/>
      <c r="K31" s="778"/>
      <c r="L31" s="778"/>
      <c r="M31" s="778"/>
    </row>
    <row r="32" spans="1:13" ht="13.5" customHeight="1" x14ac:dyDescent="0.25">
      <c r="A32" s="777"/>
      <c r="B32" s="772"/>
      <c r="C32" s="70"/>
      <c r="D32" s="794"/>
      <c r="E32" s="795"/>
      <c r="F32" s="794"/>
      <c r="G32" s="795"/>
      <c r="H32" s="794"/>
      <c r="I32" s="778"/>
      <c r="J32" s="778"/>
      <c r="K32" s="778"/>
      <c r="L32" s="778"/>
      <c r="M32" s="778"/>
    </row>
    <row r="33" spans="1:8" s="71" customFormat="1" ht="21" customHeight="1" x14ac:dyDescent="0.25">
      <c r="A33" s="777">
        <v>12</v>
      </c>
      <c r="B33" s="772" t="s">
        <v>741</v>
      </c>
      <c r="C33" s="70"/>
      <c r="D33" s="793">
        <f>+D22-D31</f>
        <v>3071720065</v>
      </c>
      <c r="E33" s="795"/>
      <c r="F33" s="793">
        <f>+F22-F31</f>
        <v>454789656.36000001</v>
      </c>
      <c r="G33" s="795"/>
      <c r="H33" s="793">
        <f>+H22-H31</f>
        <v>3526509721.3600001</v>
      </c>
    </row>
    <row r="34" spans="1:8" s="71" customFormat="1" ht="21" customHeight="1" x14ac:dyDescent="0.25">
      <c r="A34" s="777"/>
      <c r="B34" s="772"/>
      <c r="C34" s="70"/>
      <c r="D34" s="794"/>
      <c r="E34" s="795"/>
      <c r="F34" s="794"/>
      <c r="G34" s="795"/>
      <c r="H34" s="794"/>
    </row>
    <row r="35" spans="1:8" s="71" customFormat="1" ht="21" customHeight="1" x14ac:dyDescent="0.25">
      <c r="A35" s="777">
        <v>13</v>
      </c>
      <c r="B35" s="772" t="s">
        <v>135</v>
      </c>
      <c r="C35" s="70"/>
      <c r="D35" s="794"/>
      <c r="E35" s="795"/>
      <c r="F35" s="794"/>
      <c r="G35" s="795"/>
      <c r="H35" s="794"/>
    </row>
    <row r="36" spans="1:8" s="71" customFormat="1" ht="21" customHeight="1" x14ac:dyDescent="0.25">
      <c r="A36" s="616">
        <v>14</v>
      </c>
      <c r="B36" s="770" t="s">
        <v>136</v>
      </c>
      <c r="C36" s="70"/>
      <c r="D36" s="794">
        <v>108594318</v>
      </c>
      <c r="E36" s="795"/>
      <c r="F36" s="795">
        <v>16463712</v>
      </c>
      <c r="G36" s="795"/>
      <c r="H36" s="794">
        <f>+D36+F36</f>
        <v>125058030</v>
      </c>
    </row>
    <row r="37" spans="1:8" s="71" customFormat="1" ht="21" customHeight="1" x14ac:dyDescent="0.25">
      <c r="A37" s="616">
        <v>15</v>
      </c>
      <c r="B37" s="770" t="s">
        <v>137</v>
      </c>
      <c r="C37" s="70"/>
      <c r="D37" s="794">
        <v>2568644</v>
      </c>
      <c r="E37" s="795"/>
      <c r="F37" s="795">
        <v>1484165</v>
      </c>
      <c r="G37" s="795"/>
      <c r="H37" s="794">
        <f>+D37+F37</f>
        <v>4052809</v>
      </c>
    </row>
    <row r="38" spans="1:8" s="71" customFormat="1" ht="13.5" customHeight="1" x14ac:dyDescent="0.25">
      <c r="A38" s="616">
        <v>16</v>
      </c>
      <c r="B38" s="772" t="s">
        <v>601</v>
      </c>
      <c r="C38" s="70"/>
      <c r="D38" s="794">
        <v>807250</v>
      </c>
      <c r="E38" s="795"/>
      <c r="F38" s="795">
        <v>126467</v>
      </c>
      <c r="G38" s="795"/>
      <c r="H38" s="794">
        <f>+D38+F38</f>
        <v>933717</v>
      </c>
    </row>
    <row r="39" spans="1:8" s="71" customFormat="1" ht="21" customHeight="1" x14ac:dyDescent="0.25">
      <c r="A39" s="616">
        <v>17</v>
      </c>
      <c r="B39" s="772" t="s">
        <v>139</v>
      </c>
      <c r="C39" s="70"/>
      <c r="D39" s="795">
        <v>80506803</v>
      </c>
      <c r="E39" s="795"/>
      <c r="F39" s="795">
        <v>6538044</v>
      </c>
      <c r="G39" s="795"/>
      <c r="H39" s="794">
        <f>+D39+F39</f>
        <v>87044847</v>
      </c>
    </row>
    <row r="40" spans="1:8" s="71" customFormat="1" ht="13.5" customHeight="1" x14ac:dyDescent="0.25">
      <c r="A40" s="616"/>
      <c r="B40" s="772"/>
      <c r="C40" s="70"/>
      <c r="D40" s="795"/>
      <c r="E40" s="795"/>
      <c r="F40" s="795"/>
      <c r="G40" s="795"/>
      <c r="H40" s="795"/>
    </row>
    <row r="41" spans="1:8" s="71" customFormat="1" ht="21" customHeight="1" x14ac:dyDescent="0.25">
      <c r="A41" s="616">
        <v>18</v>
      </c>
      <c r="B41" s="781" t="s">
        <v>140</v>
      </c>
      <c r="C41" s="70"/>
      <c r="D41" s="793">
        <f>SUM(D36:D40)</f>
        <v>192477015</v>
      </c>
      <c r="E41" s="795"/>
      <c r="F41" s="793">
        <f>SUM(F36:F40)</f>
        <v>24612388</v>
      </c>
      <c r="G41" s="795"/>
      <c r="H41" s="793">
        <f>SUM(H36:H40)</f>
        <v>217089403</v>
      </c>
    </row>
    <row r="42" spans="1:8" s="71" customFormat="1" ht="13.5" customHeight="1" x14ac:dyDescent="0.25">
      <c r="A42" s="616"/>
      <c r="B42" s="772"/>
      <c r="C42" s="70"/>
      <c r="D42" s="794"/>
      <c r="E42" s="795"/>
      <c r="F42" s="794"/>
      <c r="G42" s="795"/>
      <c r="H42" s="794"/>
    </row>
    <row r="43" spans="1:8" s="71" customFormat="1" ht="15.75" customHeight="1" thickBot="1" x14ac:dyDescent="0.3">
      <c r="A43" s="616">
        <v>19</v>
      </c>
      <c r="B43" s="770" t="s">
        <v>141</v>
      </c>
      <c r="C43" s="70"/>
      <c r="D43" s="703">
        <f>+D22-D31+D41</f>
        <v>3264197080</v>
      </c>
      <c r="E43" s="704"/>
      <c r="F43" s="703">
        <f>+F22-F31+F41</f>
        <v>479402044.36000001</v>
      </c>
      <c r="G43" s="704"/>
      <c r="H43" s="703">
        <f>+H22-H31+H41</f>
        <v>3743599124.3600001</v>
      </c>
    </row>
    <row r="44" spans="1:8" s="71" customFormat="1" ht="21" customHeight="1" thickTop="1" x14ac:dyDescent="0.25">
      <c r="A44" s="616"/>
      <c r="B44" s="772"/>
      <c r="C44" s="70"/>
      <c r="D44" s="794"/>
      <c r="E44" s="795"/>
      <c r="F44" s="794"/>
      <c r="G44" s="795"/>
      <c r="H44" s="794"/>
    </row>
    <row r="45" spans="1:8" s="71" customFormat="1" ht="18.95" customHeight="1" x14ac:dyDescent="0.25">
      <c r="A45" s="616"/>
      <c r="B45" s="778"/>
      <c r="C45" s="70"/>
      <c r="D45" s="794"/>
      <c r="E45" s="795"/>
      <c r="F45" s="794"/>
      <c r="G45" s="795"/>
      <c r="H45" s="794"/>
    </row>
    <row r="46" spans="1:8" s="71" customFormat="1" ht="21" customHeight="1" thickBot="1" x14ac:dyDescent="0.3">
      <c r="A46" s="749">
        <v>20</v>
      </c>
      <c r="B46" s="770" t="s">
        <v>142</v>
      </c>
      <c r="C46" s="743"/>
      <c r="D46" s="705">
        <f>ROUND(D43/$H43,4)</f>
        <v>0.87190000000000001</v>
      </c>
      <c r="E46" s="559"/>
      <c r="F46" s="705">
        <f>ROUND(F43/$H43,4)</f>
        <v>0.12809999999999999</v>
      </c>
      <c r="G46" s="559"/>
      <c r="H46" s="705">
        <f>ROUND(H43/$H43,4)</f>
        <v>1</v>
      </c>
    </row>
    <row r="47" spans="1:8" s="71" customFormat="1" ht="18.95" customHeight="1" thickTop="1" x14ac:dyDescent="0.25">
      <c r="A47" s="743"/>
      <c r="B47" s="778"/>
      <c r="C47" s="743"/>
      <c r="D47" s="778"/>
      <c r="E47" s="743"/>
      <c r="F47" s="778"/>
      <c r="G47" s="743"/>
      <c r="H47" s="778"/>
    </row>
    <row r="48" spans="1:8" s="71" customFormat="1" ht="18.95" customHeight="1" x14ac:dyDescent="0.25">
      <c r="A48" s="616">
        <v>21</v>
      </c>
      <c r="B48" s="772" t="s">
        <v>43</v>
      </c>
      <c r="C48" s="70"/>
      <c r="D48" s="695">
        <v>184459901</v>
      </c>
      <c r="E48" s="795"/>
      <c r="F48" s="695">
        <v>13894607</v>
      </c>
      <c r="G48" s="795"/>
      <c r="H48" s="695">
        <v>198354508</v>
      </c>
    </row>
    <row r="49" spans="1:8" s="71" customFormat="1" ht="18.95" customHeight="1" thickBot="1" x14ac:dyDescent="0.3">
      <c r="A49" s="743"/>
      <c r="B49" s="778"/>
      <c r="C49" s="743"/>
      <c r="D49" s="792"/>
      <c r="E49" s="743"/>
      <c r="F49" s="778"/>
      <c r="G49" s="743"/>
      <c r="H49" s="778"/>
    </row>
    <row r="50" spans="1:8" s="71" customFormat="1" ht="18.95" customHeight="1" thickBot="1" x14ac:dyDescent="0.3">
      <c r="A50" s="749">
        <v>22</v>
      </c>
      <c r="B50" s="743" t="s">
        <v>81</v>
      </c>
      <c r="C50" s="743"/>
      <c r="D50" s="762">
        <f>ROUND(D48/D43,4)</f>
        <v>5.6500000000000002E-2</v>
      </c>
      <c r="E50" s="26"/>
      <c r="F50" s="779">
        <f>ROUND(F48/F43,4)</f>
        <v>2.9000000000000001E-2</v>
      </c>
      <c r="G50" s="26"/>
      <c r="H50" s="762">
        <f>ROUND(H48/H43,4)</f>
        <v>5.2999999999999999E-2</v>
      </c>
    </row>
    <row r="51" spans="1:8" s="71" customFormat="1" ht="18.95" customHeight="1" x14ac:dyDescent="0.25">
      <c r="A51" s="743"/>
      <c r="B51" s="778"/>
      <c r="C51" s="743"/>
      <c r="D51" s="778"/>
      <c r="E51" s="743"/>
      <c r="F51" s="778"/>
      <c r="G51" s="743"/>
      <c r="H51" s="778"/>
    </row>
    <row r="52" spans="1:8" s="71" customFormat="1" ht="18.95" customHeight="1" x14ac:dyDescent="0.25">
      <c r="A52" s="732" t="s">
        <v>3</v>
      </c>
      <c r="B52" s="770" t="s">
        <v>143</v>
      </c>
      <c r="C52" s="743"/>
      <c r="D52" s="778"/>
      <c r="E52" s="743"/>
      <c r="F52" s="778"/>
      <c r="G52" s="743"/>
      <c r="H52" s="778"/>
    </row>
    <row r="53" spans="1:8" s="71" customFormat="1" x14ac:dyDescent="0.25">
      <c r="A53" s="759" t="s">
        <v>144</v>
      </c>
      <c r="B53" s="767" t="s">
        <v>145</v>
      </c>
      <c r="C53" s="743"/>
      <c r="D53" s="778"/>
      <c r="E53" s="743"/>
      <c r="F53" s="778"/>
      <c r="G53" s="743"/>
      <c r="H53" s="778"/>
    </row>
    <row r="54" spans="1:8" s="71" customFormat="1" x14ac:dyDescent="0.25">
      <c r="A54" s="759" t="s">
        <v>146</v>
      </c>
      <c r="B54" s="743" t="s">
        <v>602</v>
      </c>
      <c r="C54" s="743"/>
      <c r="D54" s="778"/>
      <c r="E54" s="743"/>
      <c r="F54" s="778"/>
      <c r="G54" s="743"/>
      <c r="H54" s="778"/>
    </row>
    <row r="55" spans="1:8" s="71" customFormat="1" x14ac:dyDescent="0.25">
      <c r="A55" s="778"/>
      <c r="B55" s="778"/>
      <c r="C55" s="778"/>
      <c r="D55" s="778"/>
      <c r="E55" s="778"/>
      <c r="F55" s="778"/>
      <c r="G55" s="743"/>
      <c r="H55" s="731"/>
    </row>
    <row r="56" spans="1:8" s="71" customFormat="1" x14ac:dyDescent="0.25">
      <c r="A56" s="778"/>
      <c r="B56" s="778"/>
      <c r="C56" s="778"/>
      <c r="D56" s="778"/>
      <c r="E56" s="778"/>
      <c r="F56" s="778"/>
      <c r="G56" s="743"/>
      <c r="H56" s="731"/>
    </row>
    <row r="57" spans="1:8" x14ac:dyDescent="0.25">
      <c r="A57" s="778"/>
      <c r="B57" s="778"/>
      <c r="C57" s="778"/>
      <c r="D57" s="778"/>
      <c r="E57" s="778"/>
      <c r="F57" s="778"/>
      <c r="G57" s="743"/>
      <c r="H57" s="731"/>
    </row>
    <row r="58" spans="1:8" s="71" customFormat="1" x14ac:dyDescent="0.25">
      <c r="A58" s="847" t="s">
        <v>126</v>
      </c>
      <c r="B58" s="847"/>
      <c r="C58" s="847"/>
      <c r="D58" s="847"/>
      <c r="E58" s="847"/>
      <c r="F58" s="847"/>
      <c r="G58" s="847"/>
      <c r="H58" s="847"/>
    </row>
    <row r="59" spans="1:8" s="71" customFormat="1" x14ac:dyDescent="0.25">
      <c r="A59" s="766"/>
      <c r="B59" s="766"/>
      <c r="C59" s="766"/>
      <c r="D59" s="766"/>
      <c r="E59" s="766"/>
      <c r="F59" s="766"/>
      <c r="G59" s="766"/>
      <c r="H59" s="766"/>
    </row>
    <row r="60" spans="1:8" s="71" customFormat="1" x14ac:dyDescent="0.25">
      <c r="A60" s="848" t="s">
        <v>148</v>
      </c>
      <c r="B60" s="848"/>
      <c r="C60" s="848"/>
      <c r="D60" s="848"/>
      <c r="E60" s="848"/>
      <c r="F60" s="848"/>
      <c r="G60" s="848"/>
      <c r="H60" s="848"/>
    </row>
    <row r="61" spans="1:8" s="71" customFormat="1" x14ac:dyDescent="0.25">
      <c r="A61" s="846" t="s">
        <v>743</v>
      </c>
      <c r="B61" s="846"/>
      <c r="C61" s="846"/>
      <c r="D61" s="846"/>
      <c r="E61" s="846"/>
      <c r="F61" s="846"/>
      <c r="G61" s="846"/>
      <c r="H61" s="846"/>
    </row>
    <row r="62" spans="1:8" s="71" customFormat="1" x14ac:dyDescent="0.25">
      <c r="A62" s="777"/>
      <c r="B62" s="721"/>
      <c r="C62" s="776"/>
      <c r="D62" s="721"/>
      <c r="E62" s="776"/>
      <c r="F62" s="778"/>
      <c r="G62" s="743"/>
      <c r="H62" s="778"/>
    </row>
    <row r="63" spans="1:8" s="71" customFormat="1" x14ac:dyDescent="0.25">
      <c r="A63" s="777"/>
      <c r="B63" s="778"/>
      <c r="C63" s="778"/>
      <c r="D63" s="778"/>
      <c r="E63" s="778"/>
      <c r="F63" s="778"/>
      <c r="G63" s="743"/>
      <c r="H63" s="778"/>
    </row>
    <row r="64" spans="1:8" s="71" customFormat="1" x14ac:dyDescent="0.25">
      <c r="A64" s="777"/>
      <c r="B64" s="721"/>
      <c r="C64" s="776"/>
      <c r="D64" s="721"/>
      <c r="E64" s="776"/>
      <c r="F64" s="778"/>
      <c r="G64" s="743"/>
      <c r="H64" s="778"/>
    </row>
    <row r="65" spans="1:9" s="71" customFormat="1" x14ac:dyDescent="0.25">
      <c r="A65" s="777"/>
      <c r="B65" s="778"/>
      <c r="C65" s="778"/>
      <c r="D65" s="778"/>
      <c r="E65" s="778"/>
      <c r="F65" s="778"/>
      <c r="G65" s="778"/>
      <c r="H65" s="778"/>
      <c r="I65" s="778"/>
    </row>
    <row r="66" spans="1:9" s="71" customFormat="1" x14ac:dyDescent="0.25">
      <c r="A66" s="777"/>
      <c r="B66" s="721"/>
      <c r="C66" s="776"/>
      <c r="D66" s="722" t="s">
        <v>5</v>
      </c>
      <c r="E66" s="776"/>
      <c r="F66" s="722" t="s">
        <v>6</v>
      </c>
      <c r="G66" s="776"/>
      <c r="H66" s="722" t="s">
        <v>16</v>
      </c>
      <c r="I66" s="778"/>
    </row>
    <row r="67" spans="1:9" s="71" customFormat="1" x14ac:dyDescent="0.25">
      <c r="A67" s="777"/>
      <c r="B67" s="721"/>
      <c r="C67" s="776"/>
      <c r="D67" s="722" t="s">
        <v>45</v>
      </c>
      <c r="E67" s="776"/>
      <c r="F67" s="722" t="s">
        <v>45</v>
      </c>
      <c r="G67" s="776"/>
      <c r="H67" s="722" t="s">
        <v>17</v>
      </c>
      <c r="I67" s="778"/>
    </row>
    <row r="68" spans="1:9" s="71" customFormat="1" x14ac:dyDescent="0.25">
      <c r="A68" s="777"/>
      <c r="B68" s="721" t="s">
        <v>128</v>
      </c>
      <c r="C68" s="776"/>
      <c r="D68" s="722" t="s">
        <v>28</v>
      </c>
      <c r="E68" s="776"/>
      <c r="F68" s="722" t="s">
        <v>28</v>
      </c>
      <c r="G68" s="776"/>
      <c r="H68" s="722" t="s">
        <v>28</v>
      </c>
      <c r="I68" s="778"/>
    </row>
    <row r="69" spans="1:9" s="71" customFormat="1" ht="21" customHeight="1" x14ac:dyDescent="0.25">
      <c r="A69" s="777"/>
      <c r="B69" s="774">
        <v>-1</v>
      </c>
      <c r="C69" s="776"/>
      <c r="D69" s="773">
        <v>-2</v>
      </c>
      <c r="E69" s="776"/>
      <c r="F69" s="774">
        <v>-3</v>
      </c>
      <c r="G69" s="776"/>
      <c r="H69" s="774">
        <v>-4</v>
      </c>
      <c r="I69" s="778"/>
    </row>
    <row r="70" spans="1:9" s="71" customFormat="1" ht="21" customHeight="1" x14ac:dyDescent="0.25">
      <c r="A70" s="777"/>
      <c r="B70" s="721"/>
      <c r="C70" s="776"/>
      <c r="D70" s="721"/>
      <c r="E70" s="776"/>
      <c r="F70" s="721"/>
      <c r="G70" s="776"/>
      <c r="H70" s="721"/>
      <c r="I70" s="778"/>
    </row>
    <row r="71" spans="1:9" s="71" customFormat="1" ht="15" customHeight="1" x14ac:dyDescent="0.25">
      <c r="A71" s="765" t="s">
        <v>149</v>
      </c>
      <c r="B71" s="767" t="s">
        <v>150</v>
      </c>
      <c r="C71" s="778"/>
      <c r="D71" s="778"/>
      <c r="E71" s="778"/>
      <c r="F71" s="778"/>
      <c r="G71" s="778"/>
      <c r="H71" s="778"/>
      <c r="I71" s="778"/>
    </row>
    <row r="72" spans="1:9" s="71" customFormat="1" ht="21" customHeight="1" x14ac:dyDescent="0.25">
      <c r="A72" s="765"/>
      <c r="B72" s="770" t="s">
        <v>744</v>
      </c>
      <c r="C72" s="778"/>
      <c r="D72" s="695">
        <v>816604182</v>
      </c>
      <c r="E72" s="778"/>
      <c r="F72" s="695">
        <v>115481280</v>
      </c>
      <c r="G72" s="778"/>
      <c r="H72" s="695">
        <v>932085462</v>
      </c>
      <c r="I72" s="778"/>
    </row>
    <row r="73" spans="1:9" s="71" customFormat="1" ht="21" customHeight="1" x14ac:dyDescent="0.25">
      <c r="A73" s="765"/>
      <c r="B73" s="767"/>
      <c r="C73" s="778"/>
      <c r="D73" s="778"/>
      <c r="E73" s="778"/>
      <c r="F73" s="778"/>
      <c r="G73" s="778"/>
      <c r="H73" s="778"/>
      <c r="I73" s="778"/>
    </row>
    <row r="74" spans="1:9" s="71" customFormat="1" ht="21" customHeight="1" x14ac:dyDescent="0.25">
      <c r="A74" s="758" t="s">
        <v>151</v>
      </c>
      <c r="B74" s="767" t="s">
        <v>124</v>
      </c>
      <c r="C74" s="778"/>
      <c r="D74" s="778"/>
      <c r="E74" s="778"/>
      <c r="F74" s="778"/>
      <c r="G74" s="778"/>
      <c r="H74" s="778"/>
      <c r="I74" s="778"/>
    </row>
    <row r="75" spans="1:9" s="71" customFormat="1" ht="13.5" customHeight="1" x14ac:dyDescent="0.25">
      <c r="A75" s="758" t="s">
        <v>152</v>
      </c>
      <c r="B75" s="585" t="s">
        <v>153</v>
      </c>
      <c r="C75" s="786"/>
      <c r="D75" s="798">
        <v>172549759</v>
      </c>
      <c r="E75" s="786"/>
      <c r="F75" s="798">
        <v>26263640</v>
      </c>
      <c r="G75" s="794"/>
      <c r="H75" s="798">
        <v>198813399</v>
      </c>
      <c r="I75" s="796"/>
    </row>
    <row r="76" spans="1:9" s="71" customFormat="1" ht="21" customHeight="1" x14ac:dyDescent="0.25">
      <c r="A76" s="758" t="s">
        <v>154</v>
      </c>
      <c r="B76" s="760" t="s">
        <v>155</v>
      </c>
      <c r="C76" s="778"/>
      <c r="D76" s="695">
        <v>172549759</v>
      </c>
      <c r="E76" s="778"/>
      <c r="F76" s="695">
        <v>26263640</v>
      </c>
      <c r="G76" s="778"/>
      <c r="H76" s="695">
        <v>198813399</v>
      </c>
      <c r="I76" s="778"/>
    </row>
    <row r="77" spans="1:9" s="71" customFormat="1" ht="15" customHeight="1" x14ac:dyDescent="0.25">
      <c r="A77" s="758"/>
      <c r="B77" s="730"/>
      <c r="C77" s="778"/>
      <c r="D77" s="754"/>
      <c r="E77" s="778"/>
      <c r="F77" s="754"/>
      <c r="G77" s="778"/>
      <c r="H77" s="754"/>
      <c r="I77" s="778"/>
    </row>
    <row r="78" spans="1:9" s="71" customFormat="1" ht="21" customHeight="1" thickBot="1" x14ac:dyDescent="0.3">
      <c r="A78" s="758" t="s">
        <v>156</v>
      </c>
      <c r="B78" s="730" t="s">
        <v>157</v>
      </c>
      <c r="C78" s="778"/>
      <c r="D78" s="703">
        <v>644054423</v>
      </c>
      <c r="E78" s="778"/>
      <c r="F78" s="703">
        <v>89217640</v>
      </c>
      <c r="G78" s="778"/>
      <c r="H78" s="703">
        <v>733272063</v>
      </c>
      <c r="I78" s="778"/>
    </row>
    <row r="79" spans="1:9" s="71" customFormat="1" ht="21" customHeight="1" thickTop="1" x14ac:dyDescent="0.25">
      <c r="A79" s="758"/>
      <c r="B79" s="730"/>
      <c r="C79" s="778"/>
      <c r="D79" s="778"/>
      <c r="E79" s="778"/>
      <c r="F79" s="778"/>
      <c r="G79" s="778"/>
      <c r="H79" s="778"/>
      <c r="I79" s="778"/>
    </row>
    <row r="80" spans="1:9" s="71" customFormat="1" ht="18.95" customHeight="1" thickBot="1" x14ac:dyDescent="0.3">
      <c r="A80" s="758" t="s">
        <v>158</v>
      </c>
      <c r="B80" s="730" t="s">
        <v>159</v>
      </c>
      <c r="C80" s="778"/>
      <c r="D80" s="713">
        <v>80506803</v>
      </c>
      <c r="E80" s="730"/>
      <c r="F80" s="713">
        <v>6538044</v>
      </c>
      <c r="G80" s="730"/>
      <c r="H80" s="713">
        <v>87044847</v>
      </c>
      <c r="I80" s="778"/>
    </row>
    <row r="81" spans="1:8" ht="18.95" customHeight="1" thickTop="1" x14ac:dyDescent="0.25">
      <c r="A81" s="758"/>
      <c r="B81" s="730"/>
      <c r="C81" s="778"/>
      <c r="D81" s="791"/>
      <c r="E81" s="730"/>
      <c r="F81" s="791"/>
      <c r="G81" s="730"/>
      <c r="H81" s="791"/>
    </row>
    <row r="82" spans="1:8" ht="18.95" customHeight="1" x14ac:dyDescent="0.25">
      <c r="A82" s="778"/>
      <c r="B82" s="730" t="s">
        <v>160</v>
      </c>
      <c r="C82" s="778"/>
      <c r="D82" s="778"/>
      <c r="E82" s="778"/>
      <c r="F82" s="780"/>
      <c r="G82" s="743"/>
      <c r="H82" s="778"/>
    </row>
    <row r="83" spans="1:8" x14ac:dyDescent="0.25">
      <c r="A83" s="778"/>
      <c r="B83" s="730" t="s">
        <v>161</v>
      </c>
      <c r="C83" s="778"/>
      <c r="D83" s="778"/>
      <c r="E83" s="778"/>
      <c r="F83" s="778"/>
      <c r="G83" s="743"/>
      <c r="H83" s="778"/>
    </row>
    <row r="84" spans="1:8" x14ac:dyDescent="0.25">
      <c r="A84" s="778"/>
      <c r="B84" s="743" t="s">
        <v>162</v>
      </c>
      <c r="C84" s="778"/>
      <c r="D84" s="778"/>
      <c r="E84" s="778"/>
      <c r="F84" s="778"/>
      <c r="G84" s="743"/>
      <c r="H84" s="778"/>
    </row>
  </sheetData>
  <mergeCells count="6">
    <mergeCell ref="A61:H61"/>
    <mergeCell ref="A4:H4"/>
    <mergeCell ref="A6:H6"/>
    <mergeCell ref="A7:H7"/>
    <mergeCell ref="A58:H58"/>
    <mergeCell ref="A60:H60"/>
  </mergeCells>
  <printOptions horizontalCentered="1"/>
  <pageMargins left="1" right="0.69" top="0.75" bottom="0.5" header="0.75" footer="0.25"/>
  <pageSetup scale="66" orientation="portrait" r:id="rId1"/>
  <headerFooter alignWithMargins="0">
    <oddHeader>&amp;R&amp;"Times New Roman,Bold"&amp;14Attachment to Response to Question No. 38
Page &amp;P of &amp;N
Blake</oddHeader>
  </headerFooter>
  <rowBreaks count="1" manualBreakCount="1">
    <brk id="56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M82"/>
  <sheetViews>
    <sheetView showGridLines="0" tabSelected="1" zoomScaleNormal="100" zoomScaleSheetLayoutView="65" workbookViewId="0">
      <pane xSplit="3" ySplit="15" topLeftCell="D64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10.28515625" defaultRowHeight="15.75" x14ac:dyDescent="0.25"/>
  <cols>
    <col min="1" max="1" width="4.85546875" style="25" bestFit="1" customWidth="1"/>
    <col min="2" max="2" width="60.5703125" style="26" customWidth="1"/>
    <col min="3" max="3" width="1.85546875" style="27" customWidth="1"/>
    <col min="4" max="4" width="22.7109375" style="26" customWidth="1"/>
    <col min="5" max="5" width="1.85546875" style="27" customWidth="1"/>
    <col min="6" max="6" width="21.140625" style="26" customWidth="1"/>
    <col min="7" max="7" width="1.85546875" style="27" customWidth="1"/>
    <col min="8" max="8" width="21.85546875" style="26" customWidth="1"/>
    <col min="9" max="9" width="10.5703125" style="29" bestFit="1" customWidth="1"/>
    <col min="10" max="10" width="13.42578125" style="26" bestFit="1" customWidth="1"/>
    <col min="11" max="11" width="11.5703125" style="26" bestFit="1" customWidth="1"/>
    <col min="12" max="12" width="17.5703125" style="26" bestFit="1" customWidth="1"/>
    <col min="13" max="16384" width="10.28515625" style="26"/>
  </cols>
  <sheetData>
    <row r="4" spans="1:13" x14ac:dyDescent="0.25">
      <c r="A4" s="849" t="s">
        <v>126</v>
      </c>
      <c r="B4" s="849"/>
      <c r="C4" s="849"/>
      <c r="D4" s="849"/>
      <c r="E4" s="849"/>
      <c r="F4" s="849"/>
      <c r="G4" s="849"/>
      <c r="H4" s="849"/>
    </row>
    <row r="6" spans="1:13" x14ac:dyDescent="0.25">
      <c r="A6" s="850" t="s">
        <v>127</v>
      </c>
      <c r="B6" s="850"/>
      <c r="C6" s="850"/>
      <c r="D6" s="850"/>
      <c r="E6" s="850"/>
      <c r="F6" s="850"/>
      <c r="G6" s="850"/>
      <c r="H6" s="850"/>
    </row>
    <row r="7" spans="1:13" x14ac:dyDescent="0.25">
      <c r="A7" s="852" t="s">
        <v>188</v>
      </c>
      <c r="B7" s="851"/>
      <c r="C7" s="851"/>
      <c r="D7" s="851"/>
      <c r="E7" s="851"/>
      <c r="F7" s="851"/>
      <c r="G7" s="851"/>
      <c r="H7" s="851"/>
    </row>
    <row r="8" spans="1:13" x14ac:dyDescent="0.25">
      <c r="A8" s="30"/>
      <c r="B8" s="31"/>
      <c r="C8" s="32"/>
      <c r="D8" s="31"/>
      <c r="E8" s="32"/>
      <c r="F8" s="31"/>
      <c r="G8" s="32"/>
      <c r="H8" s="31"/>
    </row>
    <row r="9" spans="1:13" x14ac:dyDescent="0.25">
      <c r="A9" s="30"/>
    </row>
    <row r="10" spans="1:13" x14ac:dyDescent="0.25">
      <c r="A10" s="30"/>
      <c r="B10" s="31"/>
      <c r="C10" s="32"/>
      <c r="D10" s="31"/>
      <c r="E10" s="32"/>
      <c r="F10" s="721"/>
      <c r="G10" s="32"/>
      <c r="H10" s="31"/>
    </row>
    <row r="11" spans="1:13" x14ac:dyDescent="0.25">
      <c r="A11" s="30"/>
      <c r="B11" s="33"/>
      <c r="D11" s="34" t="s">
        <v>5</v>
      </c>
      <c r="E11" s="32"/>
      <c r="F11" s="722" t="s">
        <v>6</v>
      </c>
      <c r="G11" s="32"/>
      <c r="H11" s="34" t="s">
        <v>16</v>
      </c>
    </row>
    <row r="12" spans="1:13" x14ac:dyDescent="0.25">
      <c r="A12" s="30"/>
      <c r="B12" s="31"/>
      <c r="C12" s="32"/>
      <c r="D12" s="34" t="s">
        <v>45</v>
      </c>
      <c r="E12" s="34"/>
      <c r="F12" s="34" t="s">
        <v>45</v>
      </c>
      <c r="G12" s="32"/>
      <c r="H12" s="34" t="s">
        <v>17</v>
      </c>
    </row>
    <row r="13" spans="1:13" x14ac:dyDescent="0.25">
      <c r="A13" s="30"/>
      <c r="B13" s="31"/>
      <c r="C13" s="32"/>
      <c r="D13" s="34" t="s">
        <v>46</v>
      </c>
      <c r="E13" s="32"/>
      <c r="F13" s="722" t="s">
        <v>46</v>
      </c>
      <c r="G13" s="32"/>
      <c r="H13" s="34" t="s">
        <v>46</v>
      </c>
    </row>
    <row r="14" spans="1:13" x14ac:dyDescent="0.25">
      <c r="A14" s="30"/>
      <c r="B14" s="31" t="s">
        <v>128</v>
      </c>
      <c r="C14" s="32"/>
      <c r="D14" s="35">
        <v>39813</v>
      </c>
      <c r="E14" s="32"/>
      <c r="F14" s="723">
        <v>39813</v>
      </c>
      <c r="G14" s="32"/>
      <c r="H14" s="35">
        <v>39813</v>
      </c>
    </row>
    <row r="15" spans="1:13" x14ac:dyDescent="0.25">
      <c r="A15" s="30"/>
      <c r="B15" s="36">
        <v>-1</v>
      </c>
      <c r="C15" s="32"/>
      <c r="D15" s="37">
        <v>-2</v>
      </c>
      <c r="E15" s="32"/>
      <c r="F15" s="36">
        <v>-3</v>
      </c>
      <c r="G15" s="32"/>
      <c r="H15" s="36">
        <v>-4</v>
      </c>
      <c r="I15"/>
      <c r="J15"/>
      <c r="K15"/>
      <c r="L15"/>
      <c r="M15"/>
    </row>
    <row r="16" spans="1:13" x14ac:dyDescent="0.25">
      <c r="A16" s="30"/>
      <c r="B16" s="31"/>
      <c r="C16" s="32"/>
      <c r="D16" s="31"/>
      <c r="E16" s="32"/>
      <c r="F16" s="31"/>
      <c r="G16" s="32"/>
      <c r="H16" s="31"/>
      <c r="I16"/>
      <c r="J16"/>
      <c r="K16"/>
      <c r="L16"/>
      <c r="M16"/>
    </row>
    <row r="17" spans="1:13" ht="21" customHeight="1" x14ac:dyDescent="0.25">
      <c r="A17" s="38">
        <v>1</v>
      </c>
      <c r="B17" s="39" t="s">
        <v>129</v>
      </c>
      <c r="C17" s="40"/>
      <c r="D17" s="41">
        <v>4906114581</v>
      </c>
      <c r="E17" s="42"/>
      <c r="F17" s="43">
        <v>716343370</v>
      </c>
      <c r="G17" s="42"/>
      <c r="H17" s="43">
        <f>D17+F17</f>
        <v>5622457951</v>
      </c>
      <c r="I17"/>
      <c r="J17"/>
      <c r="K17"/>
      <c r="L17"/>
      <c r="M17"/>
    </row>
    <row r="18" spans="1:13" ht="13.5" customHeight="1" x14ac:dyDescent="0.25">
      <c r="A18" s="30"/>
      <c r="B18" s="39"/>
      <c r="C18" s="40"/>
      <c r="D18" s="44"/>
      <c r="E18" s="42"/>
      <c r="F18" s="44"/>
      <c r="G18" s="42"/>
      <c r="H18" s="44"/>
      <c r="I18"/>
      <c r="J18"/>
      <c r="K18"/>
      <c r="L18"/>
      <c r="M18"/>
    </row>
    <row r="19" spans="1:13" ht="21" customHeight="1" x14ac:dyDescent="0.25">
      <c r="A19" s="38">
        <v>2</v>
      </c>
      <c r="B19" s="39" t="s">
        <v>124</v>
      </c>
      <c r="C19" s="40"/>
      <c r="D19" s="44"/>
      <c r="E19" s="42"/>
      <c r="F19" s="44"/>
      <c r="G19" s="42"/>
      <c r="H19" s="44"/>
      <c r="I19"/>
      <c r="J19"/>
      <c r="K19"/>
      <c r="L19"/>
      <c r="M19"/>
    </row>
    <row r="20" spans="1:13" ht="21" customHeight="1" x14ac:dyDescent="0.25">
      <c r="A20" s="38">
        <v>3</v>
      </c>
      <c r="B20" s="39" t="s">
        <v>130</v>
      </c>
      <c r="C20" s="40"/>
      <c r="D20" s="45">
        <v>1780121543</v>
      </c>
      <c r="E20" s="42"/>
      <c r="F20" s="44">
        <v>272370618</v>
      </c>
      <c r="G20" s="42"/>
      <c r="H20" s="44">
        <f>D20+F20</f>
        <v>2052492161</v>
      </c>
      <c r="I20"/>
      <c r="J20"/>
      <c r="K20"/>
      <c r="L20"/>
      <c r="M20"/>
    </row>
    <row r="21" spans="1:13" ht="13.5" customHeight="1" x14ac:dyDescent="0.25">
      <c r="A21" s="38"/>
      <c r="B21" s="39"/>
      <c r="C21" s="40"/>
      <c r="D21" s="44"/>
      <c r="E21" s="42"/>
      <c r="F21" s="44"/>
      <c r="G21" s="42"/>
      <c r="H21" s="44"/>
      <c r="I21"/>
      <c r="J21"/>
      <c r="K21"/>
      <c r="L21"/>
      <c r="M21"/>
    </row>
    <row r="22" spans="1:13" ht="21" customHeight="1" x14ac:dyDescent="0.25">
      <c r="A22" s="38">
        <v>4</v>
      </c>
      <c r="B22" s="39" t="s">
        <v>131</v>
      </c>
      <c r="C22" s="40"/>
      <c r="D22" s="46">
        <f>D17-D20</f>
        <v>3125993038</v>
      </c>
      <c r="E22" s="42"/>
      <c r="F22" s="46">
        <f>F17-F20</f>
        <v>443972752</v>
      </c>
      <c r="G22" s="42"/>
      <c r="H22" s="46">
        <f>H17-H20</f>
        <v>3569965790</v>
      </c>
      <c r="I22"/>
      <c r="J22"/>
      <c r="K22"/>
      <c r="L22"/>
      <c r="M22"/>
    </row>
    <row r="23" spans="1:13" ht="13.5" customHeight="1" x14ac:dyDescent="0.25">
      <c r="A23" s="38"/>
      <c r="B23" s="39"/>
      <c r="C23" s="40"/>
      <c r="D23" s="44"/>
      <c r="E23" s="42"/>
      <c r="F23" s="44"/>
      <c r="G23" s="42"/>
      <c r="H23" s="44"/>
      <c r="I23"/>
      <c r="J23"/>
      <c r="K23"/>
      <c r="L23"/>
      <c r="M23"/>
    </row>
    <row r="24" spans="1:13" ht="21" customHeight="1" x14ac:dyDescent="0.25">
      <c r="A24" s="38">
        <v>5</v>
      </c>
      <c r="B24" s="39" t="s">
        <v>124</v>
      </c>
      <c r="C24" s="40"/>
      <c r="D24" s="44"/>
      <c r="E24" s="42"/>
      <c r="F24" s="44"/>
      <c r="G24" s="42"/>
      <c r="H24" s="44"/>
      <c r="I24"/>
      <c r="J24"/>
      <c r="K24"/>
      <c r="L24"/>
      <c r="M24"/>
    </row>
    <row r="25" spans="1:13" ht="21" customHeight="1" x14ac:dyDescent="0.25">
      <c r="A25" s="38">
        <v>6</v>
      </c>
      <c r="B25" s="39" t="s">
        <v>132</v>
      </c>
      <c r="C25" s="40"/>
      <c r="D25" s="44">
        <v>2416126</v>
      </c>
      <c r="E25" s="42"/>
      <c r="F25" s="44">
        <v>14190</v>
      </c>
      <c r="G25" s="42"/>
      <c r="H25" s="44">
        <f>D25+F25</f>
        <v>2430316</v>
      </c>
      <c r="I25"/>
      <c r="J25"/>
      <c r="K25"/>
      <c r="L25"/>
      <c r="M25"/>
    </row>
    <row r="26" spans="1:13" ht="21" customHeight="1" x14ac:dyDescent="0.25">
      <c r="A26" s="38">
        <v>7</v>
      </c>
      <c r="B26" s="39" t="s">
        <v>133</v>
      </c>
      <c r="C26" s="40"/>
      <c r="D26" s="45">
        <v>248706431</v>
      </c>
      <c r="E26" s="47"/>
      <c r="F26" s="44">
        <v>11917906</v>
      </c>
      <c r="G26" s="47"/>
      <c r="H26" s="45">
        <f>D26+F26</f>
        <v>260624337</v>
      </c>
      <c r="I26"/>
      <c r="J26"/>
      <c r="K26"/>
      <c r="L26"/>
      <c r="M26"/>
    </row>
    <row r="27" spans="1:13" s="72" customFormat="1" ht="21" customHeight="1" x14ac:dyDescent="0.25">
      <c r="A27" s="616">
        <v>8</v>
      </c>
      <c r="B27" s="573" t="s">
        <v>599</v>
      </c>
      <c r="C27" s="70"/>
      <c r="D27" s="47">
        <v>4074141</v>
      </c>
      <c r="E27" s="47"/>
      <c r="F27" s="47">
        <v>620652</v>
      </c>
      <c r="G27" s="47"/>
      <c r="H27" s="45">
        <f>D27+F27</f>
        <v>4694793</v>
      </c>
      <c r="I27" s="71"/>
    </row>
    <row r="28" spans="1:13" s="72" customFormat="1" ht="21" customHeight="1" x14ac:dyDescent="0.25">
      <c r="A28" s="616">
        <v>9</v>
      </c>
      <c r="B28" s="573" t="s">
        <v>600</v>
      </c>
      <c r="C28" s="70"/>
      <c r="D28" s="47">
        <v>3385656</v>
      </c>
      <c r="E28" s="47"/>
      <c r="F28" s="47">
        <v>515768</v>
      </c>
      <c r="G28" s="47"/>
      <c r="H28" s="45">
        <f>D28+F28</f>
        <v>3901424</v>
      </c>
      <c r="I28" s="71"/>
    </row>
    <row r="29" spans="1:13" ht="21" customHeight="1" x14ac:dyDescent="0.25">
      <c r="A29" s="38">
        <v>10</v>
      </c>
      <c r="B29" s="49" t="s">
        <v>134</v>
      </c>
      <c r="C29" s="40"/>
      <c r="D29" s="42">
        <v>68650066</v>
      </c>
      <c r="E29" s="42"/>
      <c r="F29" s="47">
        <v>11301636</v>
      </c>
      <c r="G29" s="42"/>
      <c r="H29" s="45">
        <f>D29+F29</f>
        <v>79951702</v>
      </c>
    </row>
    <row r="30" spans="1:13" ht="12" customHeight="1" x14ac:dyDescent="0.25">
      <c r="A30" s="38"/>
      <c r="B30" s="39"/>
      <c r="C30" s="40"/>
      <c r="D30" s="42"/>
      <c r="E30" s="42"/>
      <c r="F30" s="47"/>
      <c r="G30" s="42"/>
      <c r="H30" s="42"/>
    </row>
    <row r="31" spans="1:13" ht="21" customHeight="1" x14ac:dyDescent="0.25">
      <c r="A31" s="38">
        <v>11</v>
      </c>
      <c r="B31" s="39" t="s">
        <v>125</v>
      </c>
      <c r="C31" s="40"/>
      <c r="D31" s="46">
        <f>SUM(D25:D30)</f>
        <v>327232420</v>
      </c>
      <c r="E31" s="42"/>
      <c r="F31" s="572">
        <f>SUM(F25:F30)</f>
        <v>24370152</v>
      </c>
      <c r="G31" s="42"/>
      <c r="H31" s="46">
        <f>SUM(H25:H30)</f>
        <v>351602572</v>
      </c>
    </row>
    <row r="32" spans="1:13" ht="13.5" customHeight="1" x14ac:dyDescent="0.25">
      <c r="A32" s="30"/>
      <c r="B32" s="39"/>
      <c r="C32" s="40"/>
      <c r="D32" s="44"/>
      <c r="E32" s="42"/>
      <c r="F32" s="45"/>
      <c r="G32" s="42"/>
      <c r="H32" s="44"/>
    </row>
    <row r="33" spans="1:10" ht="21" customHeight="1" x14ac:dyDescent="0.25">
      <c r="A33" s="30">
        <f>A31+1</f>
        <v>12</v>
      </c>
      <c r="B33" s="39" t="s">
        <v>135</v>
      </c>
      <c r="C33" s="40"/>
      <c r="D33" s="44"/>
      <c r="E33" s="42"/>
      <c r="F33" s="44"/>
      <c r="G33" s="42"/>
      <c r="H33" s="44"/>
    </row>
    <row r="34" spans="1:10" ht="21" customHeight="1" x14ac:dyDescent="0.25">
      <c r="A34" s="38">
        <f>A33+1</f>
        <v>13</v>
      </c>
      <c r="B34" s="49" t="s">
        <v>136</v>
      </c>
      <c r="C34" s="40"/>
      <c r="D34" s="44">
        <v>77467106</v>
      </c>
      <c r="E34" s="42"/>
      <c r="F34" s="42">
        <v>11960467</v>
      </c>
      <c r="G34" s="42"/>
      <c r="H34" s="44">
        <f>D34+F34</f>
        <v>89427573</v>
      </c>
    </row>
    <row r="35" spans="1:10" ht="21" customHeight="1" x14ac:dyDescent="0.25">
      <c r="A35" s="38">
        <f>A34+1</f>
        <v>14</v>
      </c>
      <c r="B35" s="49" t="s">
        <v>137</v>
      </c>
      <c r="C35" s="40"/>
      <c r="D35" s="44">
        <v>3094746</v>
      </c>
      <c r="E35" s="42"/>
      <c r="F35" s="42">
        <v>422302</v>
      </c>
      <c r="G35" s="42"/>
      <c r="H35" s="44">
        <f>D35+F35</f>
        <v>3517048</v>
      </c>
    </row>
    <row r="36" spans="1:10" ht="21" customHeight="1" x14ac:dyDescent="0.25">
      <c r="A36" s="38">
        <f>A35+1</f>
        <v>15</v>
      </c>
      <c r="B36" s="39" t="s">
        <v>138</v>
      </c>
      <c r="C36" s="40"/>
      <c r="D36" s="44">
        <v>151898</v>
      </c>
      <c r="E36" s="42"/>
      <c r="F36" s="42">
        <f>ROUND('M&amp;S-Dec08'!L22-'M&amp;S-Dec08'!L27,0)</f>
        <v>23141</v>
      </c>
      <c r="G36" s="42"/>
      <c r="H36" s="44">
        <f>D36+F36</f>
        <v>175039</v>
      </c>
    </row>
    <row r="37" spans="1:10" ht="21" customHeight="1" x14ac:dyDescent="0.25">
      <c r="A37" s="38">
        <f>A36+1</f>
        <v>16</v>
      </c>
      <c r="B37" s="39" t="s">
        <v>139</v>
      </c>
      <c r="C37" s="40"/>
      <c r="D37" s="42">
        <f>D78</f>
        <v>83904479</v>
      </c>
      <c r="E37" s="42"/>
      <c r="F37" s="42">
        <f>F78</f>
        <v>7395732</v>
      </c>
      <c r="G37" s="42"/>
      <c r="H37" s="42">
        <f>D37+F37</f>
        <v>91300211</v>
      </c>
    </row>
    <row r="38" spans="1:10" ht="13.5" customHeight="1" x14ac:dyDescent="0.25">
      <c r="A38" s="38"/>
      <c r="B38" s="39"/>
      <c r="C38" s="40"/>
      <c r="D38" s="42"/>
      <c r="E38" s="42"/>
      <c r="F38" s="42"/>
      <c r="G38" s="42"/>
      <c r="H38" s="42"/>
    </row>
    <row r="39" spans="1:10" ht="21" customHeight="1" x14ac:dyDescent="0.25">
      <c r="A39" s="38">
        <f>A37+1</f>
        <v>17</v>
      </c>
      <c r="B39" s="48" t="s">
        <v>140</v>
      </c>
      <c r="C39" s="40"/>
      <c r="D39" s="46">
        <f>SUM(D34:D38)</f>
        <v>164618229</v>
      </c>
      <c r="E39" s="42"/>
      <c r="F39" s="46">
        <f>SUM(F34:F38)</f>
        <v>19801642</v>
      </c>
      <c r="G39" s="42"/>
      <c r="H39" s="46">
        <f>SUM(H34:H38)</f>
        <v>184419871</v>
      </c>
    </row>
    <row r="40" spans="1:10" ht="13.5" customHeight="1" x14ac:dyDescent="0.25">
      <c r="A40" s="38"/>
      <c r="B40" s="39"/>
      <c r="C40" s="40"/>
      <c r="D40" s="44"/>
      <c r="E40" s="42"/>
      <c r="F40" s="44"/>
      <c r="G40" s="42"/>
      <c r="H40" s="44"/>
    </row>
    <row r="41" spans="1:10" ht="21" customHeight="1" thickBot="1" x14ac:dyDescent="0.3">
      <c r="A41" s="38">
        <f>A39+1</f>
        <v>18</v>
      </c>
      <c r="B41" s="49" t="s">
        <v>141</v>
      </c>
      <c r="C41" s="40"/>
      <c r="D41" s="50">
        <f>D22-D31+D39</f>
        <v>2963378847</v>
      </c>
      <c r="E41" s="51"/>
      <c r="F41" s="50">
        <f>F22-F31+F39</f>
        <v>439404242</v>
      </c>
      <c r="G41" s="51"/>
      <c r="H41" s="50">
        <f>H22-H31+H39</f>
        <v>3402783089</v>
      </c>
    </row>
    <row r="42" spans="1:10" ht="13.5" customHeight="1" thickTop="1" x14ac:dyDescent="0.25">
      <c r="A42" s="38"/>
      <c r="B42" s="39"/>
      <c r="C42" s="40"/>
      <c r="D42" s="44"/>
      <c r="E42" s="42"/>
      <c r="F42" s="44"/>
      <c r="G42" s="42"/>
      <c r="H42" s="44"/>
    </row>
    <row r="43" spans="1:10" ht="15.75" customHeight="1" x14ac:dyDescent="0.25">
      <c r="A43" s="38"/>
      <c r="C43" s="40"/>
      <c r="D43" s="44"/>
      <c r="E43" s="42"/>
      <c r="F43" s="44"/>
      <c r="G43" s="42"/>
      <c r="H43" s="44"/>
    </row>
    <row r="44" spans="1:10" ht="21" customHeight="1" thickBot="1" x14ac:dyDescent="0.3">
      <c r="A44" s="52">
        <f>A41+1</f>
        <v>19</v>
      </c>
      <c r="B44" s="49" t="s">
        <v>142</v>
      </c>
      <c r="C44" s="26"/>
      <c r="D44" s="54">
        <f>ROUND(D41/$H$41,4)</f>
        <v>0.87090000000000001</v>
      </c>
      <c r="E44" s="26"/>
      <c r="F44" s="54">
        <f>ROUND(F41/$H$41,4)</f>
        <v>0.12909999999999999</v>
      </c>
      <c r="G44" s="26"/>
      <c r="H44" s="54">
        <f>ROUND(H41/$H$41,4)</f>
        <v>1</v>
      </c>
    </row>
    <row r="45" spans="1:10" ht="18.95" customHeight="1" thickTop="1" x14ac:dyDescent="0.25">
      <c r="A45" s="26"/>
      <c r="C45" s="26"/>
      <c r="E45" s="26"/>
      <c r="G45" s="26"/>
    </row>
    <row r="46" spans="1:10" ht="21" customHeight="1" x14ac:dyDescent="0.25">
      <c r="A46" s="38">
        <f>A44+1</f>
        <v>20</v>
      </c>
      <c r="B46" s="39" t="s">
        <v>43</v>
      </c>
      <c r="C46" s="40"/>
      <c r="D46" s="43">
        <f>180721857+27</f>
        <v>180721884</v>
      </c>
      <c r="E46" s="42"/>
      <c r="F46" s="43">
        <f>12772347</f>
        <v>12772347</v>
      </c>
      <c r="G46" s="42"/>
      <c r="H46" s="43">
        <v>193494231</v>
      </c>
      <c r="J46" s="719"/>
    </row>
    <row r="47" spans="1:10" ht="18.95" customHeight="1" thickBot="1" x14ac:dyDescent="0.3">
      <c r="A47" s="26"/>
      <c r="C47" s="26"/>
      <c r="D47" s="53"/>
      <c r="E47" s="26"/>
      <c r="G47" s="26"/>
    </row>
    <row r="48" spans="1:10" ht="18.95" customHeight="1" thickBot="1" x14ac:dyDescent="0.3">
      <c r="A48" s="52">
        <f>A46+1</f>
        <v>21</v>
      </c>
      <c r="B48" s="26" t="s">
        <v>81</v>
      </c>
      <c r="C48" s="26"/>
      <c r="D48" s="762">
        <f>ROUND(D46/D41,4)</f>
        <v>6.0999999999999999E-2</v>
      </c>
      <c r="E48" s="26"/>
      <c r="F48" s="779">
        <f>ROUND(F46/F41,4)</f>
        <v>2.9100000000000001E-2</v>
      </c>
      <c r="G48" s="26"/>
      <c r="H48" s="762">
        <f>ROUND(H46/H41,4)</f>
        <v>5.6899999999999999E-2</v>
      </c>
    </row>
    <row r="49" spans="1:8" ht="18.95" customHeight="1" x14ac:dyDescent="0.25">
      <c r="A49" s="26"/>
      <c r="C49" s="26"/>
      <c r="E49" s="26"/>
      <c r="F49" s="72"/>
      <c r="G49" s="26"/>
    </row>
    <row r="50" spans="1:8" ht="18.95" customHeight="1" x14ac:dyDescent="0.25">
      <c r="A50" s="55" t="s">
        <v>3</v>
      </c>
      <c r="B50" s="49" t="s">
        <v>143</v>
      </c>
      <c r="C50" s="26"/>
      <c r="E50" s="26"/>
      <c r="F50" s="72"/>
      <c r="G50" s="26"/>
    </row>
    <row r="51" spans="1:8" ht="18.95" customHeight="1" x14ac:dyDescent="0.25">
      <c r="A51" s="56" t="s">
        <v>144</v>
      </c>
      <c r="B51" s="57" t="s">
        <v>145</v>
      </c>
      <c r="C51" s="26"/>
      <c r="E51" s="26"/>
      <c r="F51" s="72"/>
      <c r="G51" s="26"/>
    </row>
    <row r="52" spans="1:8" ht="18.95" customHeight="1" x14ac:dyDescent="0.25">
      <c r="A52" s="56" t="s">
        <v>146</v>
      </c>
      <c r="B52" s="26" t="s">
        <v>602</v>
      </c>
      <c r="C52" s="26"/>
      <c r="E52" s="26"/>
      <c r="G52" s="26"/>
    </row>
    <row r="53" spans="1:8" x14ac:dyDescent="0.25">
      <c r="G53" s="26"/>
      <c r="H53" s="28"/>
    </row>
    <row r="54" spans="1:8" x14ac:dyDescent="0.25">
      <c r="G54" s="26"/>
      <c r="H54" s="28"/>
    </row>
    <row r="55" spans="1:8" x14ac:dyDescent="0.25">
      <c r="G55" s="26"/>
      <c r="H55" s="28"/>
    </row>
    <row r="56" spans="1:8" x14ac:dyDescent="0.25">
      <c r="A56" s="849" t="s">
        <v>126</v>
      </c>
      <c r="B56" s="849"/>
      <c r="C56" s="849"/>
      <c r="D56" s="849"/>
      <c r="E56" s="849"/>
      <c r="F56" s="849"/>
      <c r="G56" s="849"/>
      <c r="H56" s="849"/>
    </row>
    <row r="58" spans="1:8" x14ac:dyDescent="0.25">
      <c r="A58" s="850" t="s">
        <v>148</v>
      </c>
      <c r="B58" s="850"/>
      <c r="C58" s="850"/>
      <c r="D58" s="850"/>
      <c r="E58" s="850"/>
      <c r="F58" s="850"/>
      <c r="G58" s="850"/>
      <c r="H58" s="850"/>
    </row>
    <row r="59" spans="1:8" x14ac:dyDescent="0.25">
      <c r="A59" s="851" t="s">
        <v>188</v>
      </c>
      <c r="B59" s="851"/>
      <c r="C59" s="851"/>
      <c r="D59" s="851"/>
      <c r="E59" s="851"/>
      <c r="F59" s="851"/>
      <c r="G59" s="851"/>
      <c r="H59" s="851"/>
    </row>
    <row r="60" spans="1:8" x14ac:dyDescent="0.25">
      <c r="A60" s="30"/>
      <c r="B60" s="31"/>
      <c r="C60" s="32"/>
      <c r="D60" s="31"/>
      <c r="E60" s="32"/>
      <c r="G60" s="26"/>
    </row>
    <row r="61" spans="1:8" x14ac:dyDescent="0.25">
      <c r="A61" s="30"/>
      <c r="G61" s="26"/>
    </row>
    <row r="62" spans="1:8" x14ac:dyDescent="0.25">
      <c r="A62" s="30"/>
      <c r="B62" s="31"/>
      <c r="C62" s="32"/>
      <c r="D62" s="31"/>
      <c r="E62" s="32"/>
      <c r="G62" s="26"/>
    </row>
    <row r="63" spans="1:8" x14ac:dyDescent="0.25">
      <c r="A63" s="30"/>
      <c r="D63" s="34" t="s">
        <v>5</v>
      </c>
      <c r="E63" s="32"/>
      <c r="F63" s="34" t="s">
        <v>6</v>
      </c>
      <c r="G63" s="32"/>
      <c r="H63" s="34" t="s">
        <v>16</v>
      </c>
    </row>
    <row r="64" spans="1:8" x14ac:dyDescent="0.25">
      <c r="A64" s="30"/>
      <c r="B64" s="31"/>
      <c r="C64" s="32"/>
      <c r="D64" s="34" t="s">
        <v>45</v>
      </c>
      <c r="E64" s="32"/>
      <c r="F64" s="34" t="s">
        <v>45</v>
      </c>
      <c r="G64" s="32"/>
      <c r="H64" s="34" t="s">
        <v>17</v>
      </c>
    </row>
    <row r="65" spans="1:8" x14ac:dyDescent="0.25">
      <c r="A65" s="30"/>
      <c r="B65" s="31"/>
      <c r="C65" s="32"/>
      <c r="D65" s="34" t="s">
        <v>46</v>
      </c>
      <c r="E65" s="32"/>
      <c r="F65" s="34" t="s">
        <v>46</v>
      </c>
      <c r="G65" s="32"/>
      <c r="H65" s="34" t="s">
        <v>46</v>
      </c>
    </row>
    <row r="66" spans="1:8" x14ac:dyDescent="0.25">
      <c r="A66" s="30"/>
      <c r="B66" s="31" t="s">
        <v>128</v>
      </c>
      <c r="C66" s="32"/>
      <c r="D66" s="35">
        <f>D14</f>
        <v>39813</v>
      </c>
      <c r="E66" s="32"/>
      <c r="F66" s="35">
        <f>F14</f>
        <v>39813</v>
      </c>
      <c r="G66" s="32"/>
      <c r="H66" s="35">
        <f>H14</f>
        <v>39813</v>
      </c>
    </row>
    <row r="67" spans="1:8" x14ac:dyDescent="0.25">
      <c r="A67" s="30"/>
      <c r="B67" s="36">
        <v>-1</v>
      </c>
      <c r="C67" s="32"/>
      <c r="D67" s="37">
        <v>-2</v>
      </c>
      <c r="E67" s="32"/>
      <c r="F67" s="36">
        <v>-3</v>
      </c>
      <c r="G67" s="32"/>
      <c r="H67" s="36">
        <v>-4</v>
      </c>
    </row>
    <row r="68" spans="1:8" x14ac:dyDescent="0.25">
      <c r="A68" s="30"/>
      <c r="B68" s="31"/>
      <c r="C68" s="32"/>
      <c r="D68" s="31"/>
      <c r="E68" s="32"/>
      <c r="F68" s="31"/>
      <c r="G68" s="32"/>
      <c r="H68" s="31"/>
    </row>
    <row r="69" spans="1:8" ht="21" customHeight="1" x14ac:dyDescent="0.25">
      <c r="A69" s="58" t="s">
        <v>149</v>
      </c>
      <c r="B69" s="57" t="s">
        <v>150</v>
      </c>
    </row>
    <row r="70" spans="1:8" ht="21" customHeight="1" x14ac:dyDescent="0.25">
      <c r="A70" s="58"/>
      <c r="B70" s="49" t="s">
        <v>608</v>
      </c>
      <c r="D70" s="43">
        <v>863360727</v>
      </c>
      <c r="F70" s="43">
        <v>125906532</v>
      </c>
      <c r="H70" s="43">
        <f>D70+F70</f>
        <v>989267259</v>
      </c>
    </row>
    <row r="71" spans="1:8" ht="15" customHeight="1" x14ac:dyDescent="0.25">
      <c r="A71" s="58"/>
      <c r="B71" s="57"/>
    </row>
    <row r="72" spans="1:8" ht="21" customHeight="1" x14ac:dyDescent="0.25">
      <c r="A72" s="60" t="s">
        <v>151</v>
      </c>
      <c r="B72" s="57" t="s">
        <v>124</v>
      </c>
    </row>
    <row r="73" spans="1:8" ht="21" customHeight="1" x14ac:dyDescent="0.25">
      <c r="A73" s="60" t="s">
        <v>152</v>
      </c>
      <c r="B73" s="61" t="s">
        <v>153</v>
      </c>
      <c r="D73" s="62">
        <v>192124892</v>
      </c>
      <c r="F73" s="62">
        <v>29051876</v>
      </c>
      <c r="G73" s="44"/>
      <c r="H73" s="62">
        <f>D73+F73</f>
        <v>221176768</v>
      </c>
    </row>
    <row r="74" spans="1:8" ht="21" customHeight="1" x14ac:dyDescent="0.25">
      <c r="A74" s="60" t="s">
        <v>154</v>
      </c>
      <c r="B74" s="64" t="s">
        <v>155</v>
      </c>
      <c r="D74" s="43">
        <f>D73</f>
        <v>192124892</v>
      </c>
      <c r="F74" s="43">
        <f>F73</f>
        <v>29051876</v>
      </c>
      <c r="H74" s="43">
        <f>H73</f>
        <v>221176768</v>
      </c>
    </row>
    <row r="75" spans="1:8" ht="13.5" customHeight="1" x14ac:dyDescent="0.25">
      <c r="A75" s="60"/>
      <c r="B75" s="65"/>
      <c r="D75" s="66"/>
      <c r="F75" s="66"/>
      <c r="H75" s="66"/>
    </row>
    <row r="76" spans="1:8" ht="21" customHeight="1" thickBot="1" x14ac:dyDescent="0.3">
      <c r="A76" s="60" t="s">
        <v>156</v>
      </c>
      <c r="B76" s="65" t="s">
        <v>157</v>
      </c>
      <c r="D76" s="50">
        <f>D70-D74</f>
        <v>671235835</v>
      </c>
      <c r="F76" s="50">
        <f>F70-F74</f>
        <v>96854656</v>
      </c>
      <c r="H76" s="50">
        <f>H70-H74</f>
        <v>768090491</v>
      </c>
    </row>
    <row r="77" spans="1:8" ht="15" customHeight="1" thickTop="1" x14ac:dyDescent="0.25">
      <c r="A77" s="60"/>
      <c r="B77" s="65"/>
    </row>
    <row r="78" spans="1:8" ht="21" customHeight="1" thickBot="1" x14ac:dyDescent="0.3">
      <c r="A78" s="60" t="s">
        <v>158</v>
      </c>
      <c r="B78" s="65" t="s">
        <v>159</v>
      </c>
      <c r="D78" s="67">
        <f>ROUND(D76*0.125,0)</f>
        <v>83904479</v>
      </c>
      <c r="E78" s="65"/>
      <c r="F78" s="67">
        <v>7395732</v>
      </c>
      <c r="G78" s="65"/>
      <c r="H78" s="67">
        <f>D78+F78</f>
        <v>91300211</v>
      </c>
    </row>
    <row r="79" spans="1:8" ht="21" customHeight="1" thickTop="1" x14ac:dyDescent="0.25">
      <c r="A79" s="60"/>
      <c r="B79" s="65"/>
      <c r="D79" s="68"/>
      <c r="E79" s="65"/>
      <c r="F79" s="68"/>
      <c r="G79" s="65"/>
      <c r="H79" s="68"/>
    </row>
    <row r="80" spans="1:8" ht="18.95" customHeight="1" x14ac:dyDescent="0.25">
      <c r="B80" s="65" t="s">
        <v>160</v>
      </c>
      <c r="F80" s="69"/>
      <c r="G80" s="26"/>
    </row>
    <row r="81" spans="2:7" ht="18.95" customHeight="1" x14ac:dyDescent="0.25">
      <c r="B81" s="65" t="s">
        <v>161</v>
      </c>
      <c r="G81" s="26"/>
    </row>
    <row r="82" spans="2:7" ht="18.95" customHeight="1" x14ac:dyDescent="0.25">
      <c r="B82" s="26" t="s">
        <v>162</v>
      </c>
      <c r="G82" s="26"/>
    </row>
  </sheetData>
  <mergeCells count="6">
    <mergeCell ref="A56:H56"/>
    <mergeCell ref="A58:H58"/>
    <mergeCell ref="A59:H59"/>
    <mergeCell ref="A4:H4"/>
    <mergeCell ref="A6:H6"/>
    <mergeCell ref="A7:H7"/>
  </mergeCells>
  <phoneticPr fontId="1" type="noConversion"/>
  <printOptions horizontalCentered="1"/>
  <pageMargins left="1" right="0.74" top="0.75" bottom="0.5" header="0.75" footer="0.25"/>
  <pageSetup scale="61" orientation="portrait" r:id="rId1"/>
  <headerFooter alignWithMargins="0">
    <oddHeader>&amp;R&amp;"Times New Roman,Bold"&amp;14Attachment to Response to Question No. 38
Page &amp;P of &amp;N
Blake</oddHeader>
  </headerFooter>
  <rowBreaks count="1" manualBreakCount="1">
    <brk id="53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M82"/>
  <sheetViews>
    <sheetView showGridLines="0" tabSelected="1" zoomScaleNormal="100" zoomScaleSheetLayoutView="65" workbookViewId="0">
      <pane ySplit="15" topLeftCell="A61" activePane="bottomLeft" state="frozen"/>
      <selection activeCell="E11" sqref="E11"/>
      <selection pane="bottomLeft" activeCell="E11" sqref="E11"/>
    </sheetView>
  </sheetViews>
  <sheetFormatPr defaultColWidth="10.28515625" defaultRowHeight="15.75" x14ac:dyDescent="0.25"/>
  <cols>
    <col min="1" max="1" width="4.85546875" style="25" bestFit="1" customWidth="1"/>
    <col min="2" max="2" width="60.5703125" style="26" customWidth="1"/>
    <col min="3" max="3" width="1.85546875" style="27" customWidth="1"/>
    <col min="4" max="4" width="23.28515625" style="26" bestFit="1" customWidth="1"/>
    <col min="5" max="5" width="1.85546875" style="27" customWidth="1"/>
    <col min="6" max="6" width="23.28515625" style="26" bestFit="1" customWidth="1"/>
    <col min="7" max="7" width="1.85546875" style="27" customWidth="1"/>
    <col min="8" max="8" width="23.28515625" style="26" bestFit="1" customWidth="1"/>
    <col min="9" max="9" width="10.5703125" style="29" bestFit="1" customWidth="1"/>
    <col min="10" max="10" width="13.42578125" style="26" bestFit="1" customWidth="1"/>
    <col min="11" max="11" width="10.28515625" style="26"/>
    <col min="12" max="12" width="17.5703125" style="26" bestFit="1" customWidth="1"/>
    <col min="13" max="16384" width="10.28515625" style="26"/>
  </cols>
  <sheetData>
    <row r="4" spans="1:13" x14ac:dyDescent="0.25">
      <c r="A4" s="849" t="s">
        <v>126</v>
      </c>
      <c r="B4" s="849"/>
      <c r="C4" s="849"/>
      <c r="D4" s="849"/>
      <c r="E4" s="849"/>
      <c r="F4" s="849"/>
      <c r="G4" s="849"/>
      <c r="H4" s="849"/>
    </row>
    <row r="6" spans="1:13" x14ac:dyDescent="0.25">
      <c r="A6" s="850" t="s">
        <v>127</v>
      </c>
      <c r="B6" s="850"/>
      <c r="C6" s="850"/>
      <c r="D6" s="850"/>
      <c r="E6" s="850"/>
      <c r="F6" s="850"/>
      <c r="G6" s="850"/>
      <c r="H6" s="850"/>
    </row>
    <row r="7" spans="1:13" x14ac:dyDescent="0.25">
      <c r="A7" s="852" t="s">
        <v>163</v>
      </c>
      <c r="B7" s="851"/>
      <c r="C7" s="851"/>
      <c r="D7" s="851"/>
      <c r="E7" s="851"/>
      <c r="F7" s="851"/>
      <c r="G7" s="851"/>
      <c r="H7" s="851"/>
    </row>
    <row r="8" spans="1:13" x14ac:dyDescent="0.25">
      <c r="A8" s="30"/>
      <c r="B8" s="31"/>
      <c r="C8" s="32"/>
      <c r="D8" s="31"/>
      <c r="E8" s="32"/>
      <c r="F8" s="31"/>
      <c r="G8" s="32"/>
      <c r="H8" s="31"/>
    </row>
    <row r="9" spans="1:13" x14ac:dyDescent="0.25">
      <c r="A9" s="30"/>
    </row>
    <row r="10" spans="1:13" x14ac:dyDescent="0.25">
      <c r="A10" s="30"/>
      <c r="B10" s="31"/>
      <c r="C10" s="32"/>
      <c r="D10" s="31"/>
      <c r="E10" s="32"/>
      <c r="F10" s="721"/>
      <c r="G10" s="32"/>
      <c r="H10" s="31"/>
    </row>
    <row r="11" spans="1:13" x14ac:dyDescent="0.25">
      <c r="A11" s="30"/>
      <c r="B11" s="33"/>
      <c r="D11" s="34" t="s">
        <v>5</v>
      </c>
      <c r="E11" s="32"/>
      <c r="F11" s="722" t="s">
        <v>6</v>
      </c>
      <c r="G11" s="32"/>
      <c r="H11" s="34" t="s">
        <v>16</v>
      </c>
    </row>
    <row r="12" spans="1:13" x14ac:dyDescent="0.25">
      <c r="A12" s="30"/>
      <c r="B12" s="31"/>
      <c r="C12" s="32"/>
      <c r="D12" s="34" t="s">
        <v>45</v>
      </c>
      <c r="E12" s="32"/>
      <c r="F12" s="34" t="s">
        <v>45</v>
      </c>
      <c r="G12" s="32"/>
      <c r="H12" s="34" t="s">
        <v>17</v>
      </c>
    </row>
    <row r="13" spans="1:13" x14ac:dyDescent="0.25">
      <c r="A13" s="30"/>
      <c r="B13" s="31"/>
      <c r="C13" s="32"/>
      <c r="D13" s="34" t="s">
        <v>46</v>
      </c>
      <c r="E13" s="32"/>
      <c r="F13" s="722" t="s">
        <v>46</v>
      </c>
      <c r="G13" s="32"/>
      <c r="H13" s="34" t="s">
        <v>46</v>
      </c>
    </row>
    <row r="14" spans="1:13" x14ac:dyDescent="0.25">
      <c r="A14" s="30"/>
      <c r="B14" s="31" t="s">
        <v>128</v>
      </c>
      <c r="C14" s="32"/>
      <c r="D14" s="35">
        <v>39447</v>
      </c>
      <c r="E14" s="32"/>
      <c r="F14" s="723">
        <v>39447</v>
      </c>
      <c r="G14" s="32"/>
      <c r="H14" s="35">
        <v>39447</v>
      </c>
    </row>
    <row r="15" spans="1:13" x14ac:dyDescent="0.25">
      <c r="A15" s="30"/>
      <c r="B15" s="36">
        <v>-1</v>
      </c>
      <c r="C15" s="32"/>
      <c r="D15" s="37">
        <v>-2</v>
      </c>
      <c r="E15" s="32"/>
      <c r="F15" s="36">
        <v>-3</v>
      </c>
      <c r="G15" s="32"/>
      <c r="H15" s="36">
        <v>-4</v>
      </c>
      <c r="I15"/>
      <c r="J15"/>
      <c r="K15"/>
      <c r="L15"/>
      <c r="M15"/>
    </row>
    <row r="16" spans="1:13" x14ac:dyDescent="0.25">
      <c r="A16" s="30"/>
      <c r="B16" s="31"/>
      <c r="C16" s="32"/>
      <c r="D16" s="31"/>
      <c r="E16" s="32"/>
      <c r="F16" s="31"/>
      <c r="G16" s="32"/>
      <c r="H16" s="31"/>
      <c r="I16"/>
      <c r="J16"/>
      <c r="K16"/>
      <c r="L16"/>
      <c r="M16"/>
    </row>
    <row r="17" spans="1:13" ht="21" customHeight="1" x14ac:dyDescent="0.25">
      <c r="A17" s="38">
        <v>1</v>
      </c>
      <c r="B17" s="39" t="s">
        <v>129</v>
      </c>
      <c r="C17" s="40"/>
      <c r="D17" s="41">
        <v>4307919389</v>
      </c>
      <c r="E17" s="42"/>
      <c r="F17" s="43">
        <v>631429749</v>
      </c>
      <c r="G17" s="42"/>
      <c r="H17" s="43">
        <f>D17+F17</f>
        <v>4939349138</v>
      </c>
      <c r="I17"/>
      <c r="J17"/>
      <c r="K17"/>
      <c r="L17"/>
      <c r="M17"/>
    </row>
    <row r="18" spans="1:13" ht="13.5" customHeight="1" x14ac:dyDescent="0.25">
      <c r="A18" s="30"/>
      <c r="B18" s="39"/>
      <c r="C18" s="40"/>
      <c r="D18" s="44"/>
      <c r="E18" s="42"/>
      <c r="F18" s="44"/>
      <c r="G18" s="42"/>
      <c r="H18" s="44"/>
      <c r="I18"/>
      <c r="J18"/>
      <c r="K18"/>
      <c r="L18"/>
      <c r="M18"/>
    </row>
    <row r="19" spans="1:13" ht="21" customHeight="1" x14ac:dyDescent="0.25">
      <c r="A19" s="38">
        <v>2</v>
      </c>
      <c r="B19" s="39" t="s">
        <v>124</v>
      </c>
      <c r="C19" s="40"/>
      <c r="D19" s="44"/>
      <c r="E19" s="42"/>
      <c r="F19" s="44"/>
      <c r="G19" s="42"/>
      <c r="H19" s="44"/>
      <c r="I19"/>
      <c r="J19"/>
      <c r="K19"/>
      <c r="L19"/>
      <c r="M19"/>
    </row>
    <row r="20" spans="1:13" ht="21" customHeight="1" x14ac:dyDescent="0.25">
      <c r="A20" s="38">
        <v>3</v>
      </c>
      <c r="B20" s="39" t="s">
        <v>130</v>
      </c>
      <c r="C20" s="40"/>
      <c r="D20" s="45">
        <v>1669631033</v>
      </c>
      <c r="E20" s="42"/>
      <c r="F20" s="44">
        <v>261823491</v>
      </c>
      <c r="G20" s="42"/>
      <c r="H20" s="44">
        <f>D20+F20</f>
        <v>1931454524</v>
      </c>
      <c r="I20"/>
      <c r="J20"/>
      <c r="K20"/>
      <c r="L20"/>
      <c r="M20"/>
    </row>
    <row r="21" spans="1:13" ht="13.5" customHeight="1" x14ac:dyDescent="0.25">
      <c r="A21" s="38"/>
      <c r="B21" s="39"/>
      <c r="C21" s="40"/>
      <c r="D21" s="44"/>
      <c r="E21" s="42"/>
      <c r="F21" s="44"/>
      <c r="G21" s="42"/>
      <c r="H21" s="44"/>
      <c r="I21"/>
      <c r="J21"/>
      <c r="K21"/>
      <c r="L21"/>
      <c r="M21"/>
    </row>
    <row r="22" spans="1:13" ht="21" customHeight="1" x14ac:dyDescent="0.25">
      <c r="A22" s="38">
        <v>4</v>
      </c>
      <c r="B22" s="39" t="s">
        <v>131</v>
      </c>
      <c r="C22" s="40"/>
      <c r="D22" s="46">
        <f>D17-D20</f>
        <v>2638288356</v>
      </c>
      <c r="E22" s="42"/>
      <c r="F22" s="46">
        <f>F17-F20</f>
        <v>369606258</v>
      </c>
      <c r="G22" s="42"/>
      <c r="H22" s="46">
        <f>H17-H20</f>
        <v>3007894614</v>
      </c>
      <c r="I22"/>
      <c r="J22"/>
      <c r="K22"/>
      <c r="L22"/>
      <c r="M22"/>
    </row>
    <row r="23" spans="1:13" ht="13.5" customHeight="1" x14ac:dyDescent="0.25">
      <c r="A23" s="38"/>
      <c r="B23" s="39"/>
      <c r="C23" s="40"/>
      <c r="D23" s="44"/>
      <c r="E23" s="42"/>
      <c r="F23" s="44"/>
      <c r="G23" s="42"/>
      <c r="H23" s="44"/>
      <c r="I23"/>
      <c r="J23"/>
      <c r="K23"/>
      <c r="L23"/>
      <c r="M23"/>
    </row>
    <row r="24" spans="1:13" ht="21" customHeight="1" x14ac:dyDescent="0.25">
      <c r="A24" s="38">
        <v>5</v>
      </c>
      <c r="B24" s="39" t="s">
        <v>124</v>
      </c>
      <c r="C24" s="40"/>
      <c r="D24" s="44"/>
      <c r="E24" s="42"/>
      <c r="F24" s="44"/>
      <c r="G24" s="42"/>
      <c r="H24" s="44"/>
      <c r="I24"/>
      <c r="J24"/>
      <c r="K24"/>
      <c r="L24"/>
      <c r="M24"/>
    </row>
    <row r="25" spans="1:13" ht="21" customHeight="1" x14ac:dyDescent="0.25">
      <c r="A25" s="38">
        <v>6</v>
      </c>
      <c r="B25" s="39" t="s">
        <v>132</v>
      </c>
      <c r="C25" s="40"/>
      <c r="D25" s="44">
        <v>2788821</v>
      </c>
      <c r="E25" s="42"/>
      <c r="F25" s="44">
        <v>14516</v>
      </c>
      <c r="G25" s="42"/>
      <c r="H25" s="44">
        <f>D25+F25</f>
        <v>2803337</v>
      </c>
      <c r="I25"/>
      <c r="J25"/>
      <c r="K25"/>
      <c r="L25"/>
      <c r="M25"/>
    </row>
    <row r="26" spans="1:13" ht="21" customHeight="1" x14ac:dyDescent="0.25">
      <c r="A26" s="38">
        <v>7</v>
      </c>
      <c r="B26" s="39" t="s">
        <v>133</v>
      </c>
      <c r="C26" s="40"/>
      <c r="D26" s="45">
        <v>259311164</v>
      </c>
      <c r="E26" s="47"/>
      <c r="F26" s="44">
        <v>38250901</v>
      </c>
      <c r="G26" s="47"/>
      <c r="H26" s="45">
        <f>D26+F26</f>
        <v>297562065</v>
      </c>
      <c r="I26"/>
      <c r="J26"/>
      <c r="K26"/>
      <c r="L26"/>
      <c r="M26"/>
    </row>
    <row r="27" spans="1:13" s="72" customFormat="1" ht="21" customHeight="1" x14ac:dyDescent="0.25">
      <c r="A27" s="616">
        <v>8</v>
      </c>
      <c r="B27" s="573" t="s">
        <v>599</v>
      </c>
      <c r="C27" s="70"/>
      <c r="D27" s="47">
        <f>ROUND(5029353*0.86378,0)</f>
        <v>4344255</v>
      </c>
      <c r="E27" s="47"/>
      <c r="F27" s="47">
        <f>H27-D27</f>
        <v>685098</v>
      </c>
      <c r="G27" s="47"/>
      <c r="H27" s="45">
        <v>5029353</v>
      </c>
      <c r="I27" s="71"/>
    </row>
    <row r="28" spans="1:13" s="72" customFormat="1" ht="21" customHeight="1" x14ac:dyDescent="0.25">
      <c r="A28" s="616">
        <v>9</v>
      </c>
      <c r="B28" s="573" t="s">
        <v>600</v>
      </c>
      <c r="C28" s="70"/>
      <c r="D28" s="47">
        <f>ROUND(3649361*0.86378,0)</f>
        <v>3152245</v>
      </c>
      <c r="E28" s="47"/>
      <c r="F28" s="47">
        <f>H28-D28</f>
        <v>497116</v>
      </c>
      <c r="G28" s="47"/>
      <c r="H28" s="45">
        <v>3649361</v>
      </c>
      <c r="I28" s="71"/>
    </row>
    <row r="29" spans="1:13" ht="21" customHeight="1" x14ac:dyDescent="0.25">
      <c r="A29" s="38">
        <v>10</v>
      </c>
      <c r="B29" s="49" t="s">
        <v>134</v>
      </c>
      <c r="C29" s="40"/>
      <c r="D29" s="42">
        <v>46978183</v>
      </c>
      <c r="E29" s="42"/>
      <c r="F29" s="47">
        <v>8020929</v>
      </c>
      <c r="G29" s="42"/>
      <c r="H29" s="45">
        <f>D29+F29</f>
        <v>54999112</v>
      </c>
    </row>
    <row r="30" spans="1:13" ht="12" customHeight="1" x14ac:dyDescent="0.25">
      <c r="A30" s="38"/>
      <c r="B30" s="39"/>
      <c r="C30" s="40"/>
      <c r="D30" s="42"/>
      <c r="E30" s="42"/>
      <c r="F30" s="47"/>
      <c r="G30" s="42"/>
      <c r="H30" s="42"/>
    </row>
    <row r="31" spans="1:13" ht="21" customHeight="1" x14ac:dyDescent="0.25">
      <c r="A31" s="38">
        <v>11</v>
      </c>
      <c r="B31" s="39" t="s">
        <v>125</v>
      </c>
      <c r="C31" s="40"/>
      <c r="D31" s="46">
        <f>SUM(D25:D30)</f>
        <v>316574668</v>
      </c>
      <c r="E31" s="42"/>
      <c r="F31" s="572">
        <f>SUM(F25:F30)</f>
        <v>47468560</v>
      </c>
      <c r="G31" s="42"/>
      <c r="H31" s="46">
        <f>SUM(H25:H30)</f>
        <v>364043228</v>
      </c>
    </row>
    <row r="32" spans="1:13" ht="13.5" customHeight="1" x14ac:dyDescent="0.25">
      <c r="A32" s="30"/>
      <c r="B32" s="39"/>
      <c r="C32" s="40"/>
      <c r="D32" s="44"/>
      <c r="E32" s="42"/>
      <c r="F32" s="45"/>
      <c r="G32" s="42"/>
      <c r="H32" s="44"/>
    </row>
    <row r="33" spans="1:8" ht="21" customHeight="1" x14ac:dyDescent="0.25">
      <c r="A33" s="30">
        <f>A31+1</f>
        <v>12</v>
      </c>
      <c r="B33" s="39" t="s">
        <v>135</v>
      </c>
      <c r="C33" s="40"/>
      <c r="D33" s="44"/>
      <c r="E33" s="42"/>
      <c r="F33" s="44"/>
      <c r="G33" s="42"/>
      <c r="H33" s="44"/>
    </row>
    <row r="34" spans="1:8" ht="21" customHeight="1" x14ac:dyDescent="0.25">
      <c r="A34" s="38">
        <f>A33+1</f>
        <v>13</v>
      </c>
      <c r="B34" s="49" t="s">
        <v>136</v>
      </c>
      <c r="C34" s="40"/>
      <c r="D34" s="45">
        <v>78030866</v>
      </c>
      <c r="E34" s="47"/>
      <c r="F34" s="47">
        <v>12097828</v>
      </c>
      <c r="G34" s="47"/>
      <c r="H34" s="45">
        <f>D34+F34</f>
        <v>90128694</v>
      </c>
    </row>
    <row r="35" spans="1:8" ht="21" customHeight="1" x14ac:dyDescent="0.25">
      <c r="A35" s="38">
        <f>A34+1</f>
        <v>14</v>
      </c>
      <c r="B35" s="49" t="s">
        <v>137</v>
      </c>
      <c r="C35" s="40"/>
      <c r="D35" s="45">
        <v>1595588</v>
      </c>
      <c r="E35" s="47"/>
      <c r="F35" s="47">
        <v>226587</v>
      </c>
      <c r="G35" s="47"/>
      <c r="H35" s="45">
        <f>D35+F35</f>
        <v>1822175</v>
      </c>
    </row>
    <row r="36" spans="1:8" ht="21" customHeight="1" x14ac:dyDescent="0.25">
      <c r="A36" s="38">
        <f>A35+1</f>
        <v>15</v>
      </c>
      <c r="B36" s="39" t="s">
        <v>138</v>
      </c>
      <c r="C36" s="40"/>
      <c r="D36" s="44">
        <v>330735</v>
      </c>
      <c r="E36" s="42"/>
      <c r="F36" s="42">
        <v>52159</v>
      </c>
      <c r="G36" s="42"/>
      <c r="H36" s="44">
        <f>D36+F36</f>
        <v>382894</v>
      </c>
    </row>
    <row r="37" spans="1:8" ht="21" customHeight="1" x14ac:dyDescent="0.25">
      <c r="A37" s="38">
        <f>A36+1</f>
        <v>16</v>
      </c>
      <c r="B37" s="39" t="s">
        <v>139</v>
      </c>
      <c r="C37" s="40"/>
      <c r="D37" s="42">
        <v>76221869</v>
      </c>
      <c r="E37" s="42"/>
      <c r="F37" s="44">
        <v>8387559</v>
      </c>
      <c r="G37" s="42"/>
      <c r="H37" s="42">
        <f>D37+F37</f>
        <v>84609428</v>
      </c>
    </row>
    <row r="38" spans="1:8" ht="13.5" customHeight="1" x14ac:dyDescent="0.25">
      <c r="A38" s="38"/>
      <c r="B38" s="39"/>
      <c r="C38" s="40"/>
      <c r="D38" s="42"/>
      <c r="E38" s="42"/>
      <c r="F38" s="42"/>
      <c r="G38" s="42"/>
      <c r="H38" s="42"/>
    </row>
    <row r="39" spans="1:8" ht="21" customHeight="1" x14ac:dyDescent="0.25">
      <c r="A39" s="38">
        <f>A37+1</f>
        <v>17</v>
      </c>
      <c r="B39" s="48" t="s">
        <v>140</v>
      </c>
      <c r="C39" s="40"/>
      <c r="D39" s="46">
        <f>SUM(D34:D38)</f>
        <v>156179058</v>
      </c>
      <c r="E39" s="42"/>
      <c r="F39" s="46">
        <f>SUM(F34:F38)</f>
        <v>20764133</v>
      </c>
      <c r="G39" s="42"/>
      <c r="H39" s="46">
        <f>SUM(H34:H38)</f>
        <v>176943191</v>
      </c>
    </row>
    <row r="40" spans="1:8" ht="13.5" customHeight="1" x14ac:dyDescent="0.25">
      <c r="A40" s="38"/>
      <c r="B40" s="39"/>
      <c r="C40" s="40"/>
      <c r="D40" s="44"/>
      <c r="E40" s="42"/>
      <c r="F40" s="44"/>
      <c r="G40" s="42"/>
      <c r="H40" s="44"/>
    </row>
    <row r="41" spans="1:8" ht="21" customHeight="1" thickBot="1" x14ac:dyDescent="0.3">
      <c r="A41" s="38">
        <f>A39+1</f>
        <v>18</v>
      </c>
      <c r="B41" s="49" t="s">
        <v>141</v>
      </c>
      <c r="C41" s="40"/>
      <c r="D41" s="50">
        <f>D22-D31+D39</f>
        <v>2477892746</v>
      </c>
      <c r="E41" s="51"/>
      <c r="F41" s="50">
        <f>F22-F31+F39</f>
        <v>342901831</v>
      </c>
      <c r="G41" s="51"/>
      <c r="H41" s="50">
        <f>H22-H31+H39</f>
        <v>2820794577</v>
      </c>
    </row>
    <row r="42" spans="1:8" ht="13.5" customHeight="1" thickTop="1" x14ac:dyDescent="0.25">
      <c r="A42" s="38"/>
      <c r="B42" s="39"/>
      <c r="C42" s="40"/>
      <c r="D42" s="44"/>
      <c r="E42" s="42"/>
      <c r="F42" s="44"/>
      <c r="G42" s="42"/>
      <c r="H42" s="44"/>
    </row>
    <row r="43" spans="1:8" ht="15.75" customHeight="1" x14ac:dyDescent="0.25">
      <c r="A43" s="38"/>
      <c r="C43" s="40"/>
      <c r="D43" s="44"/>
      <c r="E43" s="42"/>
      <c r="F43" s="44"/>
      <c r="G43" s="42"/>
      <c r="H43" s="44"/>
    </row>
    <row r="44" spans="1:8" ht="21" customHeight="1" thickBot="1" x14ac:dyDescent="0.3">
      <c r="A44" s="52">
        <f>A41+1</f>
        <v>19</v>
      </c>
      <c r="B44" s="49" t="s">
        <v>142</v>
      </c>
      <c r="C44" s="26"/>
      <c r="D44" s="54">
        <f>ROUND(D41/$H$41,4)</f>
        <v>0.87839999999999996</v>
      </c>
      <c r="E44" s="26"/>
      <c r="F44" s="54">
        <f>ROUND(F41/$H$41,4)</f>
        <v>0.1216</v>
      </c>
      <c r="G44" s="26"/>
      <c r="H44" s="54">
        <f>ROUND(H41/$H$41,4)</f>
        <v>1</v>
      </c>
    </row>
    <row r="45" spans="1:8" ht="18.95" customHeight="1" thickTop="1" x14ac:dyDescent="0.25">
      <c r="A45" s="26"/>
      <c r="C45" s="26"/>
      <c r="E45" s="26"/>
      <c r="G45" s="26"/>
    </row>
    <row r="46" spans="1:8" ht="21" customHeight="1" x14ac:dyDescent="0.25">
      <c r="A46" s="38">
        <f>A44+1</f>
        <v>20</v>
      </c>
      <c r="B46" s="39" t="s">
        <v>43</v>
      </c>
      <c r="C46" s="40"/>
      <c r="D46" s="43">
        <v>174592599</v>
      </c>
      <c r="E46" s="42"/>
      <c r="F46" s="43">
        <v>16510833</v>
      </c>
      <c r="G46" s="42"/>
      <c r="H46" s="43">
        <v>191103432</v>
      </c>
    </row>
    <row r="47" spans="1:8" ht="18.95" customHeight="1" thickBot="1" x14ac:dyDescent="0.3">
      <c r="A47" s="26"/>
      <c r="C47" s="26"/>
      <c r="D47" s="53"/>
      <c r="E47" s="26"/>
      <c r="G47" s="26"/>
    </row>
    <row r="48" spans="1:8" ht="18.95" customHeight="1" thickBot="1" x14ac:dyDescent="0.3">
      <c r="A48" s="38">
        <f>A46+1</f>
        <v>21</v>
      </c>
      <c r="B48" s="26" t="s">
        <v>81</v>
      </c>
      <c r="C48" s="26"/>
      <c r="D48" s="762">
        <f>ROUND(D46/D41,4)</f>
        <v>7.0499999999999993E-2</v>
      </c>
      <c r="E48" s="26"/>
      <c r="F48" s="779">
        <f>ROUND(F46/F41,4)</f>
        <v>4.82E-2</v>
      </c>
      <c r="G48" s="26"/>
      <c r="H48" s="762">
        <f>ROUND(H46/H41,4)</f>
        <v>6.7699999999999996E-2</v>
      </c>
    </row>
    <row r="49" spans="1:8" ht="18.95" customHeight="1" x14ac:dyDescent="0.25">
      <c r="A49" s="26"/>
      <c r="C49" s="26"/>
      <c r="E49" s="26"/>
      <c r="F49" s="72"/>
      <c r="G49" s="26"/>
    </row>
    <row r="50" spans="1:8" ht="18.95" customHeight="1" x14ac:dyDescent="0.25">
      <c r="A50" s="55" t="s">
        <v>3</v>
      </c>
      <c r="B50" s="49" t="s">
        <v>143</v>
      </c>
      <c r="C50" s="26"/>
      <c r="E50" s="26"/>
      <c r="F50" s="72"/>
      <c r="G50" s="26"/>
    </row>
    <row r="51" spans="1:8" ht="18.95" customHeight="1" x14ac:dyDescent="0.25">
      <c r="A51" s="56" t="s">
        <v>144</v>
      </c>
      <c r="B51" s="57" t="s">
        <v>145</v>
      </c>
      <c r="C51" s="26"/>
      <c r="E51" s="26"/>
      <c r="F51" s="72"/>
      <c r="G51" s="26"/>
    </row>
    <row r="52" spans="1:8" ht="18.95" customHeight="1" x14ac:dyDescent="0.25">
      <c r="A52" s="56" t="s">
        <v>146</v>
      </c>
      <c r="B52" s="26" t="s">
        <v>147</v>
      </c>
      <c r="C52" s="26"/>
      <c r="E52" s="26"/>
      <c r="G52" s="26"/>
    </row>
    <row r="53" spans="1:8" x14ac:dyDescent="0.25">
      <c r="G53" s="26"/>
      <c r="H53" s="28"/>
    </row>
    <row r="54" spans="1:8" x14ac:dyDescent="0.25">
      <c r="G54" s="26"/>
      <c r="H54" s="28"/>
    </row>
    <row r="55" spans="1:8" x14ac:dyDescent="0.25">
      <c r="G55" s="26"/>
      <c r="H55" s="28"/>
    </row>
    <row r="56" spans="1:8" x14ac:dyDescent="0.25">
      <c r="A56" s="849" t="s">
        <v>126</v>
      </c>
      <c r="B56" s="849"/>
      <c r="C56" s="849"/>
      <c r="D56" s="849"/>
      <c r="E56" s="849"/>
      <c r="F56" s="849"/>
      <c r="G56" s="849"/>
      <c r="H56" s="849"/>
    </row>
    <row r="58" spans="1:8" x14ac:dyDescent="0.25">
      <c r="A58" s="850" t="s">
        <v>148</v>
      </c>
      <c r="B58" s="850"/>
      <c r="C58" s="850"/>
      <c r="D58" s="850"/>
      <c r="E58" s="850"/>
      <c r="F58" s="850"/>
      <c r="G58" s="850"/>
      <c r="H58" s="850"/>
    </row>
    <row r="59" spans="1:8" x14ac:dyDescent="0.25">
      <c r="A59" s="851" t="s">
        <v>163</v>
      </c>
      <c r="B59" s="851"/>
      <c r="C59" s="851"/>
      <c r="D59" s="851"/>
      <c r="E59" s="851"/>
      <c r="F59" s="851"/>
      <c r="G59" s="851"/>
      <c r="H59" s="851"/>
    </row>
    <row r="60" spans="1:8" x14ac:dyDescent="0.25">
      <c r="A60" s="30"/>
      <c r="B60" s="31"/>
      <c r="C60" s="32"/>
      <c r="D60" s="31"/>
      <c r="E60" s="32"/>
      <c r="G60" s="26"/>
    </row>
    <row r="61" spans="1:8" x14ac:dyDescent="0.25">
      <c r="A61" s="30"/>
      <c r="G61" s="26"/>
    </row>
    <row r="62" spans="1:8" x14ac:dyDescent="0.25">
      <c r="A62" s="30"/>
      <c r="B62" s="31"/>
      <c r="C62" s="32"/>
      <c r="D62" s="31"/>
      <c r="E62" s="32"/>
      <c r="G62" s="26"/>
    </row>
    <row r="63" spans="1:8" x14ac:dyDescent="0.25">
      <c r="A63" s="30"/>
      <c r="D63" s="34" t="s">
        <v>5</v>
      </c>
      <c r="E63" s="32"/>
      <c r="F63" s="34" t="s">
        <v>6</v>
      </c>
      <c r="G63" s="32"/>
      <c r="H63" s="34" t="s">
        <v>16</v>
      </c>
    </row>
    <row r="64" spans="1:8" x14ac:dyDescent="0.25">
      <c r="A64" s="30"/>
      <c r="B64" s="31"/>
      <c r="C64" s="32"/>
      <c r="D64" s="34" t="s">
        <v>45</v>
      </c>
      <c r="E64" s="32"/>
      <c r="F64" s="34" t="s">
        <v>45</v>
      </c>
      <c r="G64" s="32"/>
      <c r="H64" s="34" t="s">
        <v>17</v>
      </c>
    </row>
    <row r="65" spans="1:8" x14ac:dyDescent="0.25">
      <c r="A65" s="30"/>
      <c r="B65" s="31"/>
      <c r="C65" s="32"/>
      <c r="D65" s="34" t="s">
        <v>46</v>
      </c>
      <c r="E65" s="32"/>
      <c r="F65" s="34" t="s">
        <v>46</v>
      </c>
      <c r="G65" s="32"/>
      <c r="H65" s="34" t="s">
        <v>46</v>
      </c>
    </row>
    <row r="66" spans="1:8" x14ac:dyDescent="0.25">
      <c r="A66" s="30"/>
      <c r="B66" s="31" t="s">
        <v>128</v>
      </c>
      <c r="C66" s="32"/>
      <c r="D66" s="35">
        <v>39447</v>
      </c>
      <c r="E66" s="32"/>
      <c r="F66" s="35">
        <v>39447</v>
      </c>
      <c r="G66" s="32"/>
      <c r="H66" s="35">
        <v>39447</v>
      </c>
    </row>
    <row r="67" spans="1:8" x14ac:dyDescent="0.25">
      <c r="A67" s="30"/>
      <c r="B67" s="36">
        <v>-1</v>
      </c>
      <c r="C67" s="32"/>
      <c r="D67" s="37">
        <v>-2</v>
      </c>
      <c r="E67" s="32"/>
      <c r="F67" s="36">
        <v>-3</v>
      </c>
      <c r="G67" s="32"/>
      <c r="H67" s="36">
        <v>-4</v>
      </c>
    </row>
    <row r="68" spans="1:8" x14ac:dyDescent="0.25">
      <c r="A68" s="30"/>
      <c r="B68" s="31"/>
      <c r="C68" s="32"/>
      <c r="D68" s="31"/>
      <c r="E68" s="32"/>
      <c r="F68" s="31"/>
      <c r="G68" s="32"/>
      <c r="H68" s="31"/>
    </row>
    <row r="69" spans="1:8" ht="21" customHeight="1" x14ac:dyDescent="0.25">
      <c r="A69" s="58" t="s">
        <v>149</v>
      </c>
      <c r="B69" s="57" t="s">
        <v>150</v>
      </c>
    </row>
    <row r="70" spans="1:8" ht="21" customHeight="1" x14ac:dyDescent="0.25">
      <c r="A70" s="58"/>
      <c r="B70" s="49" t="s">
        <v>164</v>
      </c>
      <c r="D70" s="43">
        <v>755871552</v>
      </c>
      <c r="F70" s="43">
        <v>110855770</v>
      </c>
      <c r="H70" s="43">
        <f>D70+F70</f>
        <v>866727322</v>
      </c>
    </row>
    <row r="71" spans="1:8" ht="15" customHeight="1" x14ac:dyDescent="0.25">
      <c r="A71" s="58"/>
      <c r="B71" s="57"/>
    </row>
    <row r="72" spans="1:8" ht="21" customHeight="1" x14ac:dyDescent="0.25">
      <c r="A72" s="60" t="s">
        <v>151</v>
      </c>
      <c r="B72" s="57" t="s">
        <v>124</v>
      </c>
    </row>
    <row r="73" spans="1:8" ht="21" customHeight="1" x14ac:dyDescent="0.25">
      <c r="A73" s="60" t="s">
        <v>152</v>
      </c>
      <c r="B73" s="61" t="s">
        <v>153</v>
      </c>
      <c r="D73" s="62">
        <v>146096597</v>
      </c>
      <c r="F73" s="63">
        <v>22347009</v>
      </c>
      <c r="G73" s="44"/>
      <c r="H73" s="62">
        <f>D73+F73</f>
        <v>168443606</v>
      </c>
    </row>
    <row r="74" spans="1:8" ht="21" customHeight="1" x14ac:dyDescent="0.25">
      <c r="A74" s="60" t="s">
        <v>154</v>
      </c>
      <c r="B74" s="64" t="s">
        <v>155</v>
      </c>
      <c r="D74" s="43">
        <f>D73</f>
        <v>146096597</v>
      </c>
      <c r="F74" s="43">
        <f>F73</f>
        <v>22347009</v>
      </c>
      <c r="H74" s="43">
        <f>H73</f>
        <v>168443606</v>
      </c>
    </row>
    <row r="75" spans="1:8" ht="13.5" customHeight="1" x14ac:dyDescent="0.25">
      <c r="A75" s="60"/>
      <c r="B75" s="65"/>
      <c r="D75" s="66"/>
      <c r="F75" s="66"/>
      <c r="H75" s="66"/>
    </row>
    <row r="76" spans="1:8" ht="21" customHeight="1" thickBot="1" x14ac:dyDescent="0.3">
      <c r="A76" s="60" t="s">
        <v>156</v>
      </c>
      <c r="B76" s="65" t="s">
        <v>157</v>
      </c>
      <c r="D76" s="50">
        <f>D70-D74</f>
        <v>609774955</v>
      </c>
      <c r="F76" s="50">
        <f>F70-F74</f>
        <v>88508761</v>
      </c>
      <c r="H76" s="50">
        <f>H70-H74</f>
        <v>698283716</v>
      </c>
    </row>
    <row r="77" spans="1:8" ht="15" customHeight="1" thickTop="1" x14ac:dyDescent="0.25">
      <c r="A77" s="60"/>
      <c r="B77" s="65"/>
    </row>
    <row r="78" spans="1:8" ht="21" customHeight="1" thickBot="1" x14ac:dyDescent="0.3">
      <c r="A78" s="60" t="s">
        <v>158</v>
      </c>
      <c r="B78" s="65" t="s">
        <v>159</v>
      </c>
      <c r="D78" s="67">
        <f>ROUND(D76*0.125,0)</f>
        <v>76221869</v>
      </c>
      <c r="E78" s="65"/>
      <c r="F78" s="67">
        <v>8387559</v>
      </c>
      <c r="G78" s="65"/>
      <c r="H78" s="67">
        <f>D78+F78</f>
        <v>84609428</v>
      </c>
    </row>
    <row r="79" spans="1:8" ht="21" customHeight="1" thickTop="1" x14ac:dyDescent="0.25">
      <c r="A79" s="60"/>
      <c r="B79" s="65"/>
      <c r="D79" s="68"/>
      <c r="E79" s="65"/>
      <c r="F79" s="68"/>
      <c r="G79" s="65"/>
      <c r="H79" s="68"/>
    </row>
    <row r="80" spans="1:8" ht="18.95" customHeight="1" x14ac:dyDescent="0.25">
      <c r="B80" s="65" t="s">
        <v>160</v>
      </c>
      <c r="F80" s="69"/>
      <c r="G80" s="26"/>
    </row>
    <row r="81" spans="2:7" ht="18.95" customHeight="1" x14ac:dyDescent="0.25">
      <c r="B81" s="65" t="s">
        <v>161</v>
      </c>
      <c r="G81" s="26"/>
    </row>
    <row r="82" spans="2:7" ht="18.95" customHeight="1" x14ac:dyDescent="0.25">
      <c r="B82" s="26" t="s">
        <v>162</v>
      </c>
      <c r="G82" s="26"/>
    </row>
  </sheetData>
  <mergeCells count="6">
    <mergeCell ref="A56:H56"/>
    <mergeCell ref="A58:H58"/>
    <mergeCell ref="A59:H59"/>
    <mergeCell ref="A4:H4"/>
    <mergeCell ref="A6:H6"/>
    <mergeCell ref="A7:H7"/>
  </mergeCells>
  <phoneticPr fontId="1" type="noConversion"/>
  <printOptions horizontalCentered="1"/>
  <pageMargins left="1" right="0.69" top="0.75" bottom="0.5" header="0.75" footer="0.25"/>
  <pageSetup scale="62" orientation="portrait" blackAndWhite="1" r:id="rId1"/>
  <headerFooter alignWithMargins="0">
    <oddHeader>&amp;R&amp;"Times New Roman,Bold"&amp;14Attachment to Response to Question No. 38
Page &amp;P of &amp;N
Blake</oddHeader>
  </headerFooter>
  <rowBreaks count="1" manualBreakCount="1">
    <brk id="54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82"/>
  <sheetViews>
    <sheetView showGridLines="0" zoomScale="75" zoomScaleNormal="75" zoomScaleSheetLayoutView="75" workbookViewId="0">
      <pane ySplit="15" topLeftCell="A34" activePane="bottomLeft" state="frozen"/>
      <selection sqref="A1:L1"/>
      <selection pane="bottomLeft" sqref="A1:L1"/>
    </sheetView>
  </sheetViews>
  <sheetFormatPr defaultColWidth="10.28515625" defaultRowHeight="15.75" x14ac:dyDescent="0.25"/>
  <cols>
    <col min="1" max="1" width="4.85546875" style="25" bestFit="1" customWidth="1"/>
    <col min="2" max="2" width="60.5703125" style="26" customWidth="1"/>
    <col min="3" max="3" width="1.85546875" style="27" customWidth="1"/>
    <col min="4" max="4" width="19" style="26" customWidth="1"/>
    <col min="5" max="5" width="1.85546875" style="27" customWidth="1"/>
    <col min="6" max="6" width="19" style="26" customWidth="1"/>
    <col min="7" max="7" width="1.85546875" style="27" customWidth="1"/>
    <col min="8" max="8" width="19" style="26" customWidth="1"/>
    <col min="9" max="9" width="10.5703125" style="29" bestFit="1" customWidth="1"/>
    <col min="10" max="10" width="13.42578125" style="26" bestFit="1" customWidth="1"/>
    <col min="11" max="11" width="10.28515625" style="26"/>
    <col min="12" max="12" width="17.5703125" style="26" bestFit="1" customWidth="1"/>
    <col min="13" max="16384" width="10.28515625" style="26"/>
  </cols>
  <sheetData>
    <row r="4" spans="1:13" x14ac:dyDescent="0.25">
      <c r="A4" s="849" t="s">
        <v>126</v>
      </c>
      <c r="B4" s="849"/>
      <c r="C4" s="849"/>
      <c r="D4" s="849"/>
      <c r="E4" s="849"/>
      <c r="F4" s="849"/>
      <c r="G4" s="849"/>
      <c r="H4" s="849"/>
    </row>
    <row r="6" spans="1:13" x14ac:dyDescent="0.25">
      <c r="A6" s="850" t="s">
        <v>127</v>
      </c>
      <c r="B6" s="850"/>
      <c r="C6" s="850"/>
      <c r="D6" s="850"/>
      <c r="E6" s="850"/>
      <c r="F6" s="850"/>
      <c r="G6" s="850"/>
      <c r="H6" s="850"/>
    </row>
    <row r="7" spans="1:13" x14ac:dyDescent="0.25">
      <c r="A7" s="852" t="s">
        <v>165</v>
      </c>
      <c r="B7" s="851"/>
      <c r="C7" s="851"/>
      <c r="D7" s="851"/>
      <c r="E7" s="851"/>
      <c r="F7" s="851"/>
      <c r="G7" s="851"/>
      <c r="H7" s="851"/>
    </row>
    <row r="8" spans="1:13" x14ac:dyDescent="0.25">
      <c r="A8" s="30"/>
      <c r="B8" s="31"/>
      <c r="C8" s="32"/>
      <c r="D8" s="31"/>
      <c r="E8" s="32"/>
      <c r="F8" s="31"/>
      <c r="G8" s="32"/>
      <c r="H8" s="31"/>
    </row>
    <row r="9" spans="1:13" x14ac:dyDescent="0.25">
      <c r="A9" s="30"/>
    </row>
    <row r="10" spans="1:13" x14ac:dyDescent="0.25">
      <c r="A10" s="30"/>
      <c r="B10" s="31"/>
      <c r="C10" s="32"/>
      <c r="D10" s="31"/>
      <c r="E10" s="32"/>
      <c r="F10" s="31"/>
      <c r="G10" s="32"/>
      <c r="H10" s="31"/>
    </row>
    <row r="11" spans="1:13" x14ac:dyDescent="0.25">
      <c r="A11" s="30"/>
      <c r="B11" s="33"/>
      <c r="D11" s="34" t="s">
        <v>5</v>
      </c>
      <c r="E11" s="32"/>
      <c r="F11" s="34" t="s">
        <v>6</v>
      </c>
      <c r="G11" s="32"/>
      <c r="H11" s="34" t="s">
        <v>16</v>
      </c>
    </row>
    <row r="12" spans="1:13" x14ac:dyDescent="0.25">
      <c r="A12" s="30"/>
      <c r="B12" s="31"/>
      <c r="C12" s="32"/>
      <c r="D12" s="34" t="s">
        <v>45</v>
      </c>
      <c r="E12" s="32"/>
      <c r="F12" s="34" t="s">
        <v>45</v>
      </c>
      <c r="G12" s="32"/>
      <c r="H12" s="34" t="s">
        <v>17</v>
      </c>
    </row>
    <row r="13" spans="1:13" x14ac:dyDescent="0.25">
      <c r="A13" s="30"/>
      <c r="B13" s="31"/>
      <c r="C13" s="32"/>
      <c r="D13" s="34" t="s">
        <v>46</v>
      </c>
      <c r="E13" s="32"/>
      <c r="F13" s="34" t="s">
        <v>46</v>
      </c>
      <c r="G13" s="32"/>
      <c r="H13" s="34" t="s">
        <v>46</v>
      </c>
    </row>
    <row r="14" spans="1:13" x14ac:dyDescent="0.25">
      <c r="A14" s="30"/>
      <c r="B14" s="31" t="s">
        <v>128</v>
      </c>
      <c r="C14" s="32"/>
      <c r="D14" s="35">
        <v>39082</v>
      </c>
      <c r="E14" s="32"/>
      <c r="F14" s="35">
        <v>39082</v>
      </c>
      <c r="G14" s="32"/>
      <c r="H14" s="35">
        <v>39082</v>
      </c>
    </row>
    <row r="15" spans="1:13" x14ac:dyDescent="0.25">
      <c r="A15" s="30"/>
      <c r="B15" s="36">
        <v>-1</v>
      </c>
      <c r="C15" s="32"/>
      <c r="D15" s="37">
        <v>-2</v>
      </c>
      <c r="E15" s="32"/>
      <c r="F15" s="36">
        <v>-3</v>
      </c>
      <c r="G15" s="32"/>
      <c r="H15" s="36">
        <v>-4</v>
      </c>
      <c r="I15"/>
      <c r="J15"/>
      <c r="K15"/>
      <c r="L15"/>
      <c r="M15"/>
    </row>
    <row r="16" spans="1:13" x14ac:dyDescent="0.25">
      <c r="A16" s="30"/>
      <c r="B16" s="31"/>
      <c r="C16" s="32"/>
      <c r="D16" s="31"/>
      <c r="E16" s="32"/>
      <c r="F16" s="31"/>
      <c r="G16" s="32"/>
      <c r="H16" s="31"/>
      <c r="I16"/>
      <c r="J16"/>
      <c r="K16"/>
      <c r="L16"/>
      <c r="M16"/>
    </row>
    <row r="17" spans="1:13" ht="21" customHeight="1" x14ac:dyDescent="0.25">
      <c r="A17" s="38">
        <v>1</v>
      </c>
      <c r="B17" s="39" t="s">
        <v>129</v>
      </c>
      <c r="C17" s="40"/>
      <c r="D17" s="41">
        <v>3636980697</v>
      </c>
      <c r="E17" s="42"/>
      <c r="F17" s="43">
        <v>530997430</v>
      </c>
      <c r="G17" s="42"/>
      <c r="H17" s="43">
        <f>D17+F17</f>
        <v>4167978127</v>
      </c>
      <c r="I17"/>
      <c r="J17"/>
      <c r="K17"/>
      <c r="L17"/>
      <c r="M17"/>
    </row>
    <row r="18" spans="1:13" ht="13.5" customHeight="1" x14ac:dyDescent="0.25">
      <c r="A18" s="30"/>
      <c r="B18" s="39"/>
      <c r="C18" s="40"/>
      <c r="D18" s="44"/>
      <c r="E18" s="42"/>
      <c r="F18" s="44"/>
      <c r="G18" s="42"/>
      <c r="H18" s="44"/>
      <c r="I18"/>
      <c r="J18"/>
      <c r="K18"/>
      <c r="L18"/>
      <c r="M18"/>
    </row>
    <row r="19" spans="1:13" ht="21" customHeight="1" x14ac:dyDescent="0.25">
      <c r="A19" s="38">
        <v>2</v>
      </c>
      <c r="B19" s="39" t="s">
        <v>124</v>
      </c>
      <c r="C19" s="40"/>
      <c r="D19" s="44"/>
      <c r="E19" s="42"/>
      <c r="F19" s="44"/>
      <c r="G19" s="42"/>
      <c r="H19" s="44"/>
      <c r="I19"/>
      <c r="J19"/>
      <c r="K19"/>
      <c r="L19"/>
      <c r="M19"/>
    </row>
    <row r="20" spans="1:13" ht="21" customHeight="1" x14ac:dyDescent="0.25">
      <c r="A20" s="38">
        <v>3</v>
      </c>
      <c r="B20" s="39" t="s">
        <v>130</v>
      </c>
      <c r="C20" s="40"/>
      <c r="D20" s="45">
        <v>1598291173</v>
      </c>
      <c r="E20" s="42"/>
      <c r="F20" s="44">
        <v>251720982</v>
      </c>
      <c r="G20" s="42"/>
      <c r="H20" s="44">
        <f>D20+F20</f>
        <v>1850012155</v>
      </c>
      <c r="I20"/>
      <c r="J20"/>
      <c r="K20"/>
      <c r="L20"/>
      <c r="M20"/>
    </row>
    <row r="21" spans="1:13" ht="13.5" customHeight="1" x14ac:dyDescent="0.25">
      <c r="A21" s="38"/>
      <c r="B21" s="39"/>
      <c r="C21" s="40"/>
      <c r="D21" s="44"/>
      <c r="E21" s="42"/>
      <c r="F21" s="44"/>
      <c r="G21" s="42"/>
      <c r="H21" s="44"/>
      <c r="I21"/>
      <c r="J21"/>
      <c r="K21"/>
      <c r="L21"/>
      <c r="M21"/>
    </row>
    <row r="22" spans="1:13" ht="21" customHeight="1" x14ac:dyDescent="0.25">
      <c r="A22" s="38">
        <v>4</v>
      </c>
      <c r="B22" s="39" t="s">
        <v>131</v>
      </c>
      <c r="C22" s="40"/>
      <c r="D22" s="46">
        <f>D17-D20</f>
        <v>2038689524</v>
      </c>
      <c r="E22" s="42"/>
      <c r="F22" s="46">
        <f>F17-F20</f>
        <v>279276448</v>
      </c>
      <c r="G22" s="42"/>
      <c r="H22" s="46">
        <f>H17-H20</f>
        <v>2317965972</v>
      </c>
      <c r="I22"/>
      <c r="J22"/>
      <c r="K22"/>
      <c r="L22"/>
      <c r="M22"/>
    </row>
    <row r="23" spans="1:13" ht="13.5" customHeight="1" x14ac:dyDescent="0.25">
      <c r="A23" s="38"/>
      <c r="B23" s="39"/>
      <c r="C23" s="40"/>
      <c r="D23" s="44"/>
      <c r="E23" s="42"/>
      <c r="F23" s="44"/>
      <c r="G23" s="42"/>
      <c r="H23" s="44"/>
      <c r="I23"/>
      <c r="J23"/>
      <c r="K23"/>
      <c r="L23"/>
      <c r="M23"/>
    </row>
    <row r="24" spans="1:13" ht="21" customHeight="1" x14ac:dyDescent="0.25">
      <c r="A24" s="38">
        <v>5</v>
      </c>
      <c r="B24" s="39" t="s">
        <v>124</v>
      </c>
      <c r="C24" s="40"/>
      <c r="D24" s="44"/>
      <c r="E24" s="42"/>
      <c r="F24" s="44"/>
      <c r="G24" s="42"/>
      <c r="H24" s="44"/>
      <c r="I24"/>
      <c r="J24"/>
      <c r="K24"/>
      <c r="L24"/>
      <c r="M24"/>
    </row>
    <row r="25" spans="1:13" ht="21" customHeight="1" x14ac:dyDescent="0.25">
      <c r="A25" s="38">
        <v>6</v>
      </c>
      <c r="B25" s="39" t="s">
        <v>132</v>
      </c>
      <c r="C25" s="40"/>
      <c r="D25" s="44">
        <v>1958015</v>
      </c>
      <c r="E25" s="42"/>
      <c r="F25" s="44">
        <v>14851</v>
      </c>
      <c r="G25" s="42"/>
      <c r="H25" s="44">
        <f>D25+F25</f>
        <v>1972866</v>
      </c>
      <c r="I25"/>
      <c r="J25"/>
      <c r="K25"/>
      <c r="L25"/>
      <c r="M25"/>
    </row>
    <row r="26" spans="1:13" ht="21" customHeight="1" x14ac:dyDescent="0.25">
      <c r="A26" s="38">
        <v>7</v>
      </c>
      <c r="B26" s="39" t="s">
        <v>133</v>
      </c>
      <c r="C26" s="40"/>
      <c r="D26" s="44">
        <v>265376423</v>
      </c>
      <c r="E26" s="47"/>
      <c r="F26" s="44">
        <v>39033869</v>
      </c>
      <c r="G26" s="47"/>
      <c r="H26" s="45">
        <f>D26+F26</f>
        <v>304410292</v>
      </c>
      <c r="I26"/>
      <c r="J26"/>
      <c r="K26"/>
      <c r="L26"/>
      <c r="M26"/>
    </row>
    <row r="27" spans="1:13" s="72" customFormat="1" ht="21" customHeight="1" x14ac:dyDescent="0.25">
      <c r="A27" s="616">
        <v>8</v>
      </c>
      <c r="B27" s="573" t="s">
        <v>599</v>
      </c>
      <c r="C27" s="70"/>
      <c r="D27" s="47">
        <f>ROUND(5228784*0.86346,0)</f>
        <v>4514846</v>
      </c>
      <c r="E27" s="47"/>
      <c r="F27" s="47">
        <f>H27-D27</f>
        <v>713938</v>
      </c>
      <c r="G27" s="47"/>
      <c r="H27" s="45">
        <v>5228784</v>
      </c>
      <c r="I27" s="71"/>
    </row>
    <row r="28" spans="1:13" s="72" customFormat="1" ht="21" customHeight="1" x14ac:dyDescent="0.25">
      <c r="A28" s="616">
        <v>9</v>
      </c>
      <c r="B28" s="573" t="s">
        <v>600</v>
      </c>
      <c r="C28" s="70"/>
      <c r="D28" s="47">
        <f>ROUND(3397169*0.86346,0)</f>
        <v>2933320</v>
      </c>
      <c r="E28" s="47"/>
      <c r="F28" s="47">
        <f>H28-D28</f>
        <v>463849</v>
      </c>
      <c r="G28" s="47"/>
      <c r="H28" s="45">
        <v>3397169</v>
      </c>
      <c r="I28" s="71"/>
    </row>
    <row r="29" spans="1:13" ht="21" customHeight="1" x14ac:dyDescent="0.25">
      <c r="A29" s="38">
        <v>10</v>
      </c>
      <c r="B29" s="49" t="s">
        <v>134</v>
      </c>
      <c r="C29" s="40"/>
      <c r="D29" s="42">
        <v>11108447</v>
      </c>
      <c r="E29" s="42"/>
      <c r="F29" s="42">
        <v>1915328</v>
      </c>
      <c r="G29" s="42"/>
      <c r="H29" s="45">
        <f>D29+F29</f>
        <v>13023775</v>
      </c>
    </row>
    <row r="30" spans="1:13" ht="12" customHeight="1" x14ac:dyDescent="0.25">
      <c r="A30" s="38"/>
      <c r="B30" s="39"/>
      <c r="C30" s="40"/>
      <c r="D30" s="42"/>
      <c r="E30" s="42"/>
      <c r="F30" s="42"/>
      <c r="G30" s="42"/>
      <c r="H30" s="42"/>
    </row>
    <row r="31" spans="1:13" ht="21" customHeight="1" x14ac:dyDescent="0.25">
      <c r="A31" s="38">
        <v>11</v>
      </c>
      <c r="B31" s="39" t="s">
        <v>125</v>
      </c>
      <c r="C31" s="40"/>
      <c r="D31" s="46">
        <f>SUM(D25:D30)</f>
        <v>285891051</v>
      </c>
      <c r="E31" s="42"/>
      <c r="F31" s="46">
        <f>SUM(F25:F30)</f>
        <v>42141835</v>
      </c>
      <c r="G31" s="42"/>
      <c r="H31" s="46">
        <f>SUM(H25:H30)</f>
        <v>328032886</v>
      </c>
    </row>
    <row r="32" spans="1:13" ht="13.5" customHeight="1" x14ac:dyDescent="0.25">
      <c r="A32" s="30"/>
      <c r="B32" s="39"/>
      <c r="C32" s="40"/>
      <c r="D32" s="44"/>
      <c r="E32" s="42"/>
      <c r="F32" s="44"/>
      <c r="G32" s="42"/>
      <c r="H32" s="44"/>
    </row>
    <row r="33" spans="1:8" ht="21" customHeight="1" x14ac:dyDescent="0.25">
      <c r="A33" s="30">
        <f>A31+1</f>
        <v>12</v>
      </c>
      <c r="B33" s="39" t="s">
        <v>135</v>
      </c>
      <c r="C33" s="40"/>
      <c r="D33" s="44"/>
      <c r="E33" s="42"/>
      <c r="F33" s="44"/>
      <c r="G33" s="42"/>
      <c r="H33" s="44"/>
    </row>
    <row r="34" spans="1:8" ht="21" customHeight="1" x14ac:dyDescent="0.25">
      <c r="A34" s="38">
        <f>A33+1</f>
        <v>13</v>
      </c>
      <c r="B34" s="49" t="s">
        <v>136</v>
      </c>
      <c r="C34" s="40"/>
      <c r="D34" s="44">
        <v>82710640</v>
      </c>
      <c r="E34" s="42"/>
      <c r="F34" s="42">
        <v>12825231</v>
      </c>
      <c r="G34" s="42"/>
      <c r="H34" s="45">
        <f>D34+F34</f>
        <v>95535871</v>
      </c>
    </row>
    <row r="35" spans="1:8" ht="21" customHeight="1" x14ac:dyDescent="0.25">
      <c r="A35" s="38">
        <f>A34+1</f>
        <v>14</v>
      </c>
      <c r="B35" s="49" t="s">
        <v>137</v>
      </c>
      <c r="C35" s="40"/>
      <c r="D35" s="44">
        <v>1461220</v>
      </c>
      <c r="E35" s="42"/>
      <c r="F35" s="42">
        <v>234842</v>
      </c>
      <c r="G35" s="42"/>
      <c r="H35" s="45">
        <f>D35+F35</f>
        <v>1696062</v>
      </c>
    </row>
    <row r="36" spans="1:8" ht="21" customHeight="1" x14ac:dyDescent="0.25">
      <c r="A36" s="38">
        <f>A35+1</f>
        <v>15</v>
      </c>
      <c r="B36" s="39" t="s">
        <v>138</v>
      </c>
      <c r="C36" s="40"/>
      <c r="D36" s="44">
        <v>1442446</v>
      </c>
      <c r="E36" s="42"/>
      <c r="F36" s="42">
        <v>228092</v>
      </c>
      <c r="G36" s="42"/>
      <c r="H36" s="45">
        <f>D36+F36</f>
        <v>1670538</v>
      </c>
    </row>
    <row r="37" spans="1:8" ht="21" customHeight="1" x14ac:dyDescent="0.25">
      <c r="A37" s="38">
        <f>A36+1</f>
        <v>16</v>
      </c>
      <c r="B37" s="39" t="s">
        <v>139</v>
      </c>
      <c r="C37" s="40"/>
      <c r="D37" s="42">
        <v>72088951</v>
      </c>
      <c r="E37" s="42"/>
      <c r="F37" s="44">
        <v>7917882</v>
      </c>
      <c r="G37" s="42"/>
      <c r="H37" s="42">
        <f>D37+F37</f>
        <v>80006833</v>
      </c>
    </row>
    <row r="38" spans="1:8" ht="13.5" customHeight="1" x14ac:dyDescent="0.25">
      <c r="A38" s="38"/>
      <c r="B38" s="39"/>
      <c r="C38" s="40"/>
      <c r="D38" s="42"/>
      <c r="E38" s="42"/>
      <c r="F38" s="42"/>
      <c r="G38" s="42"/>
      <c r="H38" s="42"/>
    </row>
    <row r="39" spans="1:8" ht="21" customHeight="1" x14ac:dyDescent="0.25">
      <c r="A39" s="38">
        <f>A37+1</f>
        <v>17</v>
      </c>
      <c r="B39" s="48" t="s">
        <v>140</v>
      </c>
      <c r="C39" s="40"/>
      <c r="D39" s="46">
        <f>SUM(D34:D38)</f>
        <v>157703257</v>
      </c>
      <c r="E39" s="42"/>
      <c r="F39" s="46">
        <f>SUM(F34:F38)</f>
        <v>21206047</v>
      </c>
      <c r="G39" s="42"/>
      <c r="H39" s="46">
        <f>SUM(H34:H38)</f>
        <v>178909304</v>
      </c>
    </row>
    <row r="40" spans="1:8" ht="13.5" customHeight="1" x14ac:dyDescent="0.25">
      <c r="A40" s="38"/>
      <c r="B40" s="39"/>
      <c r="C40" s="40"/>
      <c r="D40" s="44"/>
      <c r="E40" s="42"/>
      <c r="F40" s="44"/>
      <c r="G40" s="42"/>
      <c r="H40" s="44"/>
    </row>
    <row r="41" spans="1:8" ht="21" customHeight="1" thickBot="1" x14ac:dyDescent="0.3">
      <c r="A41" s="38">
        <f>A39+1</f>
        <v>18</v>
      </c>
      <c r="B41" s="49" t="s">
        <v>141</v>
      </c>
      <c r="C41" s="40"/>
      <c r="D41" s="50">
        <f>D22-D31+D39</f>
        <v>1910501730</v>
      </c>
      <c r="E41" s="51"/>
      <c r="F41" s="50">
        <f>F22-F31+F39</f>
        <v>258340660</v>
      </c>
      <c r="G41" s="51"/>
      <c r="H41" s="50">
        <f>H22-H31+H39</f>
        <v>2168842390</v>
      </c>
    </row>
    <row r="42" spans="1:8" ht="13.5" customHeight="1" thickTop="1" x14ac:dyDescent="0.25">
      <c r="A42" s="38"/>
      <c r="B42" s="39"/>
      <c r="C42" s="40"/>
      <c r="D42" s="44"/>
      <c r="E42" s="42"/>
      <c r="F42" s="44"/>
      <c r="G42" s="42"/>
      <c r="H42" s="44"/>
    </row>
    <row r="43" spans="1:8" ht="15.75" customHeight="1" x14ac:dyDescent="0.25">
      <c r="A43" s="38"/>
      <c r="C43" s="40"/>
      <c r="D43" s="44"/>
      <c r="E43" s="42"/>
      <c r="F43" s="44"/>
      <c r="G43" s="42"/>
      <c r="H43" s="44"/>
    </row>
    <row r="44" spans="1:8" ht="21" customHeight="1" thickBot="1" x14ac:dyDescent="0.3">
      <c r="A44" s="52">
        <f>A41+1</f>
        <v>19</v>
      </c>
      <c r="B44" s="49" t="s">
        <v>142</v>
      </c>
      <c r="C44" s="26"/>
      <c r="D44" s="54">
        <f>ROUND(D41/$H$41,4)</f>
        <v>0.88090000000000002</v>
      </c>
      <c r="E44" s="26"/>
      <c r="F44" s="54">
        <f>ROUND(F41/$H$41,4)</f>
        <v>0.1191</v>
      </c>
      <c r="G44" s="26"/>
      <c r="H44" s="54">
        <f>ROUND(H41/$H$41,4)</f>
        <v>1</v>
      </c>
    </row>
    <row r="45" spans="1:8" ht="18.95" customHeight="1" thickTop="1" x14ac:dyDescent="0.25">
      <c r="A45" s="26"/>
      <c r="C45" s="26"/>
      <c r="E45" s="26"/>
      <c r="G45" s="26"/>
    </row>
    <row r="46" spans="1:8" ht="21" customHeight="1" x14ac:dyDescent="0.25">
      <c r="A46" s="38">
        <f>A44+1</f>
        <v>20</v>
      </c>
      <c r="B46" s="39" t="s">
        <v>43</v>
      </c>
      <c r="C46" s="40"/>
      <c r="D46" s="43">
        <v>144846712</v>
      </c>
      <c r="E46" s="42"/>
      <c r="F46" s="43">
        <v>17182560</v>
      </c>
      <c r="G46" s="42"/>
      <c r="H46" s="43">
        <v>162029272</v>
      </c>
    </row>
    <row r="47" spans="1:8" ht="18.95" customHeight="1" x14ac:dyDescent="0.25">
      <c r="A47" s="26"/>
      <c r="C47" s="26"/>
      <c r="D47" s="53"/>
      <c r="E47" s="26"/>
      <c r="G47" s="26"/>
    </row>
    <row r="48" spans="1:8" ht="18.95" customHeight="1" x14ac:dyDescent="0.25">
      <c r="A48" s="52">
        <f>A46+1</f>
        <v>21</v>
      </c>
      <c r="B48" s="26" t="s">
        <v>81</v>
      </c>
      <c r="C48" s="26"/>
      <c r="D48" s="53">
        <f>ROUND(D46/D41,4)</f>
        <v>7.5800000000000006E-2</v>
      </c>
      <c r="E48" s="26"/>
      <c r="F48" s="53">
        <f>ROUND(F46/F41,4)</f>
        <v>6.6500000000000004E-2</v>
      </c>
      <c r="G48" s="26"/>
      <c r="H48" s="53">
        <f>ROUND(H46/H41,4)</f>
        <v>7.4700000000000003E-2</v>
      </c>
    </row>
    <row r="49" spans="1:8" ht="18.95" customHeight="1" x14ac:dyDescent="0.25">
      <c r="A49" s="26"/>
      <c r="C49" s="26"/>
      <c r="E49" s="26"/>
      <c r="G49" s="26"/>
    </row>
    <row r="50" spans="1:8" ht="18.95" customHeight="1" x14ac:dyDescent="0.25">
      <c r="A50" s="55" t="s">
        <v>3</v>
      </c>
      <c r="B50" s="49" t="s">
        <v>143</v>
      </c>
      <c r="C50" s="26"/>
      <c r="E50" s="26"/>
      <c r="G50" s="26"/>
    </row>
    <row r="51" spans="1:8" ht="18.95" customHeight="1" x14ac:dyDescent="0.25">
      <c r="A51" s="56" t="s">
        <v>144</v>
      </c>
      <c r="B51" s="57" t="s">
        <v>145</v>
      </c>
      <c r="C51" s="26"/>
      <c r="E51" s="26"/>
      <c r="G51" s="26"/>
    </row>
    <row r="52" spans="1:8" ht="18.95" customHeight="1" x14ac:dyDescent="0.25">
      <c r="A52" s="56" t="s">
        <v>146</v>
      </c>
      <c r="B52" s="26" t="s">
        <v>147</v>
      </c>
      <c r="C52" s="26"/>
      <c r="E52" s="26"/>
      <c r="G52" s="26"/>
    </row>
    <row r="53" spans="1:8" x14ac:dyDescent="0.25">
      <c r="G53" s="26"/>
      <c r="H53" s="28"/>
    </row>
    <row r="54" spans="1:8" x14ac:dyDescent="0.25">
      <c r="G54" s="26"/>
      <c r="H54" s="28"/>
    </row>
    <row r="55" spans="1:8" x14ac:dyDescent="0.25">
      <c r="G55" s="26"/>
      <c r="H55" s="28"/>
    </row>
    <row r="56" spans="1:8" x14ac:dyDescent="0.25">
      <c r="A56" s="849" t="s">
        <v>126</v>
      </c>
      <c r="B56" s="849"/>
      <c r="C56" s="849"/>
      <c r="D56" s="849"/>
      <c r="E56" s="849"/>
      <c r="F56" s="849"/>
      <c r="G56" s="849"/>
      <c r="H56" s="849"/>
    </row>
    <row r="58" spans="1:8" x14ac:dyDescent="0.25">
      <c r="A58" s="850" t="s">
        <v>148</v>
      </c>
      <c r="B58" s="850"/>
      <c r="C58" s="850"/>
      <c r="D58" s="850"/>
      <c r="E58" s="850"/>
      <c r="F58" s="850"/>
      <c r="G58" s="850"/>
      <c r="H58" s="850"/>
    </row>
    <row r="59" spans="1:8" x14ac:dyDescent="0.25">
      <c r="A59" s="851" t="s">
        <v>165</v>
      </c>
      <c r="B59" s="851"/>
      <c r="C59" s="851"/>
      <c r="D59" s="851"/>
      <c r="E59" s="851"/>
      <c r="F59" s="851"/>
      <c r="G59" s="851"/>
      <c r="H59" s="851"/>
    </row>
    <row r="60" spans="1:8" x14ac:dyDescent="0.25">
      <c r="A60" s="30"/>
      <c r="B60" s="31"/>
      <c r="C60" s="32"/>
      <c r="D60" s="31"/>
      <c r="E60" s="32"/>
      <c r="G60" s="26"/>
    </row>
    <row r="61" spans="1:8" x14ac:dyDescent="0.25">
      <c r="A61" s="30"/>
      <c r="G61" s="26"/>
    </row>
    <row r="62" spans="1:8" x14ac:dyDescent="0.25">
      <c r="A62" s="30"/>
      <c r="B62" s="31"/>
      <c r="C62" s="32"/>
      <c r="D62" s="31"/>
      <c r="E62" s="32"/>
      <c r="G62" s="26"/>
    </row>
    <row r="63" spans="1:8" x14ac:dyDescent="0.25">
      <c r="A63" s="30"/>
      <c r="D63" s="34" t="s">
        <v>5</v>
      </c>
      <c r="E63" s="32"/>
      <c r="F63" s="34" t="s">
        <v>6</v>
      </c>
      <c r="G63" s="32"/>
      <c r="H63" s="34" t="s">
        <v>16</v>
      </c>
    </row>
    <row r="64" spans="1:8" x14ac:dyDescent="0.25">
      <c r="A64" s="30"/>
      <c r="B64" s="31"/>
      <c r="C64" s="32"/>
      <c r="D64" s="34" t="s">
        <v>45</v>
      </c>
      <c r="E64" s="32"/>
      <c r="F64" s="34" t="s">
        <v>45</v>
      </c>
      <c r="G64" s="32"/>
      <c r="H64" s="34" t="s">
        <v>17</v>
      </c>
    </row>
    <row r="65" spans="1:8" x14ac:dyDescent="0.25">
      <c r="A65" s="30"/>
      <c r="B65" s="31"/>
      <c r="C65" s="32"/>
      <c r="D65" s="34" t="s">
        <v>46</v>
      </c>
      <c r="E65" s="32"/>
      <c r="F65" s="34" t="s">
        <v>46</v>
      </c>
      <c r="G65" s="32"/>
      <c r="H65" s="34" t="s">
        <v>46</v>
      </c>
    </row>
    <row r="66" spans="1:8" x14ac:dyDescent="0.25">
      <c r="A66" s="30"/>
      <c r="B66" s="31" t="s">
        <v>128</v>
      </c>
      <c r="C66" s="32"/>
      <c r="D66" s="35">
        <v>39082</v>
      </c>
      <c r="E66" s="32"/>
      <c r="F66" s="35">
        <v>39082</v>
      </c>
      <c r="G66" s="32"/>
      <c r="H66" s="35">
        <v>39082</v>
      </c>
    </row>
    <row r="67" spans="1:8" x14ac:dyDescent="0.25">
      <c r="A67" s="30"/>
      <c r="B67" s="36">
        <v>-1</v>
      </c>
      <c r="C67" s="32"/>
      <c r="D67" s="37">
        <v>-2</v>
      </c>
      <c r="E67" s="32"/>
      <c r="F67" s="36">
        <v>-3</v>
      </c>
      <c r="G67" s="32"/>
      <c r="H67" s="36">
        <v>-4</v>
      </c>
    </row>
    <row r="68" spans="1:8" x14ac:dyDescent="0.25">
      <c r="A68" s="30"/>
      <c r="B68" s="31"/>
      <c r="C68" s="32"/>
      <c r="D68" s="31"/>
      <c r="E68" s="32"/>
      <c r="F68" s="31"/>
      <c r="G68" s="32"/>
      <c r="H68" s="31"/>
    </row>
    <row r="69" spans="1:8" ht="21" customHeight="1" x14ac:dyDescent="0.25">
      <c r="A69" s="58" t="s">
        <v>149</v>
      </c>
      <c r="B69" s="57" t="s">
        <v>150</v>
      </c>
    </row>
    <row r="70" spans="1:8" ht="21" customHeight="1" x14ac:dyDescent="0.25">
      <c r="A70" s="58"/>
      <c r="B70" s="49" t="s">
        <v>166</v>
      </c>
      <c r="D70" s="43">
        <v>734520304</v>
      </c>
      <c r="F70" s="43">
        <v>108696069</v>
      </c>
      <c r="H70" s="43">
        <f>D70+F70</f>
        <v>843216373</v>
      </c>
    </row>
    <row r="71" spans="1:8" ht="15" customHeight="1" x14ac:dyDescent="0.25">
      <c r="A71" s="58"/>
      <c r="B71" s="57"/>
    </row>
    <row r="72" spans="1:8" ht="21" customHeight="1" x14ac:dyDescent="0.25">
      <c r="A72" s="60" t="s">
        <v>151</v>
      </c>
      <c r="B72" s="57" t="s">
        <v>124</v>
      </c>
    </row>
    <row r="73" spans="1:8" ht="21" customHeight="1" x14ac:dyDescent="0.25">
      <c r="A73" s="60" t="s">
        <v>152</v>
      </c>
      <c r="B73" s="61" t="s">
        <v>153</v>
      </c>
      <c r="D73" s="62">
        <v>157808700</v>
      </c>
      <c r="F73" s="63">
        <v>24636355</v>
      </c>
      <c r="G73" s="44"/>
      <c r="H73" s="62">
        <f>D73+F73</f>
        <v>182445055</v>
      </c>
    </row>
    <row r="74" spans="1:8" ht="21" customHeight="1" x14ac:dyDescent="0.25">
      <c r="A74" s="60" t="s">
        <v>154</v>
      </c>
      <c r="B74" s="64" t="s">
        <v>155</v>
      </c>
      <c r="D74" s="43">
        <f>D73</f>
        <v>157808700</v>
      </c>
      <c r="F74" s="43">
        <f>F73</f>
        <v>24636355</v>
      </c>
      <c r="H74" s="43">
        <f>H73</f>
        <v>182445055</v>
      </c>
    </row>
    <row r="75" spans="1:8" ht="13.5" customHeight="1" x14ac:dyDescent="0.25">
      <c r="A75" s="60"/>
      <c r="B75" s="65"/>
      <c r="D75" s="66"/>
      <c r="F75" s="66"/>
      <c r="H75" s="66"/>
    </row>
    <row r="76" spans="1:8" ht="21" customHeight="1" thickBot="1" x14ac:dyDescent="0.3">
      <c r="A76" s="60" t="s">
        <v>156</v>
      </c>
      <c r="B76" s="65" t="s">
        <v>157</v>
      </c>
      <c r="D76" s="50">
        <f>D70-D74</f>
        <v>576711604</v>
      </c>
      <c r="F76" s="50">
        <f>F70-F74</f>
        <v>84059714</v>
      </c>
      <c r="H76" s="50">
        <f>H70-H74</f>
        <v>660771318</v>
      </c>
    </row>
    <row r="77" spans="1:8" ht="15" customHeight="1" thickTop="1" x14ac:dyDescent="0.25">
      <c r="A77" s="60"/>
      <c r="B77" s="65"/>
    </row>
    <row r="78" spans="1:8" ht="21" customHeight="1" thickBot="1" x14ac:dyDescent="0.3">
      <c r="A78" s="60" t="s">
        <v>158</v>
      </c>
      <c r="B78" s="65" t="s">
        <v>159</v>
      </c>
      <c r="D78" s="67">
        <f>ROUND(D76*0.125,0)</f>
        <v>72088951</v>
      </c>
      <c r="E78" s="65"/>
      <c r="F78" s="67">
        <v>7917882</v>
      </c>
      <c r="G78" s="65"/>
      <c r="H78" s="67">
        <f>D78+F78</f>
        <v>80006833</v>
      </c>
    </row>
    <row r="79" spans="1:8" ht="21" customHeight="1" thickTop="1" x14ac:dyDescent="0.25">
      <c r="A79" s="60"/>
      <c r="B79" s="65"/>
      <c r="D79" s="68"/>
      <c r="E79" s="65"/>
      <c r="F79" s="68"/>
      <c r="G79" s="65"/>
      <c r="H79" s="68"/>
    </row>
    <row r="80" spans="1:8" ht="18.95" customHeight="1" x14ac:dyDescent="0.25">
      <c r="B80" s="65" t="s">
        <v>160</v>
      </c>
      <c r="F80" s="69"/>
      <c r="G80" s="26"/>
    </row>
    <row r="81" spans="2:7" ht="18.95" customHeight="1" x14ac:dyDescent="0.25">
      <c r="B81" s="65" t="s">
        <v>161</v>
      </c>
      <c r="G81" s="26"/>
    </row>
    <row r="82" spans="2:7" ht="18.95" customHeight="1" x14ac:dyDescent="0.25">
      <c r="B82" s="26" t="s">
        <v>162</v>
      </c>
      <c r="G82" s="26"/>
    </row>
  </sheetData>
  <mergeCells count="6">
    <mergeCell ref="A56:H56"/>
    <mergeCell ref="A58:H58"/>
    <mergeCell ref="A59:H59"/>
    <mergeCell ref="A4:H4"/>
    <mergeCell ref="A6:H6"/>
    <mergeCell ref="A7:H7"/>
  </mergeCells>
  <phoneticPr fontId="1" type="noConversion"/>
  <printOptions horizontalCentered="1"/>
  <pageMargins left="1" right="1" top="0.75" bottom="0.5" header="0.75" footer="0.25"/>
  <pageSetup scale="66" fitToHeight="2" orientation="portrait" r:id="rId1"/>
  <headerFooter alignWithMargins="0">
    <oddHeader>&amp;R&amp;"Times New Roman,Bold"&amp;14Attachment to Response to Question No. 38
Page &amp;P of &amp;N
Rives</oddHeader>
  </headerFooter>
  <rowBreaks count="1" manualBreakCount="1">
    <brk id="5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I60"/>
  <sheetViews>
    <sheetView zoomScaleNormal="100" workbookViewId="0">
      <selection activeCell="G10" sqref="G10"/>
    </sheetView>
  </sheetViews>
  <sheetFormatPr defaultRowHeight="12.75" x14ac:dyDescent="0.2"/>
  <cols>
    <col min="1" max="1" width="22.140625" style="490" customWidth="1"/>
    <col min="2" max="2" width="21.85546875" style="490" customWidth="1"/>
    <col min="3" max="5" width="18.28515625" style="490" bestFit="1" customWidth="1"/>
    <col min="6" max="9" width="17.42578125" style="490" bestFit="1" customWidth="1"/>
    <col min="10" max="16384" width="9.140625" style="490"/>
  </cols>
  <sheetData>
    <row r="1" spans="1:9" x14ac:dyDescent="0.2">
      <c r="A1" s="832" t="s">
        <v>21</v>
      </c>
      <c r="B1" s="832"/>
      <c r="C1" s="832"/>
      <c r="D1" s="832"/>
      <c r="E1" s="832"/>
      <c r="F1" s="832"/>
      <c r="G1" s="832"/>
      <c r="H1" s="511"/>
      <c r="I1" s="511"/>
    </row>
    <row r="2" spans="1:9" x14ac:dyDescent="0.2">
      <c r="A2" s="832" t="s">
        <v>22</v>
      </c>
      <c r="B2" s="832"/>
      <c r="C2" s="832"/>
      <c r="D2" s="832"/>
      <c r="E2" s="832"/>
      <c r="F2" s="832"/>
      <c r="G2" s="832"/>
    </row>
    <row r="3" spans="1:9" x14ac:dyDescent="0.2">
      <c r="A3" s="832" t="s">
        <v>23</v>
      </c>
      <c r="B3" s="832"/>
      <c r="C3" s="832"/>
      <c r="D3" s="832"/>
      <c r="E3" s="832"/>
      <c r="F3" s="832"/>
      <c r="G3" s="832"/>
    </row>
    <row r="4" spans="1:9" x14ac:dyDescent="0.2">
      <c r="A4" s="832"/>
      <c r="B4" s="832"/>
      <c r="C4" s="832"/>
      <c r="D4" s="832"/>
      <c r="E4" s="832"/>
      <c r="F4" s="832"/>
      <c r="G4" s="832"/>
    </row>
    <row r="6" spans="1:9" ht="15" x14ac:dyDescent="0.35">
      <c r="A6" s="830" t="s">
        <v>591</v>
      </c>
      <c r="B6" s="830"/>
      <c r="C6" s="830"/>
      <c r="D6" s="831"/>
      <c r="E6" s="831"/>
      <c r="F6" s="831"/>
      <c r="G6" s="831"/>
    </row>
    <row r="7" spans="1:9" x14ac:dyDescent="0.2">
      <c r="B7" s="491"/>
      <c r="C7" s="492" t="s">
        <v>24</v>
      </c>
      <c r="D7" s="489"/>
      <c r="F7" s="489" t="s">
        <v>25</v>
      </c>
      <c r="G7" s="489" t="s">
        <v>26</v>
      </c>
    </row>
    <row r="8" spans="1:9" x14ac:dyDescent="0.2">
      <c r="B8" s="493" t="s">
        <v>27</v>
      </c>
      <c r="C8" s="492" t="s">
        <v>28</v>
      </c>
      <c r="D8" s="489" t="s">
        <v>29</v>
      </c>
      <c r="E8" s="493" t="s">
        <v>30</v>
      </c>
      <c r="F8" s="489" t="s">
        <v>31</v>
      </c>
      <c r="G8" s="489" t="s">
        <v>32</v>
      </c>
    </row>
    <row r="9" spans="1:9" x14ac:dyDescent="0.2">
      <c r="B9" s="494" t="s">
        <v>33</v>
      </c>
      <c r="C9" s="495" t="s">
        <v>34</v>
      </c>
      <c r="D9" s="494" t="s">
        <v>27</v>
      </c>
      <c r="E9" s="494" t="s">
        <v>35</v>
      </c>
      <c r="F9" s="494" t="s">
        <v>36</v>
      </c>
      <c r="G9" s="494" t="s">
        <v>37</v>
      </c>
    </row>
    <row r="10" spans="1:9" x14ac:dyDescent="0.2">
      <c r="A10" s="490" t="s">
        <v>38</v>
      </c>
      <c r="B10" s="496">
        <v>19665954</v>
      </c>
      <c r="C10" s="497">
        <f t="shared" ref="C10:D14" si="0">+C29+C48</f>
        <v>1</v>
      </c>
      <c r="D10" s="496">
        <f t="shared" si="0"/>
        <v>19665954</v>
      </c>
      <c r="E10" s="497">
        <f>ROUND(+D10/$D$15,4)</f>
        <v>5.4999999999999997E-3</v>
      </c>
      <c r="F10" s="510">
        <v>2.2000000000000001E-3</v>
      </c>
      <c r="G10" s="497">
        <f>ROUND(+E10*F10,4)</f>
        <v>0</v>
      </c>
      <c r="H10" s="498"/>
    </row>
    <row r="11" spans="1:9" x14ac:dyDescent="0.2">
      <c r="A11" s="490" t="s">
        <v>39</v>
      </c>
      <c r="B11" s="496">
        <v>0</v>
      </c>
      <c r="C11" s="497">
        <f t="shared" si="0"/>
        <v>1</v>
      </c>
      <c r="D11" s="496">
        <f t="shared" si="0"/>
        <v>0</v>
      </c>
      <c r="E11" s="497">
        <f>ROUND(+D11/$D$15,4)</f>
        <v>0</v>
      </c>
      <c r="F11" s="510">
        <v>0</v>
      </c>
      <c r="G11" s="497">
        <f>ROUND(+E11*F11,4)</f>
        <v>0</v>
      </c>
    </row>
    <row r="12" spans="1:9" x14ac:dyDescent="0.2">
      <c r="A12" s="490" t="s">
        <v>40</v>
      </c>
      <c r="B12" s="496">
        <f>350779405+1281000000</f>
        <v>1631779405</v>
      </c>
      <c r="C12" s="497">
        <f t="shared" si="0"/>
        <v>1</v>
      </c>
      <c r="D12" s="496">
        <f t="shared" si="0"/>
        <v>1631779405</v>
      </c>
      <c r="E12" s="497">
        <f>ROUND(+D12/$D$15,4)</f>
        <v>0.45519999999999999</v>
      </c>
      <c r="F12" s="510">
        <v>4.6800000000000001E-2</v>
      </c>
      <c r="G12" s="497">
        <f>ROUND(+E12*F12,4)</f>
        <v>2.1299999999999999E-2</v>
      </c>
    </row>
    <row r="13" spans="1:9" x14ac:dyDescent="0.2">
      <c r="A13" s="490" t="s">
        <v>41</v>
      </c>
      <c r="B13" s="496">
        <v>0</v>
      </c>
      <c r="C13" s="497">
        <f t="shared" si="0"/>
        <v>1</v>
      </c>
      <c r="D13" s="496">
        <f t="shared" si="0"/>
        <v>0</v>
      </c>
      <c r="E13" s="497">
        <f>ROUND(+D13/$D$15,4)</f>
        <v>0</v>
      </c>
      <c r="F13" s="510">
        <v>0</v>
      </c>
      <c r="G13" s="497">
        <f>ROUND(+E13*F13,4)</f>
        <v>0</v>
      </c>
    </row>
    <row r="14" spans="1:9" x14ac:dyDescent="0.2">
      <c r="A14" s="490" t="s">
        <v>42</v>
      </c>
      <c r="B14" s="496">
        <v>1933128508</v>
      </c>
      <c r="C14" s="497">
        <f t="shared" si="0"/>
        <v>1</v>
      </c>
      <c r="D14" s="496">
        <f t="shared" si="0"/>
        <v>1933128508</v>
      </c>
      <c r="E14" s="497">
        <f>ROUND(+D14/$D$15,4)</f>
        <v>0.5393</v>
      </c>
      <c r="F14" s="497">
        <f>ROUND(+G14/E14,4)</f>
        <v>6.5799999999999997E-2</v>
      </c>
      <c r="G14" s="499">
        <f>+G19-G10-G11-G12-G13</f>
        <v>3.5500000000000004E-2</v>
      </c>
    </row>
    <row r="15" spans="1:9" x14ac:dyDescent="0.2">
      <c r="B15" s="500">
        <f>SUM(B10:B14)</f>
        <v>3584573867</v>
      </c>
      <c r="D15" s="500">
        <f>SUM(D10:D14)</f>
        <v>3584573867</v>
      </c>
      <c r="E15" s="501">
        <f>SUM(E10:E14)</f>
        <v>1</v>
      </c>
      <c r="F15" s="496"/>
      <c r="G15" s="497">
        <f>SUM(G10:G14)</f>
        <v>5.6800000000000003E-2</v>
      </c>
    </row>
    <row r="16" spans="1:9" x14ac:dyDescent="0.2">
      <c r="B16" s="496"/>
      <c r="D16" s="496"/>
      <c r="E16" s="496"/>
      <c r="F16" s="496"/>
      <c r="G16" s="497"/>
    </row>
    <row r="17" spans="1:8" x14ac:dyDescent="0.2">
      <c r="D17" s="496"/>
      <c r="E17" s="496"/>
      <c r="F17" s="496"/>
      <c r="G17" s="496"/>
    </row>
    <row r="18" spans="1:8" x14ac:dyDescent="0.2">
      <c r="A18" s="502" t="s">
        <v>594</v>
      </c>
      <c r="D18" s="496"/>
      <c r="E18" s="496"/>
      <c r="F18" s="496"/>
      <c r="G18" s="8">
        <f>+G37+G56</f>
        <v>203620089.58888769</v>
      </c>
    </row>
    <row r="19" spans="1:8" x14ac:dyDescent="0.2">
      <c r="A19" s="490" t="s">
        <v>44</v>
      </c>
      <c r="D19" s="496"/>
      <c r="E19" s="496"/>
      <c r="F19" s="496"/>
      <c r="G19" s="497">
        <f>ROUND(+G18/D15,4)</f>
        <v>5.6800000000000003E-2</v>
      </c>
      <c r="H19" s="503">
        <f>+G15-G19</f>
        <v>0</v>
      </c>
    </row>
    <row r="20" spans="1:8" x14ac:dyDescent="0.2">
      <c r="D20" s="496"/>
      <c r="E20" s="496"/>
      <c r="F20" s="496"/>
      <c r="G20" s="496"/>
    </row>
    <row r="22" spans="1:8" ht="13.5" thickBot="1" x14ac:dyDescent="0.25">
      <c r="A22" s="504"/>
      <c r="B22" s="504"/>
      <c r="C22" s="504"/>
      <c r="D22" s="504"/>
      <c r="E22" s="504"/>
      <c r="F22" s="504"/>
      <c r="G22" s="505"/>
    </row>
    <row r="23" spans="1:8" x14ac:dyDescent="0.2">
      <c r="G23" s="496"/>
    </row>
    <row r="25" spans="1:8" ht="15" x14ac:dyDescent="0.35">
      <c r="A25" s="830" t="s">
        <v>592</v>
      </c>
      <c r="B25" s="830"/>
      <c r="C25" s="830"/>
      <c r="D25" s="831"/>
      <c r="E25" s="831"/>
      <c r="F25" s="831"/>
      <c r="G25" s="831"/>
    </row>
    <row r="26" spans="1:8" x14ac:dyDescent="0.2">
      <c r="B26" s="491"/>
      <c r="C26" s="492" t="s">
        <v>45</v>
      </c>
      <c r="D26" s="489"/>
      <c r="F26" s="489" t="s">
        <v>25</v>
      </c>
      <c r="G26" s="489" t="s">
        <v>26</v>
      </c>
    </row>
    <row r="27" spans="1:8" x14ac:dyDescent="0.2">
      <c r="B27" s="493" t="s">
        <v>27</v>
      </c>
      <c r="C27" s="492" t="s">
        <v>28</v>
      </c>
      <c r="D27" s="489" t="s">
        <v>45</v>
      </c>
      <c r="E27" s="493" t="s">
        <v>30</v>
      </c>
      <c r="F27" s="618" t="s">
        <v>31</v>
      </c>
      <c r="G27" s="618" t="s">
        <v>32</v>
      </c>
    </row>
    <row r="28" spans="1:8" x14ac:dyDescent="0.2">
      <c r="B28" s="494" t="s">
        <v>33</v>
      </c>
      <c r="C28" s="495" t="s">
        <v>34</v>
      </c>
      <c r="D28" s="494" t="s">
        <v>27</v>
      </c>
      <c r="E28" s="494" t="s">
        <v>35</v>
      </c>
      <c r="F28" s="620" t="s">
        <v>36</v>
      </c>
      <c r="G28" s="620" t="s">
        <v>37</v>
      </c>
    </row>
    <row r="29" spans="1:8" x14ac:dyDescent="0.2">
      <c r="A29" s="490" t="s">
        <v>38</v>
      </c>
      <c r="B29" s="506">
        <f>+B10</f>
        <v>19665954</v>
      </c>
      <c r="C29" s="497">
        <f>+'Ex 3 - TY 2009'!D44</f>
        <v>0.87150000000000005</v>
      </c>
      <c r="D29" s="496">
        <f>ROUND(+B29*C29,0)</f>
        <v>17138879</v>
      </c>
      <c r="E29" s="497">
        <f>ROUND(+D29/$D$34,4)</f>
        <v>5.4999999999999997E-3</v>
      </c>
      <c r="F29" s="510">
        <f>+F10</f>
        <v>2.2000000000000001E-3</v>
      </c>
      <c r="G29" s="497">
        <f>ROUND(+E29*F29,4)</f>
        <v>0</v>
      </c>
    </row>
    <row r="30" spans="1:8" x14ac:dyDescent="0.2">
      <c r="A30" s="490" t="s">
        <v>39</v>
      </c>
      <c r="B30" s="506">
        <f>+B11</f>
        <v>0</v>
      </c>
      <c r="C30" s="498">
        <f>+C29</f>
        <v>0.87150000000000005</v>
      </c>
      <c r="D30" s="496">
        <f>ROUND(+B30*C30,0)</f>
        <v>0</v>
      </c>
      <c r="E30" s="497">
        <f>ROUND(+D30/$D$34,4)</f>
        <v>0</v>
      </c>
      <c r="F30" s="510">
        <f>+F11</f>
        <v>0</v>
      </c>
      <c r="G30" s="497">
        <f>ROUND(+E30*F30,4)</f>
        <v>0</v>
      </c>
    </row>
    <row r="31" spans="1:8" x14ac:dyDescent="0.2">
      <c r="A31" s="490" t="s">
        <v>40</v>
      </c>
      <c r="B31" s="506">
        <f>+B12</f>
        <v>1631779405</v>
      </c>
      <c r="C31" s="498">
        <f>+C30</f>
        <v>0.87150000000000005</v>
      </c>
      <c r="D31" s="496">
        <f>ROUND(+B31*C31,0)</f>
        <v>1422095751</v>
      </c>
      <c r="E31" s="497">
        <f>ROUND(+D31/$D$34,4)</f>
        <v>0.45519999999999999</v>
      </c>
      <c r="F31" s="510">
        <f>+F12</f>
        <v>4.6800000000000001E-2</v>
      </c>
      <c r="G31" s="497">
        <f>ROUND(+E31*F31,4)</f>
        <v>2.1299999999999999E-2</v>
      </c>
    </row>
    <row r="32" spans="1:8" x14ac:dyDescent="0.2">
      <c r="A32" s="490" t="s">
        <v>41</v>
      </c>
      <c r="B32" s="506">
        <f>+B13</f>
        <v>0</v>
      </c>
      <c r="C32" s="498">
        <f>+C31</f>
        <v>0.87150000000000005</v>
      </c>
      <c r="D32" s="496">
        <f>ROUND(+B32*C32,0)</f>
        <v>0</v>
      </c>
      <c r="E32" s="497">
        <f>ROUND(+D32/$D$34,4)</f>
        <v>0</v>
      </c>
      <c r="F32" s="510">
        <f>+F13</f>
        <v>0</v>
      </c>
      <c r="G32" s="497">
        <f>ROUND(+E32*F32,4)</f>
        <v>0</v>
      </c>
    </row>
    <row r="33" spans="1:8" x14ac:dyDescent="0.2">
      <c r="A33" s="490" t="s">
        <v>42</v>
      </c>
      <c r="B33" s="506">
        <f>+B14</f>
        <v>1933128508</v>
      </c>
      <c r="C33" s="498">
        <f>+C32</f>
        <v>0.87150000000000005</v>
      </c>
      <c r="D33" s="496">
        <f>ROUND(+B33*C33,0)</f>
        <v>1684721495</v>
      </c>
      <c r="E33" s="497">
        <f>ROUND(+D33/$D$34,4)</f>
        <v>0.5393</v>
      </c>
      <c r="F33" s="497">
        <f>ROUND(+G33/E33,4)</f>
        <v>7.3999999999999996E-2</v>
      </c>
      <c r="G33" s="499">
        <f>+G38-G29-G30-G31-G32</f>
        <v>3.9899999999999998E-2</v>
      </c>
    </row>
    <row r="34" spans="1:8" x14ac:dyDescent="0.2">
      <c r="B34" s="507">
        <f>SUM(B29:B33)</f>
        <v>3584573867</v>
      </c>
      <c r="D34" s="500">
        <f>SUM(D29:D33)</f>
        <v>3123956125</v>
      </c>
      <c r="E34" s="501">
        <v>1</v>
      </c>
      <c r="F34" s="496"/>
      <c r="G34" s="497">
        <f>SUM(G29:G33)</f>
        <v>6.1199999999999997E-2</v>
      </c>
    </row>
    <row r="35" spans="1:8" x14ac:dyDescent="0.2">
      <c r="D35" s="496"/>
      <c r="E35" s="496"/>
      <c r="F35" s="508"/>
      <c r="G35" s="497"/>
    </row>
    <row r="36" spans="1:8" x14ac:dyDescent="0.2">
      <c r="D36" s="496"/>
      <c r="E36" s="496"/>
      <c r="F36" s="496"/>
      <c r="G36" s="496"/>
    </row>
    <row r="37" spans="1:8" x14ac:dyDescent="0.2">
      <c r="A37" s="502" t="s">
        <v>594</v>
      </c>
      <c r="D37" s="496"/>
      <c r="E37" s="496"/>
      <c r="F37" s="496"/>
      <c r="G37" s="8">
        <f>+'Ex 3 - TY 2009'!D46</f>
        <v>191120144.58888769</v>
      </c>
    </row>
    <row r="38" spans="1:8" x14ac:dyDescent="0.2">
      <c r="A38" s="490" t="s">
        <v>44</v>
      </c>
      <c r="D38" s="496"/>
      <c r="E38" s="496"/>
      <c r="F38" s="496"/>
      <c r="G38" s="497">
        <f>ROUND(+G37/D34,4)</f>
        <v>6.1199999999999997E-2</v>
      </c>
      <c r="H38" s="503">
        <f>+G34-G38</f>
        <v>0</v>
      </c>
    </row>
    <row r="39" spans="1:8" x14ac:dyDescent="0.2">
      <c r="D39" s="496"/>
      <c r="E39" s="496"/>
      <c r="F39" s="496"/>
      <c r="G39" s="496"/>
    </row>
    <row r="41" spans="1:8" ht="13.5" thickBot="1" x14ac:dyDescent="0.25">
      <c r="A41" s="504"/>
      <c r="B41" s="504"/>
      <c r="C41" s="504"/>
      <c r="D41" s="504"/>
      <c r="E41" s="504"/>
      <c r="F41" s="504"/>
      <c r="G41" s="504"/>
    </row>
    <row r="42" spans="1:8" x14ac:dyDescent="0.2">
      <c r="A42" s="491"/>
      <c r="B42" s="491"/>
      <c r="C42" s="491"/>
      <c r="D42" s="491"/>
      <c r="E42" s="491"/>
      <c r="F42" s="491"/>
      <c r="G42" s="491"/>
    </row>
    <row r="44" spans="1:8" ht="15" x14ac:dyDescent="0.35">
      <c r="A44" s="830" t="s">
        <v>593</v>
      </c>
      <c r="B44" s="830"/>
      <c r="C44" s="830"/>
      <c r="D44" s="831"/>
      <c r="E44" s="831"/>
      <c r="F44" s="831"/>
      <c r="G44" s="831"/>
    </row>
    <row r="45" spans="1:8" x14ac:dyDescent="0.2">
      <c r="B45" s="491"/>
      <c r="C45" s="492" t="s">
        <v>45</v>
      </c>
      <c r="D45" s="489"/>
      <c r="E45" s="489" t="s">
        <v>30</v>
      </c>
      <c r="F45" s="489" t="s">
        <v>25</v>
      </c>
      <c r="G45" s="489" t="s">
        <v>26</v>
      </c>
    </row>
    <row r="46" spans="1:8" x14ac:dyDescent="0.2">
      <c r="B46" s="493" t="s">
        <v>27</v>
      </c>
      <c r="C46" s="492" t="s">
        <v>28</v>
      </c>
      <c r="D46" s="489" t="s">
        <v>45</v>
      </c>
      <c r="E46" s="489" t="s">
        <v>35</v>
      </c>
      <c r="F46" s="489" t="s">
        <v>31</v>
      </c>
      <c r="G46" s="489" t="s">
        <v>32</v>
      </c>
    </row>
    <row r="47" spans="1:8" x14ac:dyDescent="0.2">
      <c r="B47" s="494" t="s">
        <v>33</v>
      </c>
      <c r="C47" s="495" t="s">
        <v>34</v>
      </c>
      <c r="D47" s="494" t="s">
        <v>27</v>
      </c>
      <c r="E47" s="494"/>
      <c r="F47" s="494" t="s">
        <v>36</v>
      </c>
      <c r="G47" s="494" t="s">
        <v>37</v>
      </c>
    </row>
    <row r="48" spans="1:8" x14ac:dyDescent="0.2">
      <c r="A48" s="490" t="s">
        <v>38</v>
      </c>
      <c r="B48" s="506">
        <f>+B10</f>
        <v>19665954</v>
      </c>
      <c r="C48" s="497">
        <f>+'Ex 3 - TY 2009'!F44</f>
        <v>0.1285</v>
      </c>
      <c r="D48" s="496">
        <f>ROUND(+B48*C48,0)</f>
        <v>2527075</v>
      </c>
      <c r="E48" s="497">
        <f>ROUND(+D48/$D$53,4)</f>
        <v>5.4999999999999997E-3</v>
      </c>
      <c r="F48" s="510">
        <f>+F29</f>
        <v>2.2000000000000001E-3</v>
      </c>
      <c r="G48" s="497">
        <f>ROUND(+E48*F48,4)</f>
        <v>0</v>
      </c>
    </row>
    <row r="49" spans="1:8" x14ac:dyDescent="0.2">
      <c r="A49" s="490" t="s">
        <v>39</v>
      </c>
      <c r="B49" s="506">
        <f>+B11</f>
        <v>0</v>
      </c>
      <c r="C49" s="498">
        <f>+C48</f>
        <v>0.1285</v>
      </c>
      <c r="D49" s="496">
        <f>ROUND(+B49*C49,0)</f>
        <v>0</v>
      </c>
      <c r="E49" s="497">
        <f>ROUND(+D49/$D$53,4)</f>
        <v>0</v>
      </c>
      <c r="F49" s="510">
        <f>+F30</f>
        <v>0</v>
      </c>
      <c r="G49" s="497">
        <f>ROUND(+E49*F49,4)</f>
        <v>0</v>
      </c>
    </row>
    <row r="50" spans="1:8" x14ac:dyDescent="0.2">
      <c r="A50" s="490" t="s">
        <v>40</v>
      </c>
      <c r="B50" s="506">
        <f>+B12</f>
        <v>1631779405</v>
      </c>
      <c r="C50" s="498">
        <f>+C49</f>
        <v>0.1285</v>
      </c>
      <c r="D50" s="496">
        <f>ROUND(+B50*C50,0)</f>
        <v>209683654</v>
      </c>
      <c r="E50" s="497">
        <f>ROUND(+D50/$D$53,4)</f>
        <v>0.45519999999999999</v>
      </c>
      <c r="F50" s="510">
        <f>+F31</f>
        <v>4.6800000000000001E-2</v>
      </c>
      <c r="G50" s="497">
        <f>ROUND(+E50*F50,4)</f>
        <v>2.1299999999999999E-2</v>
      </c>
    </row>
    <row r="51" spans="1:8" x14ac:dyDescent="0.2">
      <c r="A51" s="490" t="s">
        <v>41</v>
      </c>
      <c r="B51" s="506">
        <f>+B13</f>
        <v>0</v>
      </c>
      <c r="C51" s="498">
        <f>+C50</f>
        <v>0.1285</v>
      </c>
      <c r="D51" s="496">
        <f>ROUND(+B51*C51,0)</f>
        <v>0</v>
      </c>
      <c r="E51" s="497">
        <f>ROUND(+D51/$D$53,4)</f>
        <v>0</v>
      </c>
      <c r="F51" s="510">
        <f>+F32</f>
        <v>0</v>
      </c>
      <c r="G51" s="497">
        <f>ROUND(+E51*F51,4)</f>
        <v>0</v>
      </c>
    </row>
    <row r="52" spans="1:8" x14ac:dyDescent="0.2">
      <c r="A52" s="490" t="s">
        <v>42</v>
      </c>
      <c r="B52" s="506">
        <f>+B14</f>
        <v>1933128508</v>
      </c>
      <c r="C52" s="498">
        <f>+C51</f>
        <v>0.1285</v>
      </c>
      <c r="D52" s="496">
        <f>ROUND(+B52*C52,0)</f>
        <v>248407013</v>
      </c>
      <c r="E52" s="497">
        <f>ROUND(+D52/$D$53,4)</f>
        <v>0.5393</v>
      </c>
      <c r="F52" s="497">
        <f>ROUND(+G52/E52,4)</f>
        <v>1.0800000000000001E-2</v>
      </c>
      <c r="G52" s="499">
        <f>+G57-G48-G49-G50-G51</f>
        <v>5.7999999999999996E-3</v>
      </c>
    </row>
    <row r="53" spans="1:8" x14ac:dyDescent="0.2">
      <c r="B53" s="507">
        <f>SUM(B48:B52)</f>
        <v>3584573867</v>
      </c>
      <c r="D53" s="500">
        <f>SUM(D48:D52)</f>
        <v>460617742</v>
      </c>
      <c r="E53" s="501">
        <v>1</v>
      </c>
      <c r="F53" s="496"/>
      <c r="G53" s="497">
        <f>SUM(G48:G52)</f>
        <v>2.7099999999999999E-2</v>
      </c>
    </row>
    <row r="54" spans="1:8" x14ac:dyDescent="0.2">
      <c r="D54" s="496"/>
      <c r="E54" s="496"/>
      <c r="F54" s="508"/>
      <c r="G54" s="497"/>
    </row>
    <row r="55" spans="1:8" x14ac:dyDescent="0.2">
      <c r="D55" s="496"/>
      <c r="E55" s="496"/>
      <c r="F55" s="496"/>
      <c r="G55" s="496"/>
    </row>
    <row r="56" spans="1:8" x14ac:dyDescent="0.2">
      <c r="A56" s="502" t="s">
        <v>594</v>
      </c>
      <c r="D56" s="496"/>
      <c r="E56" s="496"/>
      <c r="F56" s="496"/>
      <c r="G56" s="8">
        <f>+'Ex 3 - TY 2009'!F46</f>
        <v>12499945</v>
      </c>
      <c r="H56" s="509"/>
    </row>
    <row r="57" spans="1:8" x14ac:dyDescent="0.2">
      <c r="A57" s="490" t="s">
        <v>44</v>
      </c>
      <c r="D57" s="496"/>
      <c r="E57" s="496"/>
      <c r="F57" s="496"/>
      <c r="G57" s="497">
        <f>ROUND(+G56/D53,4)</f>
        <v>2.7099999999999999E-2</v>
      </c>
      <c r="H57" s="503">
        <f>+G53-G57</f>
        <v>0</v>
      </c>
    </row>
    <row r="58" spans="1:8" x14ac:dyDescent="0.2">
      <c r="D58" s="496"/>
      <c r="E58" s="496"/>
      <c r="F58" s="496"/>
      <c r="G58" s="496"/>
    </row>
    <row r="60" spans="1:8" ht="13.5" thickBot="1" x14ac:dyDescent="0.25">
      <c r="A60" s="504"/>
      <c r="B60" s="504"/>
      <c r="C60" s="504"/>
      <c r="D60" s="504"/>
      <c r="E60" s="504"/>
      <c r="F60" s="504"/>
      <c r="G60" s="504"/>
    </row>
  </sheetData>
  <mergeCells count="7">
    <mergeCell ref="A44:G44"/>
    <mergeCell ref="A1:G1"/>
    <mergeCell ref="A2:G2"/>
    <mergeCell ref="A6:G6"/>
    <mergeCell ref="A25:G25"/>
    <mergeCell ref="A3:G3"/>
    <mergeCell ref="A4:G4"/>
  </mergeCells>
  <phoneticPr fontId="0" type="noConversion"/>
  <printOptions horizontalCentered="1"/>
  <pageMargins left="0.75" right="0.75" top="1" bottom="1" header="0.25" footer="0.5"/>
  <pageSetup scale="68" orientation="portrait" blackAndWhite="1" r:id="rId1"/>
  <headerFooter alignWithMargins="0">
    <oddHeader xml:space="preserve">&amp;R&amp;"Times New Roman,Bold"&amp;14Attachment to Response to Question No. 38
Page &amp;P of &amp;N
Rives&amp;12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82"/>
  <sheetViews>
    <sheetView showGridLines="0" zoomScale="75" zoomScaleNormal="75" zoomScaleSheetLayoutView="75" workbookViewId="0">
      <pane ySplit="15" topLeftCell="A30" activePane="bottomLeft" state="frozen"/>
      <selection sqref="A1:L1"/>
      <selection pane="bottomLeft" sqref="A1:L1"/>
    </sheetView>
  </sheetViews>
  <sheetFormatPr defaultColWidth="10.28515625" defaultRowHeight="15.75" x14ac:dyDescent="0.25"/>
  <cols>
    <col min="1" max="1" width="4.85546875" style="25" bestFit="1" customWidth="1"/>
    <col min="2" max="2" width="60.5703125" style="26" customWidth="1"/>
    <col min="3" max="3" width="1.85546875" style="27" customWidth="1"/>
    <col min="4" max="4" width="19" style="26" customWidth="1"/>
    <col min="5" max="5" width="1.85546875" style="27" customWidth="1"/>
    <col min="6" max="6" width="19" style="26" customWidth="1"/>
    <col min="7" max="7" width="1.85546875" style="27" customWidth="1"/>
    <col min="8" max="8" width="19" style="26" customWidth="1"/>
    <col min="9" max="9" width="10.5703125" style="29" bestFit="1" customWidth="1"/>
    <col min="10" max="10" width="13.42578125" style="26" bestFit="1" customWidth="1"/>
    <col min="11" max="11" width="10.28515625" style="26"/>
    <col min="12" max="12" width="17.5703125" style="26" bestFit="1" customWidth="1"/>
    <col min="13" max="16384" width="10.28515625" style="26"/>
  </cols>
  <sheetData>
    <row r="4" spans="1:13" x14ac:dyDescent="0.25">
      <c r="A4" s="849" t="s">
        <v>126</v>
      </c>
      <c r="B4" s="849"/>
      <c r="C4" s="849"/>
      <c r="D4" s="849"/>
      <c r="E4" s="849"/>
      <c r="F4" s="849"/>
      <c r="G4" s="849"/>
      <c r="H4" s="849"/>
    </row>
    <row r="6" spans="1:13" x14ac:dyDescent="0.25">
      <c r="A6" s="850" t="s">
        <v>127</v>
      </c>
      <c r="B6" s="850"/>
      <c r="C6" s="850"/>
      <c r="D6" s="850"/>
      <c r="E6" s="850"/>
      <c r="F6" s="850"/>
      <c r="G6" s="850"/>
      <c r="H6" s="850"/>
    </row>
    <row r="7" spans="1:13" x14ac:dyDescent="0.25">
      <c r="A7" s="852" t="s">
        <v>167</v>
      </c>
      <c r="B7" s="851"/>
      <c r="C7" s="851"/>
      <c r="D7" s="851"/>
      <c r="E7" s="851"/>
      <c r="F7" s="851"/>
      <c r="G7" s="851"/>
      <c r="H7" s="851"/>
    </row>
    <row r="8" spans="1:13" x14ac:dyDescent="0.25">
      <c r="A8" s="30"/>
      <c r="B8" s="31"/>
      <c r="C8" s="32"/>
      <c r="D8" s="31"/>
      <c r="E8" s="32"/>
      <c r="F8" s="31"/>
      <c r="G8" s="32"/>
      <c r="H8" s="31"/>
    </row>
    <row r="9" spans="1:13" x14ac:dyDescent="0.25">
      <c r="A9" s="30"/>
    </row>
    <row r="10" spans="1:13" x14ac:dyDescent="0.25">
      <c r="A10" s="30"/>
      <c r="B10" s="31"/>
      <c r="C10" s="32"/>
      <c r="D10" s="31"/>
      <c r="E10" s="32"/>
      <c r="F10" s="31"/>
      <c r="G10" s="32"/>
      <c r="H10" s="31"/>
    </row>
    <row r="11" spans="1:13" x14ac:dyDescent="0.25">
      <c r="A11" s="30"/>
      <c r="B11" s="33"/>
      <c r="D11" s="34" t="s">
        <v>5</v>
      </c>
      <c r="E11" s="32"/>
      <c r="F11" s="34" t="s">
        <v>6</v>
      </c>
      <c r="G11" s="32"/>
      <c r="H11" s="34" t="s">
        <v>16</v>
      </c>
    </row>
    <row r="12" spans="1:13" x14ac:dyDescent="0.25">
      <c r="A12" s="30"/>
      <c r="B12" s="31"/>
      <c r="C12" s="32"/>
      <c r="D12" s="34" t="s">
        <v>45</v>
      </c>
      <c r="E12" s="32"/>
      <c r="F12" s="34" t="s">
        <v>45</v>
      </c>
      <c r="G12" s="32"/>
      <c r="H12" s="34" t="s">
        <v>17</v>
      </c>
    </row>
    <row r="13" spans="1:13" x14ac:dyDescent="0.25">
      <c r="A13" s="30"/>
      <c r="B13" s="31"/>
      <c r="C13" s="32"/>
      <c r="D13" s="34" t="s">
        <v>46</v>
      </c>
      <c r="E13" s="32"/>
      <c r="F13" s="34" t="s">
        <v>46</v>
      </c>
      <c r="G13" s="32"/>
      <c r="H13" s="34" t="s">
        <v>46</v>
      </c>
    </row>
    <row r="14" spans="1:13" x14ac:dyDescent="0.25">
      <c r="A14" s="30"/>
      <c r="B14" s="31" t="s">
        <v>128</v>
      </c>
      <c r="C14" s="32"/>
      <c r="D14" s="35">
        <v>38717</v>
      </c>
      <c r="E14" s="32"/>
      <c r="F14" s="35">
        <v>38717</v>
      </c>
      <c r="G14" s="32"/>
      <c r="H14" s="35">
        <v>38717</v>
      </c>
      <c r="I14"/>
      <c r="J14"/>
      <c r="K14"/>
      <c r="L14"/>
      <c r="M14"/>
    </row>
    <row r="15" spans="1:13" x14ac:dyDescent="0.25">
      <c r="A15" s="30"/>
      <c r="B15" s="36">
        <v>-1</v>
      </c>
      <c r="C15" s="32"/>
      <c r="D15" s="37">
        <v>-2</v>
      </c>
      <c r="E15" s="32"/>
      <c r="F15" s="36">
        <v>-3</v>
      </c>
      <c r="G15" s="32"/>
      <c r="H15" s="36">
        <v>-4</v>
      </c>
      <c r="I15"/>
      <c r="J15"/>
      <c r="K15"/>
      <c r="L15"/>
      <c r="M15"/>
    </row>
    <row r="16" spans="1:13" x14ac:dyDescent="0.25">
      <c r="A16" s="30"/>
      <c r="B16" s="31"/>
      <c r="C16" s="32"/>
      <c r="D16" s="31"/>
      <c r="E16" s="32"/>
      <c r="F16" s="31"/>
      <c r="G16" s="32"/>
      <c r="H16" s="31"/>
      <c r="I16"/>
      <c r="J16"/>
      <c r="K16"/>
      <c r="L16"/>
      <c r="M16"/>
    </row>
    <row r="17" spans="1:13" ht="21" customHeight="1" x14ac:dyDescent="0.25">
      <c r="A17" s="38">
        <v>1</v>
      </c>
      <c r="B17" s="39" t="s">
        <v>129</v>
      </c>
      <c r="C17" s="40"/>
      <c r="D17" s="41">
        <v>3353210299</v>
      </c>
      <c r="E17" s="42"/>
      <c r="F17" s="43">
        <v>493676508</v>
      </c>
      <c r="G17" s="42"/>
      <c r="H17" s="43">
        <f>D17+F17</f>
        <v>3846886807</v>
      </c>
      <c r="I17"/>
      <c r="J17"/>
      <c r="K17"/>
      <c r="L17"/>
      <c r="M17"/>
    </row>
    <row r="18" spans="1:13" ht="13.5" customHeight="1" x14ac:dyDescent="0.25">
      <c r="A18" s="30"/>
      <c r="B18" s="39"/>
      <c r="C18" s="40"/>
      <c r="D18" s="44"/>
      <c r="E18" s="42"/>
      <c r="F18" s="44"/>
      <c r="G18" s="42"/>
      <c r="H18" s="44"/>
      <c r="I18"/>
      <c r="J18"/>
      <c r="K18"/>
      <c r="L18"/>
      <c r="M18"/>
    </row>
    <row r="19" spans="1:13" ht="21" customHeight="1" x14ac:dyDescent="0.25">
      <c r="A19" s="38">
        <v>2</v>
      </c>
      <c r="B19" s="39" t="s">
        <v>124</v>
      </c>
      <c r="C19" s="40"/>
      <c r="D19" s="44"/>
      <c r="E19" s="42"/>
      <c r="F19" s="44"/>
      <c r="G19" s="42"/>
      <c r="H19" s="44"/>
      <c r="I19"/>
      <c r="J19"/>
      <c r="K19"/>
      <c r="L19"/>
      <c r="M19"/>
    </row>
    <row r="20" spans="1:13" ht="21" customHeight="1" x14ac:dyDescent="0.25">
      <c r="A20" s="38">
        <v>3</v>
      </c>
      <c r="B20" s="39" t="s">
        <v>130</v>
      </c>
      <c r="C20" s="40"/>
      <c r="D20" s="45">
        <v>1543893685</v>
      </c>
      <c r="E20" s="42"/>
      <c r="F20" s="44">
        <v>245209135</v>
      </c>
      <c r="G20" s="42"/>
      <c r="H20" s="44">
        <f>D20+F20</f>
        <v>1789102820</v>
      </c>
      <c r="I20"/>
      <c r="J20"/>
      <c r="K20"/>
      <c r="L20"/>
      <c r="M20"/>
    </row>
    <row r="21" spans="1:13" ht="13.5" customHeight="1" x14ac:dyDescent="0.25">
      <c r="A21" s="38"/>
      <c r="B21" s="39"/>
      <c r="C21" s="40"/>
      <c r="D21" s="44"/>
      <c r="E21" s="42"/>
      <c r="F21" s="44"/>
      <c r="G21" s="42"/>
      <c r="H21" s="44"/>
      <c r="I21"/>
      <c r="J21"/>
      <c r="K21"/>
      <c r="L21"/>
      <c r="M21"/>
    </row>
    <row r="22" spans="1:13" ht="21" customHeight="1" x14ac:dyDescent="0.25">
      <c r="A22" s="38">
        <v>4</v>
      </c>
      <c r="B22" s="39" t="s">
        <v>131</v>
      </c>
      <c r="C22" s="40"/>
      <c r="D22" s="46">
        <f>D17-D20</f>
        <v>1809316614</v>
      </c>
      <c r="E22" s="42"/>
      <c r="F22" s="46">
        <f>F17-F20</f>
        <v>248467373</v>
      </c>
      <c r="G22" s="42"/>
      <c r="H22" s="46">
        <f>H17-H20</f>
        <v>2057783987</v>
      </c>
      <c r="I22"/>
      <c r="J22"/>
      <c r="K22"/>
      <c r="L22"/>
      <c r="M22"/>
    </row>
    <row r="23" spans="1:13" ht="13.5" customHeight="1" x14ac:dyDescent="0.25">
      <c r="A23" s="38"/>
      <c r="B23" s="39"/>
      <c r="C23" s="40"/>
      <c r="D23" s="44"/>
      <c r="E23" s="42"/>
      <c r="F23" s="44"/>
      <c r="G23" s="42"/>
      <c r="H23" s="44"/>
      <c r="I23"/>
      <c r="J23"/>
      <c r="K23"/>
      <c r="L23"/>
      <c r="M23"/>
    </row>
    <row r="24" spans="1:13" ht="21" customHeight="1" x14ac:dyDescent="0.25">
      <c r="A24" s="38">
        <v>5</v>
      </c>
      <c r="B24" s="39" t="s">
        <v>124</v>
      </c>
      <c r="C24" s="40"/>
      <c r="D24" s="44"/>
      <c r="E24" s="42"/>
      <c r="F24" s="44"/>
      <c r="G24" s="42"/>
      <c r="H24" s="44"/>
      <c r="I24"/>
      <c r="J24"/>
      <c r="K24"/>
      <c r="L24"/>
      <c r="M24"/>
    </row>
    <row r="25" spans="1:13" ht="21" customHeight="1" x14ac:dyDescent="0.25">
      <c r="A25" s="38">
        <v>6</v>
      </c>
      <c r="B25" s="39" t="s">
        <v>132</v>
      </c>
      <c r="C25" s="40"/>
      <c r="D25" s="44">
        <v>1477114</v>
      </c>
      <c r="E25" s="42"/>
      <c r="F25" s="44">
        <v>14522</v>
      </c>
      <c r="G25" s="42"/>
      <c r="H25" s="44">
        <f>D25+F25</f>
        <v>1491636</v>
      </c>
      <c r="I25"/>
      <c r="J25"/>
      <c r="K25"/>
      <c r="L25"/>
      <c r="M25"/>
    </row>
    <row r="26" spans="1:13" ht="21" customHeight="1" x14ac:dyDescent="0.25">
      <c r="A26" s="38">
        <v>7</v>
      </c>
      <c r="B26" s="39" t="s">
        <v>133</v>
      </c>
      <c r="C26" s="40"/>
      <c r="D26" s="44">
        <v>264140762</v>
      </c>
      <c r="E26" s="47"/>
      <c r="F26" s="44">
        <v>39598837</v>
      </c>
      <c r="G26" s="47"/>
      <c r="H26" s="45">
        <f>D26+F26</f>
        <v>303739599</v>
      </c>
      <c r="I26"/>
      <c r="J26"/>
      <c r="K26"/>
      <c r="L26"/>
      <c r="M26"/>
    </row>
    <row r="27" spans="1:13" s="72" customFormat="1" ht="21" customHeight="1" x14ac:dyDescent="0.25">
      <c r="A27" s="616">
        <v>8</v>
      </c>
      <c r="B27" s="573" t="s">
        <v>599</v>
      </c>
      <c r="C27" s="70"/>
      <c r="D27" s="47">
        <f>ROUND(5525440*0.86196,0)</f>
        <v>4762708</v>
      </c>
      <c r="E27" s="47"/>
      <c r="F27" s="47">
        <f>H27-D27</f>
        <v>762732</v>
      </c>
      <c r="G27" s="47"/>
      <c r="H27" s="45">
        <v>5525440</v>
      </c>
      <c r="I27" s="71"/>
    </row>
    <row r="28" spans="1:13" s="72" customFormat="1" ht="21" customHeight="1" x14ac:dyDescent="0.25">
      <c r="A28" s="616">
        <v>9</v>
      </c>
      <c r="B28" s="573" t="s">
        <v>600</v>
      </c>
      <c r="C28" s="70"/>
      <c r="D28" s="47">
        <f>ROUND(3144977*0.86196,0)</f>
        <v>2710844</v>
      </c>
      <c r="E28" s="47"/>
      <c r="F28" s="47">
        <f>H28-D28</f>
        <v>434133</v>
      </c>
      <c r="G28" s="47"/>
      <c r="H28" s="45">
        <v>3144977</v>
      </c>
      <c r="I28" s="71"/>
    </row>
    <row r="29" spans="1:13" ht="21" customHeight="1" x14ac:dyDescent="0.25">
      <c r="A29" s="38">
        <v>10</v>
      </c>
      <c r="B29" s="49" t="s">
        <v>134</v>
      </c>
      <c r="C29" s="40"/>
      <c r="D29" s="42">
        <v>1765463</v>
      </c>
      <c r="E29" s="42"/>
      <c r="F29" s="42">
        <v>340184</v>
      </c>
      <c r="G29" s="42"/>
      <c r="H29" s="45">
        <f>D29+F29</f>
        <v>2105647</v>
      </c>
    </row>
    <row r="30" spans="1:13" ht="12" customHeight="1" x14ac:dyDescent="0.25">
      <c r="A30" s="38"/>
      <c r="B30" s="39"/>
      <c r="C30" s="40"/>
      <c r="D30" s="42"/>
      <c r="E30" s="42"/>
      <c r="F30" s="42"/>
      <c r="G30" s="42"/>
      <c r="H30" s="42"/>
    </row>
    <row r="31" spans="1:13" ht="21" customHeight="1" x14ac:dyDescent="0.25">
      <c r="A31" s="38">
        <v>11</v>
      </c>
      <c r="B31" s="39" t="s">
        <v>125</v>
      </c>
      <c r="C31" s="40"/>
      <c r="D31" s="46">
        <f>SUM(D25:D30)</f>
        <v>274856891</v>
      </c>
      <c r="E31" s="42"/>
      <c r="F31" s="46">
        <f>SUM(F25:F30)</f>
        <v>41150408</v>
      </c>
      <c r="G31" s="42"/>
      <c r="H31" s="46">
        <f>SUM(H25:H30)</f>
        <v>316007299</v>
      </c>
    </row>
    <row r="32" spans="1:13" ht="13.5" customHeight="1" x14ac:dyDescent="0.25">
      <c r="A32" s="30"/>
      <c r="B32" s="39"/>
      <c r="C32" s="40"/>
      <c r="D32" s="44"/>
      <c r="E32" s="42"/>
      <c r="F32" s="44"/>
      <c r="G32" s="42"/>
      <c r="H32" s="44"/>
    </row>
    <row r="33" spans="1:8" ht="21" customHeight="1" x14ac:dyDescent="0.25">
      <c r="A33" s="30">
        <f>A31+1</f>
        <v>12</v>
      </c>
      <c r="B33" s="39" t="s">
        <v>135</v>
      </c>
      <c r="C33" s="40"/>
      <c r="D33" s="44"/>
      <c r="E33" s="42"/>
      <c r="F33" s="44"/>
      <c r="G33" s="42"/>
      <c r="H33" s="44"/>
    </row>
    <row r="34" spans="1:8" ht="21" customHeight="1" x14ac:dyDescent="0.25">
      <c r="A34" s="38">
        <f>A33+1</f>
        <v>13</v>
      </c>
      <c r="B34" s="49" t="s">
        <v>136</v>
      </c>
      <c r="C34" s="40"/>
      <c r="D34" s="44">
        <v>71628586</v>
      </c>
      <c r="E34" s="42"/>
      <c r="F34" s="42">
        <v>11367100</v>
      </c>
      <c r="G34" s="42"/>
      <c r="H34" s="45">
        <f>D34+F34</f>
        <v>82995686</v>
      </c>
    </row>
    <row r="35" spans="1:8" ht="21" customHeight="1" x14ac:dyDescent="0.25">
      <c r="A35" s="38">
        <f>A34+1</f>
        <v>14</v>
      </c>
      <c r="B35" s="49" t="s">
        <v>137</v>
      </c>
      <c r="C35" s="40"/>
      <c r="D35" s="44">
        <v>1893799</v>
      </c>
      <c r="E35" s="42"/>
      <c r="F35" s="42">
        <v>266518</v>
      </c>
      <c r="G35" s="42"/>
      <c r="H35" s="45">
        <f>D35+F35</f>
        <v>2160317</v>
      </c>
    </row>
    <row r="36" spans="1:8" ht="21" customHeight="1" x14ac:dyDescent="0.25">
      <c r="A36" s="38">
        <f>A35+1</f>
        <v>15</v>
      </c>
      <c r="B36" s="39" t="s">
        <v>138</v>
      </c>
      <c r="C36" s="40"/>
      <c r="D36" s="44">
        <v>1255875</v>
      </c>
      <c r="E36" s="42"/>
      <c r="F36" s="42">
        <v>203812</v>
      </c>
      <c r="G36" s="42"/>
      <c r="H36" s="45">
        <f>D36+F36</f>
        <v>1459687</v>
      </c>
    </row>
    <row r="37" spans="1:8" ht="21" customHeight="1" x14ac:dyDescent="0.25">
      <c r="A37" s="38">
        <f>A36+1</f>
        <v>16</v>
      </c>
      <c r="B37" s="39" t="s">
        <v>139</v>
      </c>
      <c r="C37" s="40"/>
      <c r="D37" s="42">
        <v>71454669</v>
      </c>
      <c r="E37" s="42"/>
      <c r="F37" s="44">
        <v>8043042</v>
      </c>
      <c r="G37" s="42"/>
      <c r="H37" s="42">
        <f>D37+F37</f>
        <v>79497711</v>
      </c>
    </row>
    <row r="38" spans="1:8" ht="13.5" customHeight="1" x14ac:dyDescent="0.25">
      <c r="A38" s="38"/>
      <c r="B38" s="39"/>
      <c r="C38" s="40"/>
      <c r="D38" s="42"/>
      <c r="E38" s="42"/>
      <c r="F38" s="42"/>
      <c r="G38" s="42"/>
      <c r="H38" s="42"/>
    </row>
    <row r="39" spans="1:8" ht="21" customHeight="1" x14ac:dyDescent="0.25">
      <c r="A39" s="38">
        <f>A37+1</f>
        <v>17</v>
      </c>
      <c r="B39" s="48" t="s">
        <v>140</v>
      </c>
      <c r="C39" s="40"/>
      <c r="D39" s="46">
        <f>SUM(D34:D38)</f>
        <v>146232929</v>
      </c>
      <c r="E39" s="42"/>
      <c r="F39" s="46">
        <f>SUM(F34:F38)</f>
        <v>19880472</v>
      </c>
      <c r="G39" s="42"/>
      <c r="H39" s="46">
        <f>SUM(H34:H38)</f>
        <v>166113401</v>
      </c>
    </row>
    <row r="40" spans="1:8" ht="13.5" customHeight="1" x14ac:dyDescent="0.25">
      <c r="A40" s="38"/>
      <c r="B40" s="39"/>
      <c r="C40" s="40"/>
      <c r="D40" s="44"/>
      <c r="E40" s="42"/>
      <c r="F40" s="44"/>
      <c r="G40" s="42"/>
      <c r="H40" s="44"/>
    </row>
    <row r="41" spans="1:8" ht="21" customHeight="1" thickBot="1" x14ac:dyDescent="0.3">
      <c r="A41" s="38">
        <f>A39+1</f>
        <v>18</v>
      </c>
      <c r="B41" s="49" t="s">
        <v>141</v>
      </c>
      <c r="C41" s="40"/>
      <c r="D41" s="50">
        <f>D22-D31+D39</f>
        <v>1680692652</v>
      </c>
      <c r="E41" s="51"/>
      <c r="F41" s="50">
        <f>F22-F31+F39</f>
        <v>227197437</v>
      </c>
      <c r="G41" s="51"/>
      <c r="H41" s="50">
        <f>H22-H31+H39</f>
        <v>1907890089</v>
      </c>
    </row>
    <row r="42" spans="1:8" ht="13.5" customHeight="1" thickTop="1" x14ac:dyDescent="0.25">
      <c r="A42" s="38"/>
      <c r="B42" s="39"/>
      <c r="C42" s="40"/>
      <c r="D42" s="44"/>
      <c r="E42" s="42"/>
      <c r="F42" s="44"/>
      <c r="G42" s="42"/>
      <c r="H42" s="44"/>
    </row>
    <row r="43" spans="1:8" ht="15.75" customHeight="1" x14ac:dyDescent="0.25">
      <c r="A43" s="38"/>
      <c r="C43" s="40"/>
      <c r="D43" s="44"/>
      <c r="E43" s="42"/>
      <c r="F43" s="44"/>
      <c r="G43" s="42"/>
      <c r="H43" s="44"/>
    </row>
    <row r="44" spans="1:8" ht="21" customHeight="1" thickBot="1" x14ac:dyDescent="0.3">
      <c r="A44" s="52">
        <f>A41+1</f>
        <v>19</v>
      </c>
      <c r="B44" s="49" t="s">
        <v>142</v>
      </c>
      <c r="C44" s="26"/>
      <c r="D44" s="54">
        <f>ROUND(D41/$H$41,4)</f>
        <v>0.88090000000000002</v>
      </c>
      <c r="E44" s="26"/>
      <c r="F44" s="54">
        <f>ROUND(F41/$H$41,4)</f>
        <v>0.1191</v>
      </c>
      <c r="G44" s="26"/>
      <c r="H44" s="54">
        <f>ROUND(H41/$H$41,4)</f>
        <v>1</v>
      </c>
    </row>
    <row r="45" spans="1:8" ht="18.95" customHeight="1" thickTop="1" x14ac:dyDescent="0.25">
      <c r="A45" s="26"/>
      <c r="C45" s="26"/>
      <c r="E45" s="26"/>
      <c r="G45" s="26"/>
    </row>
    <row r="46" spans="1:8" ht="21" customHeight="1" x14ac:dyDescent="0.25">
      <c r="A46" s="38">
        <f>A44+1</f>
        <v>20</v>
      </c>
      <c r="B46" s="39" t="s">
        <v>43</v>
      </c>
      <c r="C46" s="40"/>
      <c r="D46" s="43">
        <v>127313522</v>
      </c>
      <c r="E46" s="42"/>
      <c r="F46" s="43">
        <v>17564276</v>
      </c>
      <c r="G46" s="42"/>
      <c r="H46" s="43">
        <v>144877798</v>
      </c>
    </row>
    <row r="47" spans="1:8" ht="18.95" customHeight="1" x14ac:dyDescent="0.25">
      <c r="A47" s="26"/>
      <c r="C47" s="26"/>
      <c r="D47" s="53"/>
      <c r="E47" s="26"/>
      <c r="G47" s="26"/>
    </row>
    <row r="48" spans="1:8" ht="18.95" customHeight="1" x14ac:dyDescent="0.25">
      <c r="A48" s="38">
        <f>A46+1</f>
        <v>21</v>
      </c>
      <c r="B48" s="26" t="s">
        <v>81</v>
      </c>
      <c r="C48" s="26"/>
      <c r="D48" s="53">
        <f>ROUND(D46/D41,4)</f>
        <v>7.5800000000000006E-2</v>
      </c>
      <c r="E48" s="26"/>
      <c r="F48" s="53">
        <f>ROUND(F46/F41,4)</f>
        <v>7.7299999999999994E-2</v>
      </c>
      <c r="G48" s="26"/>
      <c r="H48" s="53">
        <f>ROUND(H46/H41,4)</f>
        <v>7.5899999999999995E-2</v>
      </c>
    </row>
    <row r="49" spans="1:8" ht="18.95" customHeight="1" x14ac:dyDescent="0.25">
      <c r="A49" s="26"/>
      <c r="C49" s="26"/>
      <c r="E49" s="26"/>
      <c r="G49" s="26"/>
    </row>
    <row r="50" spans="1:8" ht="18.95" customHeight="1" x14ac:dyDescent="0.25">
      <c r="A50" s="55" t="s">
        <v>3</v>
      </c>
      <c r="B50" s="49" t="s">
        <v>143</v>
      </c>
      <c r="C50" s="26"/>
      <c r="E50" s="26"/>
      <c r="G50" s="26"/>
    </row>
    <row r="51" spans="1:8" ht="18.95" customHeight="1" x14ac:dyDescent="0.25">
      <c r="A51" s="56" t="s">
        <v>144</v>
      </c>
      <c r="B51" s="57" t="s">
        <v>145</v>
      </c>
      <c r="C51" s="26"/>
      <c r="E51" s="26"/>
      <c r="G51" s="26"/>
    </row>
    <row r="52" spans="1:8" ht="18.95" customHeight="1" x14ac:dyDescent="0.25">
      <c r="A52" s="56" t="s">
        <v>146</v>
      </c>
      <c r="B52" s="26" t="s">
        <v>147</v>
      </c>
      <c r="C52" s="26"/>
      <c r="E52" s="26"/>
      <c r="G52" s="26"/>
    </row>
    <row r="53" spans="1:8" x14ac:dyDescent="0.25">
      <c r="G53" s="26"/>
    </row>
    <row r="54" spans="1:8" x14ac:dyDescent="0.25">
      <c r="G54" s="26"/>
    </row>
    <row r="55" spans="1:8" x14ac:dyDescent="0.25">
      <c r="G55" s="26"/>
    </row>
    <row r="56" spans="1:8" x14ac:dyDescent="0.25">
      <c r="A56" s="849" t="s">
        <v>126</v>
      </c>
      <c r="B56" s="849"/>
      <c r="C56" s="849"/>
      <c r="D56" s="849"/>
      <c r="E56" s="849"/>
      <c r="F56" s="849"/>
      <c r="G56" s="849"/>
      <c r="H56" s="849"/>
    </row>
    <row r="58" spans="1:8" x14ac:dyDescent="0.25">
      <c r="A58" s="850" t="s">
        <v>148</v>
      </c>
      <c r="B58" s="850"/>
      <c r="C58" s="850"/>
      <c r="D58" s="850"/>
      <c r="E58" s="850"/>
      <c r="F58" s="850"/>
      <c r="G58" s="850"/>
      <c r="H58" s="850"/>
    </row>
    <row r="59" spans="1:8" x14ac:dyDescent="0.25">
      <c r="A59" s="851" t="s">
        <v>167</v>
      </c>
      <c r="B59" s="851"/>
      <c r="C59" s="851"/>
      <c r="D59" s="851"/>
      <c r="E59" s="851"/>
      <c r="F59" s="851"/>
      <c r="G59" s="851"/>
      <c r="H59" s="851"/>
    </row>
    <row r="60" spans="1:8" x14ac:dyDescent="0.25">
      <c r="A60" s="30"/>
      <c r="B60" s="31"/>
      <c r="C60" s="32"/>
      <c r="D60" s="31"/>
      <c r="E60" s="32"/>
      <c r="G60" s="26"/>
    </row>
    <row r="61" spans="1:8" x14ac:dyDescent="0.25">
      <c r="A61" s="30"/>
      <c r="G61" s="26"/>
    </row>
    <row r="62" spans="1:8" x14ac:dyDescent="0.25">
      <c r="A62" s="30"/>
      <c r="B62" s="31"/>
      <c r="C62" s="32"/>
      <c r="D62" s="31"/>
      <c r="E62" s="32"/>
      <c r="G62" s="26"/>
    </row>
    <row r="63" spans="1:8" x14ac:dyDescent="0.25">
      <c r="A63" s="30"/>
      <c r="D63" s="34" t="s">
        <v>5</v>
      </c>
      <c r="E63" s="32"/>
      <c r="F63" s="34" t="s">
        <v>6</v>
      </c>
      <c r="G63" s="32"/>
      <c r="H63" s="34" t="s">
        <v>16</v>
      </c>
    </row>
    <row r="64" spans="1:8" x14ac:dyDescent="0.25">
      <c r="A64" s="30"/>
      <c r="B64" s="31"/>
      <c r="C64" s="32"/>
      <c r="D64" s="34" t="s">
        <v>45</v>
      </c>
      <c r="E64" s="32"/>
      <c r="F64" s="34" t="s">
        <v>45</v>
      </c>
      <c r="G64" s="32"/>
      <c r="H64" s="34" t="s">
        <v>17</v>
      </c>
    </row>
    <row r="65" spans="1:8" x14ac:dyDescent="0.25">
      <c r="A65" s="30"/>
      <c r="B65" s="31"/>
      <c r="C65" s="32"/>
      <c r="D65" s="34" t="s">
        <v>46</v>
      </c>
      <c r="E65" s="32"/>
      <c r="F65" s="34" t="s">
        <v>46</v>
      </c>
      <c r="G65" s="32"/>
      <c r="H65" s="34" t="s">
        <v>46</v>
      </c>
    </row>
    <row r="66" spans="1:8" x14ac:dyDescent="0.25">
      <c r="A66" s="30"/>
      <c r="B66" s="31" t="s">
        <v>128</v>
      </c>
      <c r="C66" s="32"/>
      <c r="D66" s="35">
        <v>38717</v>
      </c>
      <c r="E66" s="32"/>
      <c r="F66" s="35">
        <v>38717</v>
      </c>
      <c r="G66" s="32"/>
      <c r="H66" s="35">
        <v>38717</v>
      </c>
    </row>
    <row r="67" spans="1:8" x14ac:dyDescent="0.25">
      <c r="A67" s="30"/>
      <c r="B67" s="36">
        <v>-1</v>
      </c>
      <c r="C67" s="32"/>
      <c r="D67" s="37">
        <v>-2</v>
      </c>
      <c r="E67" s="32"/>
      <c r="F67" s="36">
        <v>-3</v>
      </c>
      <c r="G67" s="32"/>
      <c r="H67" s="36">
        <v>-4</v>
      </c>
    </row>
    <row r="68" spans="1:8" x14ac:dyDescent="0.25">
      <c r="A68" s="30"/>
      <c r="B68" s="31"/>
      <c r="C68" s="32"/>
      <c r="D68" s="31"/>
      <c r="E68" s="32"/>
      <c r="F68" s="31"/>
      <c r="G68" s="32"/>
      <c r="H68" s="31"/>
    </row>
    <row r="69" spans="1:8" ht="21" customHeight="1" x14ac:dyDescent="0.25">
      <c r="A69" s="58" t="s">
        <v>149</v>
      </c>
      <c r="B69" s="57" t="s">
        <v>150</v>
      </c>
    </row>
    <row r="70" spans="1:8" ht="21" customHeight="1" x14ac:dyDescent="0.25">
      <c r="A70" s="58"/>
      <c r="B70" s="49" t="s">
        <v>168</v>
      </c>
      <c r="D70" s="43">
        <v>760683726</v>
      </c>
      <c r="F70" s="43">
        <v>113785205</v>
      </c>
      <c r="H70" s="43">
        <f>D70+F70</f>
        <v>874468931</v>
      </c>
    </row>
    <row r="71" spans="1:8" ht="15" customHeight="1" x14ac:dyDescent="0.25">
      <c r="A71" s="58"/>
      <c r="B71" s="57"/>
    </row>
    <row r="72" spans="1:8" ht="21" customHeight="1" x14ac:dyDescent="0.25">
      <c r="A72" s="60" t="s">
        <v>151</v>
      </c>
      <c r="B72" s="57" t="s">
        <v>124</v>
      </c>
    </row>
    <row r="73" spans="1:8" ht="21" customHeight="1" x14ac:dyDescent="0.25">
      <c r="A73" s="60" t="s">
        <v>152</v>
      </c>
      <c r="B73" s="61" t="s">
        <v>153</v>
      </c>
      <c r="D73" s="62">
        <v>189046371</v>
      </c>
      <c r="F73" s="63">
        <v>29907748</v>
      </c>
      <c r="G73" s="44"/>
      <c r="H73" s="62">
        <f>D73+F73</f>
        <v>218954119</v>
      </c>
    </row>
    <row r="74" spans="1:8" ht="21" customHeight="1" x14ac:dyDescent="0.25">
      <c r="A74" s="60" t="s">
        <v>154</v>
      </c>
      <c r="B74" s="64" t="s">
        <v>155</v>
      </c>
      <c r="D74" s="43">
        <f>D73</f>
        <v>189046371</v>
      </c>
      <c r="F74" s="43">
        <f>F73</f>
        <v>29907748</v>
      </c>
      <c r="H74" s="43">
        <f>H73</f>
        <v>218954119</v>
      </c>
    </row>
    <row r="75" spans="1:8" ht="13.5" customHeight="1" x14ac:dyDescent="0.25">
      <c r="A75" s="60"/>
      <c r="B75" s="65"/>
      <c r="D75" s="66"/>
      <c r="F75" s="66"/>
      <c r="H75" s="66"/>
    </row>
    <row r="76" spans="1:8" ht="21" customHeight="1" thickBot="1" x14ac:dyDescent="0.3">
      <c r="A76" s="60" t="s">
        <v>156</v>
      </c>
      <c r="B76" s="65" t="s">
        <v>157</v>
      </c>
      <c r="D76" s="50">
        <f>D70-D74</f>
        <v>571637355</v>
      </c>
      <c r="F76" s="50">
        <f>F70-F74</f>
        <v>83877457</v>
      </c>
      <c r="H76" s="50">
        <f>H70-H74</f>
        <v>655514812</v>
      </c>
    </row>
    <row r="77" spans="1:8" ht="15" customHeight="1" thickTop="1" x14ac:dyDescent="0.25">
      <c r="A77" s="60"/>
      <c r="B77" s="65"/>
    </row>
    <row r="78" spans="1:8" ht="21" customHeight="1" thickBot="1" x14ac:dyDescent="0.3">
      <c r="A78" s="60" t="s">
        <v>158</v>
      </c>
      <c r="B78" s="65" t="s">
        <v>159</v>
      </c>
      <c r="D78" s="67">
        <f>ROUND(D76*0.125,0)</f>
        <v>71454669</v>
      </c>
      <c r="E78" s="65"/>
      <c r="F78" s="67">
        <v>8043042</v>
      </c>
      <c r="G78" s="65"/>
      <c r="H78" s="67">
        <f>D78+F78</f>
        <v>79497711</v>
      </c>
    </row>
    <row r="79" spans="1:8" ht="21" customHeight="1" thickTop="1" x14ac:dyDescent="0.25">
      <c r="A79" s="60"/>
      <c r="B79" s="65"/>
      <c r="D79" s="68"/>
      <c r="E79" s="65"/>
      <c r="F79" s="68"/>
      <c r="G79" s="65"/>
      <c r="H79" s="68"/>
    </row>
    <row r="80" spans="1:8" ht="18.95" customHeight="1" x14ac:dyDescent="0.25">
      <c r="B80" s="65" t="s">
        <v>160</v>
      </c>
      <c r="F80" s="69"/>
      <c r="G80" s="26"/>
    </row>
    <row r="81" spans="2:7" ht="18.95" customHeight="1" x14ac:dyDescent="0.25">
      <c r="B81" s="65" t="s">
        <v>161</v>
      </c>
      <c r="G81" s="26"/>
    </row>
    <row r="82" spans="2:7" ht="18.95" customHeight="1" x14ac:dyDescent="0.25">
      <c r="B82" s="26" t="s">
        <v>162</v>
      </c>
      <c r="G82" s="26"/>
    </row>
  </sheetData>
  <mergeCells count="6">
    <mergeCell ref="A56:H56"/>
    <mergeCell ref="A58:H58"/>
    <mergeCell ref="A59:H59"/>
    <mergeCell ref="A4:H4"/>
    <mergeCell ref="A6:H6"/>
    <mergeCell ref="A7:H7"/>
  </mergeCells>
  <phoneticPr fontId="1" type="noConversion"/>
  <printOptions horizontalCentered="1"/>
  <pageMargins left="1" right="1" top="0.75" bottom="0.5" header="0.75" footer="0.25"/>
  <pageSetup scale="66" fitToHeight="2" orientation="portrait" r:id="rId1"/>
  <headerFooter alignWithMargins="0">
    <oddHeader>&amp;R&amp;"Times New Roman,Bold"&amp;14Attachment to Response to Question No. 38
Page &amp;P of &amp;N
Rives</oddHeader>
  </headerFooter>
  <rowBreaks count="1" manualBreakCount="1">
    <brk id="52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82"/>
  <sheetViews>
    <sheetView showGridLines="0" zoomScale="75" zoomScaleNormal="75" zoomScaleSheetLayoutView="75" workbookViewId="0">
      <pane ySplit="15" topLeftCell="A16" activePane="bottomLeft" state="frozen"/>
      <selection sqref="A1:L1"/>
      <selection pane="bottomLeft" sqref="A1:L1"/>
    </sheetView>
  </sheetViews>
  <sheetFormatPr defaultColWidth="10.28515625" defaultRowHeight="15.75" x14ac:dyDescent="0.25"/>
  <cols>
    <col min="1" max="1" width="4.85546875" style="25" bestFit="1" customWidth="1"/>
    <col min="2" max="2" width="60.5703125" style="26" customWidth="1"/>
    <col min="3" max="3" width="1.85546875" style="27" customWidth="1"/>
    <col min="4" max="4" width="19" style="26" customWidth="1"/>
    <col min="5" max="5" width="1.85546875" style="27" customWidth="1"/>
    <col min="6" max="6" width="19" style="26" customWidth="1"/>
    <col min="7" max="7" width="1.85546875" style="27" customWidth="1"/>
    <col min="8" max="8" width="19" style="26" customWidth="1"/>
    <col min="9" max="9" width="10.5703125" style="29" bestFit="1" customWidth="1"/>
    <col min="10" max="10" width="13.42578125" style="26" bestFit="1" customWidth="1"/>
    <col min="11" max="11" width="10.28515625" style="26"/>
    <col min="12" max="12" width="17.5703125" style="26" bestFit="1" customWidth="1"/>
    <col min="13" max="16384" width="10.28515625" style="26"/>
  </cols>
  <sheetData>
    <row r="4" spans="1:13" x14ac:dyDescent="0.25">
      <c r="A4" s="849" t="s">
        <v>126</v>
      </c>
      <c r="B4" s="849"/>
      <c r="C4" s="849"/>
      <c r="D4" s="849"/>
      <c r="E4" s="849"/>
      <c r="F4" s="849"/>
      <c r="G4" s="849"/>
      <c r="H4" s="849"/>
    </row>
    <row r="6" spans="1:13" x14ac:dyDescent="0.25">
      <c r="A6" s="850" t="s">
        <v>127</v>
      </c>
      <c r="B6" s="850"/>
      <c r="C6" s="850"/>
      <c r="D6" s="850"/>
      <c r="E6" s="850"/>
      <c r="F6" s="850"/>
      <c r="G6" s="850"/>
      <c r="H6" s="850"/>
    </row>
    <row r="7" spans="1:13" x14ac:dyDescent="0.25">
      <c r="A7" s="852" t="s">
        <v>169</v>
      </c>
      <c r="B7" s="851"/>
      <c r="C7" s="851"/>
      <c r="D7" s="851"/>
      <c r="E7" s="851"/>
      <c r="F7" s="851"/>
      <c r="G7" s="851"/>
      <c r="H7" s="851"/>
    </row>
    <row r="8" spans="1:13" x14ac:dyDescent="0.25">
      <c r="A8" s="30"/>
      <c r="B8" s="31"/>
      <c r="C8" s="32"/>
      <c r="D8" s="31"/>
      <c r="E8" s="32"/>
      <c r="F8" s="31"/>
      <c r="G8" s="32"/>
      <c r="H8" s="31"/>
    </row>
    <row r="9" spans="1:13" x14ac:dyDescent="0.25">
      <c r="A9" s="30"/>
    </row>
    <row r="10" spans="1:13" x14ac:dyDescent="0.25">
      <c r="A10" s="30"/>
      <c r="B10" s="31"/>
      <c r="C10" s="32"/>
      <c r="D10" s="31"/>
      <c r="E10" s="32"/>
      <c r="F10" s="31"/>
      <c r="G10" s="32"/>
      <c r="H10" s="31"/>
    </row>
    <row r="11" spans="1:13" x14ac:dyDescent="0.25">
      <c r="A11" s="30"/>
      <c r="B11" s="33"/>
      <c r="D11" s="34" t="s">
        <v>5</v>
      </c>
      <c r="E11" s="32"/>
      <c r="F11" s="34" t="s">
        <v>6</v>
      </c>
      <c r="G11" s="32"/>
      <c r="H11" s="34" t="s">
        <v>16</v>
      </c>
    </row>
    <row r="12" spans="1:13" x14ac:dyDescent="0.25">
      <c r="A12" s="30"/>
      <c r="B12" s="31"/>
      <c r="C12" s="32"/>
      <c r="D12" s="34" t="s">
        <v>45</v>
      </c>
      <c r="E12" s="32"/>
      <c r="F12" s="34" t="s">
        <v>45</v>
      </c>
      <c r="G12" s="32"/>
      <c r="H12" s="34" t="s">
        <v>17</v>
      </c>
    </row>
    <row r="13" spans="1:13" x14ac:dyDescent="0.25">
      <c r="A13" s="30"/>
      <c r="B13" s="31"/>
      <c r="C13" s="32"/>
      <c r="D13" s="34" t="s">
        <v>46</v>
      </c>
      <c r="E13" s="32"/>
      <c r="F13" s="34" t="s">
        <v>46</v>
      </c>
      <c r="G13" s="32"/>
      <c r="H13" s="34" t="s">
        <v>46</v>
      </c>
    </row>
    <row r="14" spans="1:13" x14ac:dyDescent="0.25">
      <c r="A14" s="30"/>
      <c r="B14" s="31" t="s">
        <v>128</v>
      </c>
      <c r="C14" s="32"/>
      <c r="D14" s="35">
        <v>38352</v>
      </c>
      <c r="E14" s="32"/>
      <c r="F14" s="35">
        <v>38352</v>
      </c>
      <c r="G14" s="32"/>
      <c r="H14" s="35">
        <v>38352</v>
      </c>
    </row>
    <row r="15" spans="1:13" x14ac:dyDescent="0.25">
      <c r="A15" s="30"/>
      <c r="B15" s="36">
        <v>-1</v>
      </c>
      <c r="C15" s="32"/>
      <c r="D15" s="37">
        <v>-2</v>
      </c>
      <c r="E15" s="32"/>
      <c r="F15" s="36">
        <v>-3</v>
      </c>
      <c r="G15" s="32"/>
      <c r="H15" s="36">
        <v>-4</v>
      </c>
      <c r="I15"/>
      <c r="J15"/>
      <c r="K15"/>
      <c r="L15"/>
      <c r="M15"/>
    </row>
    <row r="16" spans="1:13" x14ac:dyDescent="0.25">
      <c r="A16" s="30"/>
      <c r="B16" s="31"/>
      <c r="C16" s="32"/>
      <c r="D16" s="31"/>
      <c r="E16" s="32"/>
      <c r="F16" s="31"/>
      <c r="G16" s="32"/>
      <c r="H16" s="31"/>
      <c r="I16"/>
      <c r="J16"/>
      <c r="K16"/>
      <c r="L16"/>
      <c r="M16"/>
    </row>
    <row r="17" spans="1:13" ht="21" customHeight="1" x14ac:dyDescent="0.25">
      <c r="A17" s="38">
        <v>1</v>
      </c>
      <c r="B17" s="39" t="s">
        <v>129</v>
      </c>
      <c r="C17" s="40"/>
      <c r="D17" s="41">
        <v>3227932354</v>
      </c>
      <c r="E17" s="42"/>
      <c r="F17" s="43">
        <v>484216838</v>
      </c>
      <c r="G17" s="42"/>
      <c r="H17" s="43">
        <f>D17+F17</f>
        <v>3712149192</v>
      </c>
      <c r="I17"/>
      <c r="J17"/>
      <c r="K17"/>
      <c r="L17"/>
      <c r="M17"/>
    </row>
    <row r="18" spans="1:13" ht="13.5" customHeight="1" x14ac:dyDescent="0.25">
      <c r="A18" s="30"/>
      <c r="B18" s="39"/>
      <c r="C18" s="40"/>
      <c r="D18" s="44"/>
      <c r="E18" s="42"/>
      <c r="F18" s="44"/>
      <c r="G18" s="42"/>
      <c r="H18" s="44"/>
      <c r="I18"/>
      <c r="J18"/>
      <c r="K18"/>
      <c r="L18"/>
      <c r="M18"/>
    </row>
    <row r="19" spans="1:13" ht="21" customHeight="1" x14ac:dyDescent="0.25">
      <c r="A19" s="38">
        <v>2</v>
      </c>
      <c r="B19" s="39" t="s">
        <v>124</v>
      </c>
      <c r="C19" s="40"/>
      <c r="D19" s="44"/>
      <c r="E19" s="42"/>
      <c r="F19" s="44"/>
      <c r="G19" s="42"/>
      <c r="H19" s="44"/>
      <c r="I19"/>
      <c r="J19"/>
      <c r="K19"/>
      <c r="L19"/>
      <c r="M19"/>
    </row>
    <row r="20" spans="1:13" ht="21" customHeight="1" x14ac:dyDescent="0.25">
      <c r="A20" s="38">
        <v>3</v>
      </c>
      <c r="B20" s="39" t="s">
        <v>130</v>
      </c>
      <c r="C20" s="40"/>
      <c r="D20" s="45">
        <v>1449489841</v>
      </c>
      <c r="E20" s="42"/>
      <c r="F20" s="44">
        <v>232323396</v>
      </c>
      <c r="G20" s="42"/>
      <c r="H20" s="44">
        <f>D20+F20</f>
        <v>1681813237</v>
      </c>
      <c r="I20"/>
      <c r="J20"/>
      <c r="K20"/>
      <c r="L20"/>
      <c r="M20"/>
    </row>
    <row r="21" spans="1:13" ht="13.5" customHeight="1" x14ac:dyDescent="0.25">
      <c r="A21" s="38"/>
      <c r="B21" s="39"/>
      <c r="C21" s="40"/>
      <c r="D21" s="44"/>
      <c r="E21" s="42"/>
      <c r="F21" s="44"/>
      <c r="G21" s="42"/>
      <c r="H21" s="44"/>
      <c r="I21"/>
      <c r="J21"/>
      <c r="K21"/>
      <c r="L21"/>
      <c r="M21"/>
    </row>
    <row r="22" spans="1:13" ht="21" customHeight="1" x14ac:dyDescent="0.25">
      <c r="A22" s="38">
        <v>4</v>
      </c>
      <c r="B22" s="39" t="s">
        <v>131</v>
      </c>
      <c r="C22" s="40"/>
      <c r="D22" s="46">
        <f>D17-D20</f>
        <v>1778442513</v>
      </c>
      <c r="E22" s="42"/>
      <c r="F22" s="46">
        <f>F17-F20</f>
        <v>251893442</v>
      </c>
      <c r="G22" s="42"/>
      <c r="H22" s="46">
        <f>H17-H20</f>
        <v>2030335955</v>
      </c>
      <c r="I22"/>
      <c r="J22"/>
      <c r="K22"/>
      <c r="L22"/>
      <c r="M22"/>
    </row>
    <row r="23" spans="1:13" ht="13.5" customHeight="1" x14ac:dyDescent="0.25">
      <c r="A23" s="38"/>
      <c r="B23" s="39"/>
      <c r="C23" s="40"/>
      <c r="D23" s="44"/>
      <c r="E23" s="42"/>
      <c r="F23" s="44"/>
      <c r="G23" s="42"/>
      <c r="H23" s="44"/>
      <c r="I23"/>
      <c r="J23"/>
      <c r="K23"/>
      <c r="L23"/>
      <c r="M23"/>
    </row>
    <row r="24" spans="1:13" ht="21" customHeight="1" x14ac:dyDescent="0.25">
      <c r="A24" s="38">
        <v>5</v>
      </c>
      <c r="B24" s="39" t="s">
        <v>124</v>
      </c>
      <c r="C24" s="40"/>
      <c r="D24" s="44"/>
      <c r="E24" s="42"/>
      <c r="F24" s="44"/>
      <c r="G24" s="42"/>
      <c r="H24" s="44"/>
      <c r="I24"/>
      <c r="J24"/>
      <c r="K24"/>
      <c r="L24"/>
      <c r="M24"/>
    </row>
    <row r="25" spans="1:13" ht="21" customHeight="1" x14ac:dyDescent="0.25">
      <c r="A25" s="38">
        <v>6</v>
      </c>
      <c r="B25" s="39" t="s">
        <v>132</v>
      </c>
      <c r="C25" s="40"/>
      <c r="D25" s="44">
        <v>1596053</v>
      </c>
      <c r="E25" s="42"/>
      <c r="F25" s="44">
        <v>15447</v>
      </c>
      <c r="G25" s="42"/>
      <c r="H25" s="44">
        <f>D25+F25</f>
        <v>1611500</v>
      </c>
      <c r="I25"/>
      <c r="J25"/>
      <c r="K25"/>
      <c r="L25"/>
      <c r="M25"/>
    </row>
    <row r="26" spans="1:13" ht="21" customHeight="1" x14ac:dyDescent="0.25">
      <c r="A26" s="38">
        <v>7</v>
      </c>
      <c r="B26" s="39" t="s">
        <v>133</v>
      </c>
      <c r="C26" s="40"/>
      <c r="D26" s="44">
        <v>265188476</v>
      </c>
      <c r="E26" s="47"/>
      <c r="F26" s="44">
        <v>45121699</v>
      </c>
      <c r="G26" s="47"/>
      <c r="H26" s="45">
        <f>D26+F26</f>
        <v>310310175</v>
      </c>
      <c r="I26"/>
      <c r="J26"/>
      <c r="K26"/>
      <c r="L26"/>
      <c r="M26"/>
    </row>
    <row r="27" spans="1:13" s="72" customFormat="1" ht="21" customHeight="1" x14ac:dyDescent="0.25">
      <c r="A27" s="616">
        <v>8</v>
      </c>
      <c r="B27" s="573" t="s">
        <v>599</v>
      </c>
      <c r="C27" s="70"/>
      <c r="D27" s="47">
        <f>ROUND(6674329*0.86037,0)</f>
        <v>5742392</v>
      </c>
      <c r="E27" s="47"/>
      <c r="F27" s="47">
        <f>H27-D27</f>
        <v>931937</v>
      </c>
      <c r="G27" s="47"/>
      <c r="H27" s="45">
        <v>6674329</v>
      </c>
      <c r="I27" s="71"/>
    </row>
    <row r="28" spans="1:13" s="72" customFormat="1" ht="21" customHeight="1" x14ac:dyDescent="0.25">
      <c r="A28" s="616">
        <v>9</v>
      </c>
      <c r="B28" s="573" t="s">
        <v>600</v>
      </c>
      <c r="C28" s="70"/>
      <c r="D28" s="47">
        <f>ROUND(2892785*0.86037,0)</f>
        <v>2488865</v>
      </c>
      <c r="E28" s="47"/>
      <c r="F28" s="47">
        <f>H28-D28</f>
        <v>403920</v>
      </c>
      <c r="G28" s="47"/>
      <c r="H28" s="45">
        <v>2892785</v>
      </c>
      <c r="I28" s="71"/>
    </row>
    <row r="29" spans="1:13" ht="21" customHeight="1" x14ac:dyDescent="0.25">
      <c r="A29" s="38">
        <v>10</v>
      </c>
      <c r="B29" s="49" t="s">
        <v>134</v>
      </c>
      <c r="C29" s="40"/>
      <c r="D29" s="42">
        <v>3183040</v>
      </c>
      <c r="E29" s="42"/>
      <c r="F29" s="42">
        <v>622011</v>
      </c>
      <c r="G29" s="42"/>
      <c r="H29" s="45">
        <f>D29+F29</f>
        <v>3805051</v>
      </c>
    </row>
    <row r="30" spans="1:13" ht="12" customHeight="1" x14ac:dyDescent="0.25">
      <c r="A30" s="38"/>
      <c r="B30" s="39"/>
      <c r="C30" s="40"/>
      <c r="D30" s="42"/>
      <c r="E30" s="42"/>
      <c r="F30" s="42"/>
      <c r="G30" s="42"/>
      <c r="H30" s="42"/>
    </row>
    <row r="31" spans="1:13" ht="21" customHeight="1" x14ac:dyDescent="0.25">
      <c r="A31" s="38">
        <v>11</v>
      </c>
      <c r="B31" s="39" t="s">
        <v>125</v>
      </c>
      <c r="C31" s="40"/>
      <c r="D31" s="46">
        <f>SUM(D25:D30)</f>
        <v>278198826</v>
      </c>
      <c r="E31" s="42"/>
      <c r="F31" s="46">
        <f>SUM(F25:F30)</f>
        <v>47095014</v>
      </c>
      <c r="G31" s="42"/>
      <c r="H31" s="46">
        <f>SUM(H25:H30)</f>
        <v>325293840</v>
      </c>
    </row>
    <row r="32" spans="1:13" ht="13.5" customHeight="1" x14ac:dyDescent="0.25">
      <c r="A32" s="30"/>
      <c r="B32" s="39"/>
      <c r="C32" s="40"/>
      <c r="D32" s="44"/>
      <c r="E32" s="42"/>
      <c r="F32" s="44"/>
      <c r="G32" s="42"/>
      <c r="H32" s="44"/>
    </row>
    <row r="33" spans="1:8" ht="21" customHeight="1" x14ac:dyDescent="0.25">
      <c r="A33" s="30">
        <f>A31+1</f>
        <v>12</v>
      </c>
      <c r="B33" s="39" t="s">
        <v>135</v>
      </c>
      <c r="C33" s="40"/>
      <c r="D33" s="44"/>
      <c r="E33" s="42"/>
      <c r="F33" s="44"/>
      <c r="G33" s="42"/>
      <c r="H33" s="44"/>
    </row>
    <row r="34" spans="1:8" ht="21" customHeight="1" x14ac:dyDescent="0.25">
      <c r="A34" s="38">
        <f>A33+1</f>
        <v>13</v>
      </c>
      <c r="B34" s="49" t="s">
        <v>136</v>
      </c>
      <c r="C34" s="40"/>
      <c r="D34" s="44">
        <v>57448088</v>
      </c>
      <c r="E34" s="42"/>
      <c r="F34" s="42">
        <v>9109754</v>
      </c>
      <c r="G34" s="42"/>
      <c r="H34" s="45">
        <f>D34+F34</f>
        <v>66557842</v>
      </c>
    </row>
    <row r="35" spans="1:8" ht="21" customHeight="1" x14ac:dyDescent="0.25">
      <c r="A35" s="38">
        <f>A34+1</f>
        <v>14</v>
      </c>
      <c r="B35" s="49" t="s">
        <v>137</v>
      </c>
      <c r="C35" s="40"/>
      <c r="D35" s="44">
        <v>1914517</v>
      </c>
      <c r="E35" s="42"/>
      <c r="F35" s="42">
        <v>281080</v>
      </c>
      <c r="G35" s="42"/>
      <c r="H35" s="45">
        <f>D35+F35</f>
        <v>2195597</v>
      </c>
    </row>
    <row r="36" spans="1:8" ht="21" customHeight="1" x14ac:dyDescent="0.25">
      <c r="A36" s="38">
        <f>A35+1</f>
        <v>15</v>
      </c>
      <c r="B36" s="39" t="s">
        <v>138</v>
      </c>
      <c r="C36" s="40"/>
      <c r="D36" s="44">
        <v>3192241</v>
      </c>
      <c r="E36" s="42"/>
      <c r="F36" s="42">
        <v>518058</v>
      </c>
      <c r="G36" s="42"/>
      <c r="H36" s="45">
        <f>D36+F36</f>
        <v>3710299</v>
      </c>
    </row>
    <row r="37" spans="1:8" ht="21" customHeight="1" x14ac:dyDescent="0.25">
      <c r="A37" s="38">
        <f>A36+1</f>
        <v>16</v>
      </c>
      <c r="B37" s="39" t="s">
        <v>139</v>
      </c>
      <c r="C37" s="40"/>
      <c r="D37" s="42">
        <v>54393541</v>
      </c>
      <c r="E37" s="42"/>
      <c r="F37" s="44">
        <v>6017902</v>
      </c>
      <c r="G37" s="42"/>
      <c r="H37" s="42">
        <f>D37+F37</f>
        <v>60411443</v>
      </c>
    </row>
    <row r="38" spans="1:8" ht="13.5" customHeight="1" x14ac:dyDescent="0.25">
      <c r="A38" s="38"/>
      <c r="B38" s="39"/>
      <c r="C38" s="40"/>
      <c r="D38" s="42"/>
      <c r="E38" s="42"/>
      <c r="F38" s="42"/>
      <c r="G38" s="42"/>
      <c r="H38" s="42"/>
    </row>
    <row r="39" spans="1:8" ht="21" customHeight="1" x14ac:dyDescent="0.25">
      <c r="A39" s="38">
        <f>A37+1</f>
        <v>17</v>
      </c>
      <c r="B39" s="48" t="s">
        <v>140</v>
      </c>
      <c r="C39" s="40"/>
      <c r="D39" s="46">
        <f>SUM(D34:D38)</f>
        <v>116948387</v>
      </c>
      <c r="E39" s="42"/>
      <c r="F39" s="46">
        <f>SUM(F34:F38)</f>
        <v>15926794</v>
      </c>
      <c r="G39" s="42"/>
      <c r="H39" s="46">
        <f>SUM(H34:H38)</f>
        <v>132875181</v>
      </c>
    </row>
    <row r="40" spans="1:8" ht="13.5" customHeight="1" x14ac:dyDescent="0.25">
      <c r="A40" s="38"/>
      <c r="B40" s="39"/>
      <c r="C40" s="40"/>
      <c r="D40" s="44"/>
      <c r="E40" s="42"/>
      <c r="F40" s="44"/>
      <c r="G40" s="42"/>
      <c r="H40" s="44"/>
    </row>
    <row r="41" spans="1:8" ht="21" customHeight="1" thickBot="1" x14ac:dyDescent="0.3">
      <c r="A41" s="38">
        <f>A39+1</f>
        <v>18</v>
      </c>
      <c r="B41" s="49" t="s">
        <v>141</v>
      </c>
      <c r="C41" s="40"/>
      <c r="D41" s="50">
        <f>D22-D31+D39</f>
        <v>1617192074</v>
      </c>
      <c r="E41" s="51"/>
      <c r="F41" s="50">
        <f>F22-F31+F39</f>
        <v>220725222</v>
      </c>
      <c r="G41" s="51"/>
      <c r="H41" s="50">
        <f>H22-H31+H39</f>
        <v>1837917296</v>
      </c>
    </row>
    <row r="42" spans="1:8" ht="13.5" customHeight="1" thickTop="1" x14ac:dyDescent="0.25">
      <c r="A42" s="38"/>
      <c r="B42" s="39"/>
      <c r="C42" s="40"/>
      <c r="D42" s="44"/>
      <c r="E42" s="42"/>
      <c r="F42" s="44"/>
      <c r="G42" s="42"/>
      <c r="H42" s="44"/>
    </row>
    <row r="43" spans="1:8" ht="15.75" customHeight="1" x14ac:dyDescent="0.25">
      <c r="A43" s="38"/>
      <c r="C43" s="40"/>
      <c r="D43" s="44"/>
      <c r="E43" s="42"/>
      <c r="F43" s="44"/>
      <c r="G43" s="42"/>
      <c r="H43" s="44"/>
    </row>
    <row r="44" spans="1:8" ht="21" customHeight="1" thickBot="1" x14ac:dyDescent="0.3">
      <c r="A44" s="52">
        <f>A41+1</f>
        <v>19</v>
      </c>
      <c r="B44" s="49" t="s">
        <v>142</v>
      </c>
      <c r="C44" s="26"/>
      <c r="D44" s="54">
        <f>ROUND(D41/$H$41,4)</f>
        <v>0.87990000000000002</v>
      </c>
      <c r="E44" s="26"/>
      <c r="F44" s="54">
        <f>ROUND(F41/$H$41,4)</f>
        <v>0.1201</v>
      </c>
      <c r="G44" s="26"/>
      <c r="H44" s="54">
        <f>ROUND(H41/$H$41,4)</f>
        <v>1</v>
      </c>
    </row>
    <row r="45" spans="1:8" ht="18.95" customHeight="1" thickTop="1" x14ac:dyDescent="0.25">
      <c r="A45" s="26"/>
      <c r="C45" s="26"/>
      <c r="E45" s="26"/>
      <c r="G45" s="26"/>
    </row>
    <row r="46" spans="1:8" ht="21" customHeight="1" x14ac:dyDescent="0.25">
      <c r="A46" s="38">
        <f>A44+1</f>
        <v>20</v>
      </c>
      <c r="B46" s="39" t="s">
        <v>43</v>
      </c>
      <c r="C46" s="40"/>
      <c r="D46" s="43">
        <v>129470155</v>
      </c>
      <c r="E46" s="42"/>
      <c r="F46" s="43">
        <v>19248072</v>
      </c>
      <c r="G46" s="42"/>
      <c r="H46" s="43">
        <v>148718227</v>
      </c>
    </row>
    <row r="47" spans="1:8" ht="18.95" customHeight="1" x14ac:dyDescent="0.25">
      <c r="A47" s="26"/>
      <c r="C47" s="26"/>
      <c r="D47" s="53"/>
      <c r="E47" s="26"/>
      <c r="G47" s="26"/>
    </row>
    <row r="48" spans="1:8" ht="18.95" customHeight="1" x14ac:dyDescent="0.25">
      <c r="A48" s="38">
        <f>A46+1</f>
        <v>21</v>
      </c>
      <c r="B48" s="26" t="s">
        <v>81</v>
      </c>
      <c r="C48" s="26"/>
      <c r="D48" s="53">
        <f>ROUND(D46/D41,4)</f>
        <v>8.0100000000000005E-2</v>
      </c>
      <c r="E48" s="26"/>
      <c r="F48" s="53">
        <f>ROUND(F46/F41,4)</f>
        <v>8.72E-2</v>
      </c>
      <c r="G48" s="26"/>
      <c r="H48" s="53">
        <f>ROUND(H46/H41,4)</f>
        <v>8.09E-2</v>
      </c>
    </row>
    <row r="49" spans="1:8" ht="18.95" customHeight="1" x14ac:dyDescent="0.25">
      <c r="A49" s="26"/>
      <c r="C49" s="26"/>
      <c r="E49" s="26"/>
      <c r="G49" s="26"/>
    </row>
    <row r="50" spans="1:8" ht="18.95" customHeight="1" x14ac:dyDescent="0.25">
      <c r="A50" s="55" t="s">
        <v>3</v>
      </c>
      <c r="B50" s="49" t="s">
        <v>143</v>
      </c>
      <c r="C50" s="26"/>
      <c r="E50" s="26"/>
      <c r="G50" s="26"/>
    </row>
    <row r="51" spans="1:8" ht="18.95" customHeight="1" x14ac:dyDescent="0.25">
      <c r="A51" s="56" t="s">
        <v>144</v>
      </c>
      <c r="B51" s="57" t="s">
        <v>145</v>
      </c>
      <c r="C51" s="26"/>
      <c r="E51" s="26"/>
      <c r="G51" s="26"/>
    </row>
    <row r="52" spans="1:8" ht="18.95" customHeight="1" x14ac:dyDescent="0.25">
      <c r="A52" s="56" t="s">
        <v>146</v>
      </c>
      <c r="B52" s="26" t="s">
        <v>147</v>
      </c>
      <c r="C52" s="26"/>
      <c r="E52" s="26"/>
      <c r="G52" s="26"/>
    </row>
    <row r="53" spans="1:8" x14ac:dyDescent="0.25">
      <c r="G53" s="26"/>
      <c r="H53" s="28"/>
    </row>
    <row r="54" spans="1:8" x14ac:dyDescent="0.25">
      <c r="G54" s="26"/>
      <c r="H54" s="28"/>
    </row>
    <row r="55" spans="1:8" x14ac:dyDescent="0.25">
      <c r="G55" s="26"/>
      <c r="H55" s="28"/>
    </row>
    <row r="56" spans="1:8" x14ac:dyDescent="0.25">
      <c r="A56" s="849" t="s">
        <v>126</v>
      </c>
      <c r="B56" s="849"/>
      <c r="C56" s="849"/>
      <c r="D56" s="849"/>
      <c r="E56" s="849"/>
      <c r="F56" s="849"/>
      <c r="G56" s="849"/>
      <c r="H56" s="849"/>
    </row>
    <row r="58" spans="1:8" x14ac:dyDescent="0.25">
      <c r="A58" s="850" t="s">
        <v>148</v>
      </c>
      <c r="B58" s="850"/>
      <c r="C58" s="850"/>
      <c r="D58" s="850"/>
      <c r="E58" s="850"/>
      <c r="F58" s="850"/>
      <c r="G58" s="850"/>
      <c r="H58" s="850"/>
    </row>
    <row r="59" spans="1:8" x14ac:dyDescent="0.25">
      <c r="A59" s="851" t="s">
        <v>169</v>
      </c>
      <c r="B59" s="851"/>
      <c r="C59" s="851"/>
      <c r="D59" s="851"/>
      <c r="E59" s="851"/>
      <c r="F59" s="851"/>
      <c r="G59" s="851"/>
      <c r="H59" s="851"/>
    </row>
    <row r="60" spans="1:8" x14ac:dyDescent="0.25">
      <c r="A60" s="30"/>
      <c r="B60" s="31"/>
      <c r="C60" s="32"/>
      <c r="D60" s="31"/>
      <c r="E60" s="32"/>
      <c r="G60" s="26"/>
    </row>
    <row r="61" spans="1:8" x14ac:dyDescent="0.25">
      <c r="A61" s="30"/>
      <c r="G61" s="26"/>
    </row>
    <row r="62" spans="1:8" x14ac:dyDescent="0.25">
      <c r="A62" s="30"/>
      <c r="B62" s="31"/>
      <c r="C62" s="32"/>
      <c r="D62" s="31"/>
      <c r="E62" s="32"/>
      <c r="G62" s="26"/>
    </row>
    <row r="63" spans="1:8" x14ac:dyDescent="0.25">
      <c r="A63" s="30"/>
      <c r="D63" s="34" t="s">
        <v>5</v>
      </c>
      <c r="E63" s="32"/>
      <c r="F63" s="34" t="s">
        <v>6</v>
      </c>
      <c r="G63" s="32"/>
      <c r="H63" s="34" t="s">
        <v>16</v>
      </c>
    </row>
    <row r="64" spans="1:8" x14ac:dyDescent="0.25">
      <c r="A64" s="30"/>
      <c r="B64" s="31"/>
      <c r="C64" s="32"/>
      <c r="D64" s="34" t="s">
        <v>45</v>
      </c>
      <c r="E64" s="32"/>
      <c r="F64" s="34" t="s">
        <v>45</v>
      </c>
      <c r="G64" s="32"/>
      <c r="H64" s="34" t="s">
        <v>17</v>
      </c>
    </row>
    <row r="65" spans="1:8" x14ac:dyDescent="0.25">
      <c r="A65" s="30"/>
      <c r="B65" s="31"/>
      <c r="C65" s="32"/>
      <c r="D65" s="34" t="s">
        <v>46</v>
      </c>
      <c r="E65" s="32"/>
      <c r="F65" s="34" t="s">
        <v>46</v>
      </c>
      <c r="G65" s="32"/>
      <c r="H65" s="34" t="s">
        <v>46</v>
      </c>
    </row>
    <row r="66" spans="1:8" x14ac:dyDescent="0.25">
      <c r="A66" s="30"/>
      <c r="B66" s="31" t="s">
        <v>128</v>
      </c>
      <c r="C66" s="32"/>
      <c r="D66" s="35">
        <v>38352</v>
      </c>
      <c r="E66" s="32"/>
      <c r="F66" s="35">
        <v>38352</v>
      </c>
      <c r="G66" s="32"/>
      <c r="H66" s="35">
        <v>38352</v>
      </c>
    </row>
    <row r="67" spans="1:8" x14ac:dyDescent="0.25">
      <c r="A67" s="30"/>
      <c r="B67" s="36">
        <v>-1</v>
      </c>
      <c r="C67" s="32"/>
      <c r="D67" s="37">
        <v>-2</v>
      </c>
      <c r="E67" s="32"/>
      <c r="F67" s="36">
        <v>-3</v>
      </c>
      <c r="G67" s="32"/>
      <c r="H67" s="36">
        <v>-4</v>
      </c>
    </row>
    <row r="68" spans="1:8" x14ac:dyDescent="0.25">
      <c r="A68" s="30"/>
      <c r="B68" s="31"/>
      <c r="C68" s="32"/>
      <c r="D68" s="31"/>
      <c r="E68" s="32"/>
      <c r="F68" s="31"/>
      <c r="G68" s="32"/>
      <c r="H68" s="31"/>
    </row>
    <row r="69" spans="1:8" ht="21" customHeight="1" x14ac:dyDescent="0.25">
      <c r="A69" s="58" t="s">
        <v>149</v>
      </c>
      <c r="B69" s="57" t="s">
        <v>150</v>
      </c>
    </row>
    <row r="70" spans="1:8" ht="21" customHeight="1" x14ac:dyDescent="0.25">
      <c r="A70" s="58"/>
      <c r="B70" s="49" t="s">
        <v>170</v>
      </c>
      <c r="D70" s="43">
        <v>559386415</v>
      </c>
      <c r="F70" s="43">
        <v>83266396</v>
      </c>
      <c r="H70" s="43">
        <v>642652811</v>
      </c>
    </row>
    <row r="71" spans="1:8" ht="15" customHeight="1" x14ac:dyDescent="0.25">
      <c r="A71" s="58"/>
      <c r="B71" s="57"/>
    </row>
    <row r="72" spans="1:8" ht="21" customHeight="1" x14ac:dyDescent="0.25">
      <c r="A72" s="60" t="s">
        <v>151</v>
      </c>
      <c r="B72" s="57" t="s">
        <v>124</v>
      </c>
    </row>
    <row r="73" spans="1:8" ht="21" customHeight="1" x14ac:dyDescent="0.25">
      <c r="A73" s="60" t="s">
        <v>152</v>
      </c>
      <c r="B73" s="61" t="s">
        <v>153</v>
      </c>
      <c r="D73" s="62">
        <v>124238085</v>
      </c>
      <c r="F73" s="63">
        <v>19993971</v>
      </c>
      <c r="G73" s="44"/>
      <c r="H73" s="62">
        <v>144232056</v>
      </c>
    </row>
    <row r="74" spans="1:8" ht="21" customHeight="1" x14ac:dyDescent="0.25">
      <c r="A74" s="60" t="s">
        <v>154</v>
      </c>
      <c r="B74" s="64" t="s">
        <v>155</v>
      </c>
      <c r="D74" s="43">
        <f>D73</f>
        <v>124238085</v>
      </c>
      <c r="F74" s="43">
        <f>F73</f>
        <v>19993971</v>
      </c>
      <c r="H74" s="43">
        <f>H73</f>
        <v>144232056</v>
      </c>
    </row>
    <row r="75" spans="1:8" ht="13.5" customHeight="1" x14ac:dyDescent="0.25">
      <c r="A75" s="60"/>
      <c r="B75" s="65"/>
      <c r="D75" s="66"/>
      <c r="F75" s="66"/>
      <c r="H75" s="66"/>
    </row>
    <row r="76" spans="1:8" ht="21" customHeight="1" thickBot="1" x14ac:dyDescent="0.3">
      <c r="A76" s="60" t="s">
        <v>156</v>
      </c>
      <c r="B76" s="65" t="s">
        <v>157</v>
      </c>
      <c r="D76" s="50">
        <f>D70-D74</f>
        <v>435148330</v>
      </c>
      <c r="F76" s="50">
        <f>F70-F74</f>
        <v>63272425</v>
      </c>
      <c r="H76" s="50">
        <f>H70-H74</f>
        <v>498420755</v>
      </c>
    </row>
    <row r="77" spans="1:8" ht="15" customHeight="1" thickTop="1" x14ac:dyDescent="0.25">
      <c r="A77" s="60"/>
      <c r="B77" s="65"/>
    </row>
    <row r="78" spans="1:8" ht="21" customHeight="1" thickBot="1" x14ac:dyDescent="0.3">
      <c r="A78" s="60" t="s">
        <v>158</v>
      </c>
      <c r="B78" s="65" t="s">
        <v>159</v>
      </c>
      <c r="D78" s="67">
        <f>ROUND(D76*0.125,0)</f>
        <v>54393541</v>
      </c>
      <c r="E78" s="65"/>
      <c r="F78" s="67">
        <v>6017902</v>
      </c>
      <c r="G78" s="65"/>
      <c r="H78" s="67">
        <f>D78+F78</f>
        <v>60411443</v>
      </c>
    </row>
    <row r="79" spans="1:8" ht="21" customHeight="1" thickTop="1" x14ac:dyDescent="0.25">
      <c r="A79" s="60"/>
      <c r="B79" s="65"/>
      <c r="D79" s="68"/>
      <c r="E79" s="65"/>
      <c r="F79" s="68"/>
      <c r="G79" s="65"/>
      <c r="H79" s="68"/>
    </row>
    <row r="80" spans="1:8" ht="18.95" customHeight="1" x14ac:dyDescent="0.25">
      <c r="B80" s="65" t="s">
        <v>160</v>
      </c>
      <c r="F80" s="69"/>
      <c r="G80" s="26"/>
    </row>
    <row r="81" spans="2:7" ht="18.95" customHeight="1" x14ac:dyDescent="0.25">
      <c r="B81" s="65" t="s">
        <v>161</v>
      </c>
      <c r="G81" s="26"/>
    </row>
    <row r="82" spans="2:7" ht="18.95" customHeight="1" x14ac:dyDescent="0.25">
      <c r="B82" s="26" t="s">
        <v>162</v>
      </c>
      <c r="G82" s="26"/>
    </row>
  </sheetData>
  <mergeCells count="6">
    <mergeCell ref="A56:H56"/>
    <mergeCell ref="A58:H58"/>
    <mergeCell ref="A59:H59"/>
    <mergeCell ref="A4:H4"/>
    <mergeCell ref="A6:H6"/>
    <mergeCell ref="A7:H7"/>
  </mergeCells>
  <phoneticPr fontId="1" type="noConversion"/>
  <printOptions horizontalCentered="1"/>
  <pageMargins left="1" right="1" top="0.75" bottom="0.5" header="0.75" footer="0.25"/>
  <pageSetup scale="66" fitToHeight="2" orientation="portrait" r:id="rId1"/>
  <headerFooter alignWithMargins="0">
    <oddHeader>&amp;R&amp;"Times New Roman,Bold"&amp;14Attachment to Response to Question No. 38
Page &amp;P of &amp;N
Rives</oddHeader>
  </headerFooter>
  <rowBreaks count="1" manualBreakCount="1">
    <brk id="52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zoomScale="75" zoomScaleNormal="75" workbookViewId="0">
      <selection activeCell="D10" sqref="D10"/>
    </sheetView>
  </sheetViews>
  <sheetFormatPr defaultRowHeight="12.75" x14ac:dyDescent="0.2"/>
  <cols>
    <col min="1" max="1" width="30.7109375" style="516" customWidth="1"/>
    <col min="2" max="2" width="14.7109375" style="516" customWidth="1"/>
    <col min="3" max="3" width="3.7109375" style="516" customWidth="1"/>
    <col min="4" max="4" width="14.7109375" style="516" customWidth="1"/>
    <col min="5" max="5" width="3.7109375" style="516" customWidth="1"/>
    <col min="6" max="6" width="16" style="516" customWidth="1"/>
    <col min="7" max="7" width="3.7109375" style="516" customWidth="1"/>
    <col min="8" max="8" width="15.7109375" style="516" customWidth="1"/>
    <col min="9" max="9" width="3.7109375" style="516" customWidth="1"/>
    <col min="10" max="10" width="15.7109375" style="516" customWidth="1"/>
    <col min="11" max="11" width="3.7109375" style="516" customWidth="1"/>
    <col min="12" max="12" width="14.7109375" style="516" customWidth="1"/>
    <col min="13" max="13" width="9.140625" style="516"/>
    <col min="14" max="14" width="15.7109375" style="516" customWidth="1"/>
    <col min="15" max="16" width="14.7109375" style="516" customWidth="1"/>
    <col min="17" max="17" width="15.42578125" style="516" customWidth="1"/>
    <col min="18" max="16384" width="9.140625" style="516"/>
  </cols>
  <sheetData>
    <row r="1" spans="1:21" ht="15.75" x14ac:dyDescent="0.25">
      <c r="A1" s="853" t="s">
        <v>21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O1" s="517"/>
      <c r="P1" s="517"/>
    </row>
    <row r="2" spans="1:21" ht="15.75" x14ac:dyDescent="0.25">
      <c r="A2" s="853" t="s">
        <v>47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O2" s="517"/>
      <c r="P2" s="517"/>
    </row>
    <row r="3" spans="1:21" ht="15.75" x14ac:dyDescent="0.25">
      <c r="A3" s="518"/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N3" s="518"/>
      <c r="O3" s="515" t="s">
        <v>595</v>
      </c>
      <c r="P3" s="515" t="s">
        <v>595</v>
      </c>
    </row>
    <row r="4" spans="1:21" ht="15.75" x14ac:dyDescent="0.25">
      <c r="A4" s="518"/>
      <c r="B4" s="518"/>
      <c r="C4" s="518"/>
      <c r="D4" s="515" t="s">
        <v>48</v>
      </c>
      <c r="E4" s="518"/>
      <c r="F4" s="515" t="s">
        <v>49</v>
      </c>
      <c r="G4" s="518"/>
      <c r="H4" s="515" t="s">
        <v>50</v>
      </c>
      <c r="I4" s="518"/>
      <c r="J4" s="515" t="s">
        <v>596</v>
      </c>
      <c r="K4" s="518"/>
      <c r="L4" s="515"/>
      <c r="N4" s="515"/>
      <c r="O4" s="515" t="s">
        <v>51</v>
      </c>
      <c r="P4" s="515" t="s">
        <v>51</v>
      </c>
      <c r="Q4" s="515" t="s">
        <v>596</v>
      </c>
    </row>
    <row r="5" spans="1:21" ht="16.5" thickBot="1" x14ac:dyDescent="0.3">
      <c r="A5" s="518"/>
      <c r="B5" s="518"/>
      <c r="C5" s="518"/>
      <c r="D5" s="519" t="s">
        <v>52</v>
      </c>
      <c r="E5" s="518"/>
      <c r="F5" s="519" t="s">
        <v>53</v>
      </c>
      <c r="G5" s="518"/>
      <c r="H5" s="519" t="s">
        <v>54</v>
      </c>
      <c r="I5" s="518"/>
      <c r="J5" s="519" t="s">
        <v>597</v>
      </c>
      <c r="K5" s="518"/>
      <c r="L5" s="520" t="s">
        <v>589</v>
      </c>
      <c r="N5" s="519" t="s">
        <v>596</v>
      </c>
      <c r="O5" s="519" t="s">
        <v>55</v>
      </c>
      <c r="P5" s="519" t="s">
        <v>208</v>
      </c>
      <c r="Q5" s="519" t="s">
        <v>597</v>
      </c>
    </row>
    <row r="6" spans="1:21" ht="15.75" x14ac:dyDescent="0.25">
      <c r="A6" s="521"/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N6" s="521"/>
      <c r="O6" s="521"/>
      <c r="P6" s="521"/>
    </row>
    <row r="7" spans="1:21" ht="15.75" x14ac:dyDescent="0.25">
      <c r="A7" s="595" t="s">
        <v>609</v>
      </c>
      <c r="B7" s="522">
        <v>2008</v>
      </c>
      <c r="C7" s="523"/>
      <c r="D7" s="524">
        <v>29440550.809999999</v>
      </c>
      <c r="E7" s="523"/>
      <c r="F7" s="524">
        <v>6302300.8200000003</v>
      </c>
      <c r="G7" s="523"/>
      <c r="H7" s="524">
        <v>76484790.959999993</v>
      </c>
      <c r="I7" s="523"/>
      <c r="J7" s="525">
        <f t="shared" ref="J7:J15" si="0">Q7</f>
        <v>2874555.59</v>
      </c>
      <c r="K7" s="523"/>
      <c r="L7" s="524">
        <v>21651.98</v>
      </c>
      <c r="M7" s="526"/>
      <c r="N7" s="524">
        <v>4069722.76</v>
      </c>
      <c r="O7" s="524">
        <v>126906.68</v>
      </c>
      <c r="P7" s="524">
        <v>1195167.17</v>
      </c>
      <c r="Q7" s="525">
        <f t="shared" ref="Q7:Q15" si="1">N7-P7</f>
        <v>2874555.59</v>
      </c>
      <c r="R7" s="527"/>
      <c r="S7" s="528"/>
      <c r="T7" s="527"/>
      <c r="U7" s="528"/>
    </row>
    <row r="8" spans="1:21" ht="15.75" x14ac:dyDescent="0.25">
      <c r="A8" s="595" t="s">
        <v>610</v>
      </c>
      <c r="B8" s="529"/>
      <c r="C8" s="523"/>
      <c r="D8" s="524">
        <v>29681308.239999998</v>
      </c>
      <c r="E8" s="523"/>
      <c r="F8" s="524">
        <v>6291926.1500000004</v>
      </c>
      <c r="G8" s="523"/>
      <c r="H8" s="524">
        <v>78771684.299999997</v>
      </c>
      <c r="I8" s="523"/>
      <c r="J8" s="525">
        <f t="shared" si="0"/>
        <v>5431952.6299999999</v>
      </c>
      <c r="K8" s="523"/>
      <c r="L8" s="524">
        <v>80327.710000000006</v>
      </c>
      <c r="M8" s="526"/>
      <c r="N8" s="524">
        <v>6477723.9100000001</v>
      </c>
      <c r="O8" s="524">
        <v>2964415.97</v>
      </c>
      <c r="P8" s="524">
        <v>1045771.28</v>
      </c>
      <c r="Q8" s="525">
        <f t="shared" si="1"/>
        <v>5431952.6299999999</v>
      </c>
      <c r="R8" s="527"/>
      <c r="S8" s="528"/>
      <c r="T8" s="527"/>
      <c r="U8" s="528"/>
    </row>
    <row r="9" spans="1:21" ht="15.75" x14ac:dyDescent="0.25">
      <c r="A9" s="595" t="s">
        <v>611</v>
      </c>
      <c r="C9" s="523"/>
      <c r="D9" s="525">
        <f>28867534.68+561254.26+132900.46</f>
        <v>29561689.400000002</v>
      </c>
      <c r="E9" s="530"/>
      <c r="F9" s="525">
        <v>6202308.3700000001</v>
      </c>
      <c r="G9" s="530"/>
      <c r="H9" s="525">
        <f>74080.09+55206363.86+10901007.93+5968684.38+79022.66+95473.24+383402.91</f>
        <v>72708035.069999993</v>
      </c>
      <c r="I9" s="530"/>
      <c r="J9" s="525">
        <f t="shared" si="0"/>
        <v>4937527.790000001</v>
      </c>
      <c r="K9" s="530"/>
      <c r="L9" s="525">
        <f>298.95+74120.33</f>
        <v>74419.28</v>
      </c>
      <c r="M9" s="596"/>
      <c r="N9" s="525">
        <f>2641114.2+896375.39+75000+25896.39+2195517.2</f>
        <v>5833903.1800000006</v>
      </c>
      <c r="O9" s="525">
        <v>2641114.2000000002</v>
      </c>
      <c r="P9" s="525">
        <v>896375.39</v>
      </c>
      <c r="Q9" s="525">
        <f t="shared" si="1"/>
        <v>4937527.790000001</v>
      </c>
      <c r="R9" s="527"/>
      <c r="S9" s="528"/>
      <c r="T9" s="527"/>
      <c r="U9" s="528"/>
    </row>
    <row r="10" spans="1:21" ht="15.75" x14ac:dyDescent="0.25">
      <c r="A10" s="595" t="s">
        <v>612</v>
      </c>
      <c r="B10" s="522">
        <v>2009</v>
      </c>
      <c r="C10" s="523"/>
      <c r="D10" s="524">
        <v>29518432.300000001</v>
      </c>
      <c r="E10" s="523"/>
      <c r="F10" s="524">
        <v>6128646.2000000002</v>
      </c>
      <c r="G10" s="523"/>
      <c r="H10" s="524">
        <v>62957839.210000001</v>
      </c>
      <c r="I10" s="523"/>
      <c r="J10" s="525">
        <f t="shared" si="0"/>
        <v>5213034.0999999996</v>
      </c>
      <c r="K10" s="523"/>
      <c r="L10" s="524">
        <v>74391.44</v>
      </c>
      <c r="M10" s="523"/>
      <c r="N10" s="524">
        <v>5960013.5999999996</v>
      </c>
      <c r="O10" s="524">
        <v>3197073.29</v>
      </c>
      <c r="P10" s="524">
        <v>746979.5</v>
      </c>
      <c r="Q10" s="525">
        <f t="shared" si="1"/>
        <v>5213034.0999999996</v>
      </c>
      <c r="R10" s="527"/>
      <c r="S10" s="528"/>
      <c r="T10" s="527"/>
      <c r="U10" s="528"/>
    </row>
    <row r="11" spans="1:21" ht="15.75" x14ac:dyDescent="0.25">
      <c r="A11" s="595" t="s">
        <v>613</v>
      </c>
      <c r="B11" s="529"/>
      <c r="C11" s="523"/>
      <c r="D11" s="524">
        <v>29629050.579999998</v>
      </c>
      <c r="E11" s="523"/>
      <c r="F11" s="524">
        <v>6237056.75</v>
      </c>
      <c r="G11" s="523"/>
      <c r="H11" s="524">
        <v>69896489.790000007</v>
      </c>
      <c r="I11" s="523"/>
      <c r="J11" s="525">
        <f t="shared" si="0"/>
        <v>4617877.55</v>
      </c>
      <c r="K11" s="523"/>
      <c r="L11" s="524">
        <v>74369.710000000006</v>
      </c>
      <c r="M11" s="523"/>
      <c r="N11" s="524">
        <v>5215461.16</v>
      </c>
      <c r="O11" s="524">
        <v>2858410</v>
      </c>
      <c r="P11" s="524">
        <v>597583.61</v>
      </c>
      <c r="Q11" s="525">
        <f t="shared" si="1"/>
        <v>4617877.55</v>
      </c>
      <c r="R11" s="527"/>
      <c r="S11" s="528"/>
      <c r="T11" s="527"/>
      <c r="U11" s="528"/>
    </row>
    <row r="12" spans="1:21" ht="15.75" x14ac:dyDescent="0.25">
      <c r="A12" s="595" t="s">
        <v>614</v>
      </c>
      <c r="B12" s="529"/>
      <c r="C12" s="523"/>
      <c r="D12" s="524">
        <v>29522038.27</v>
      </c>
      <c r="E12" s="523"/>
      <c r="F12" s="524">
        <v>6314976.0099999998</v>
      </c>
      <c r="G12" s="523"/>
      <c r="H12" s="524">
        <v>85660668.530000001</v>
      </c>
      <c r="I12" s="523"/>
      <c r="J12" s="525">
        <f t="shared" si="0"/>
        <v>4088505.7700000005</v>
      </c>
      <c r="K12" s="523"/>
      <c r="L12" s="524">
        <v>74354.84</v>
      </c>
      <c r="M12" s="523"/>
      <c r="N12" s="524">
        <v>4536693.49</v>
      </c>
      <c r="O12" s="524">
        <v>2519746.71</v>
      </c>
      <c r="P12" s="524">
        <v>448187.72</v>
      </c>
      <c r="Q12" s="525">
        <f t="shared" si="1"/>
        <v>4088505.7700000005</v>
      </c>
      <c r="R12" s="527"/>
      <c r="S12" s="528"/>
      <c r="T12" s="527"/>
      <c r="U12" s="528"/>
    </row>
    <row r="13" spans="1:21" ht="15.75" x14ac:dyDescent="0.25">
      <c r="A13" s="595" t="s">
        <v>615</v>
      </c>
      <c r="B13" s="529"/>
      <c r="C13" s="523"/>
      <c r="D13" s="524">
        <v>29432158.800000001</v>
      </c>
      <c r="E13" s="523"/>
      <c r="F13" s="524">
        <v>6375965.4900000002</v>
      </c>
      <c r="G13" s="523"/>
      <c r="H13" s="524">
        <v>93255635.459999993</v>
      </c>
      <c r="I13" s="523"/>
      <c r="J13" s="525">
        <f t="shared" si="0"/>
        <v>3578464.35</v>
      </c>
      <c r="K13" s="523"/>
      <c r="L13" s="524">
        <v>74345.52</v>
      </c>
      <c r="M13" s="523"/>
      <c r="N13" s="524">
        <v>3877256.18</v>
      </c>
      <c r="O13" s="524">
        <v>2288414.17</v>
      </c>
      <c r="P13" s="524">
        <v>298791.83</v>
      </c>
      <c r="Q13" s="525">
        <f t="shared" si="1"/>
        <v>3578464.35</v>
      </c>
      <c r="R13" s="527"/>
      <c r="S13" s="528"/>
      <c r="T13" s="527"/>
      <c r="U13" s="528"/>
    </row>
    <row r="14" spans="1:21" ht="15.75" x14ac:dyDescent="0.25">
      <c r="A14" s="595" t="s">
        <v>616</v>
      </c>
      <c r="B14" s="529"/>
      <c r="C14" s="523"/>
      <c r="D14" s="524">
        <v>29517079.52</v>
      </c>
      <c r="E14" s="523"/>
      <c r="F14" s="524">
        <v>6511819.79</v>
      </c>
      <c r="G14" s="523"/>
      <c r="H14" s="524">
        <v>97405666.689999998</v>
      </c>
      <c r="I14" s="523"/>
      <c r="J14" s="525">
        <f t="shared" si="0"/>
        <v>2952739.25</v>
      </c>
      <c r="K14" s="523"/>
      <c r="L14" s="524">
        <v>1975641.48</v>
      </c>
      <c r="M14" s="523"/>
      <c r="N14" s="524">
        <v>3102135.19</v>
      </c>
      <c r="O14" s="524">
        <v>1936334.53</v>
      </c>
      <c r="P14" s="524">
        <v>149395.94</v>
      </c>
      <c r="Q14" s="525">
        <f t="shared" si="1"/>
        <v>2952739.25</v>
      </c>
      <c r="R14" s="527"/>
      <c r="S14" s="528"/>
      <c r="T14" s="527"/>
      <c r="U14" s="528"/>
    </row>
    <row r="15" spans="1:21" ht="15.75" x14ac:dyDescent="0.25">
      <c r="A15" s="595" t="s">
        <v>617</v>
      </c>
      <c r="B15" s="529"/>
      <c r="C15" s="523"/>
      <c r="D15" s="525">
        <v>30153890.879999999</v>
      </c>
      <c r="E15" s="523"/>
      <c r="F15" s="525">
        <v>6597946.4500000002</v>
      </c>
      <c r="G15" s="523"/>
      <c r="H15" s="525">
        <v>98117467.480000004</v>
      </c>
      <c r="I15" s="523"/>
      <c r="J15" s="525">
        <f t="shared" si="0"/>
        <v>2353098.7000000002</v>
      </c>
      <c r="K15" s="523"/>
      <c r="L15" s="525">
        <v>1819611</v>
      </c>
      <c r="M15" s="526"/>
      <c r="N15" s="525">
        <v>2353098.7000000002</v>
      </c>
      <c r="O15" s="525">
        <v>1615090.61</v>
      </c>
      <c r="P15" s="525">
        <v>0</v>
      </c>
      <c r="Q15" s="525">
        <f t="shared" si="1"/>
        <v>2353098.7000000002</v>
      </c>
      <c r="R15" s="527"/>
      <c r="S15" s="528"/>
      <c r="T15" s="527"/>
      <c r="U15" s="528"/>
    </row>
    <row r="16" spans="1:21" ht="15.75" x14ac:dyDescent="0.25">
      <c r="A16" s="597" t="s">
        <v>618</v>
      </c>
      <c r="B16" s="598"/>
      <c r="C16" s="530"/>
      <c r="D16" s="525">
        <v>30398928.850000001</v>
      </c>
      <c r="E16" s="530"/>
      <c r="F16" s="525">
        <v>6679086.7699999996</v>
      </c>
      <c r="G16" s="530"/>
      <c r="H16" s="525">
        <v>86557297.670000002</v>
      </c>
      <c r="I16" s="530"/>
      <c r="J16" s="525">
        <f>Q16</f>
        <v>1720972.7800000003</v>
      </c>
      <c r="K16" s="530"/>
      <c r="L16" s="525">
        <v>1658746.36</v>
      </c>
      <c r="M16" s="596"/>
      <c r="N16" s="525">
        <v>3440173.41</v>
      </c>
      <c r="O16" s="525">
        <v>1257871.68</v>
      </c>
      <c r="P16" s="525">
        <v>1719200.63</v>
      </c>
      <c r="Q16" s="525">
        <f>N16-P16</f>
        <v>1720972.7800000003</v>
      </c>
      <c r="R16" s="527"/>
      <c r="S16" s="528"/>
      <c r="T16" s="527"/>
      <c r="U16" s="528"/>
    </row>
    <row r="17" spans="1:21" ht="15.75" x14ac:dyDescent="0.25">
      <c r="A17" s="597" t="s">
        <v>619</v>
      </c>
      <c r="B17" s="598"/>
      <c r="C17" s="530"/>
      <c r="D17" s="525">
        <v>30636834.73</v>
      </c>
      <c r="E17" s="530"/>
      <c r="F17" s="525">
        <v>6776184.29</v>
      </c>
      <c r="G17" s="530"/>
      <c r="H17" s="525">
        <v>89780591.409999996</v>
      </c>
      <c r="I17" s="530"/>
      <c r="J17" s="525">
        <f>Q17</f>
        <v>3222520.9799999995</v>
      </c>
      <c r="K17" s="530"/>
      <c r="L17" s="525">
        <v>1489445.83</v>
      </c>
      <c r="M17" s="596"/>
      <c r="N17" s="525">
        <v>4785430.6399999997</v>
      </c>
      <c r="O17" s="525">
        <v>900652.75</v>
      </c>
      <c r="P17" s="525">
        <v>1562909.66</v>
      </c>
      <c r="Q17" s="525">
        <f>N17-P17</f>
        <v>3222520.9799999995</v>
      </c>
      <c r="R17" s="527"/>
      <c r="S17" s="528"/>
      <c r="T17" s="527"/>
      <c r="U17" s="528"/>
    </row>
    <row r="18" spans="1:21" ht="15.75" x14ac:dyDescent="0.25">
      <c r="A18" s="595" t="s">
        <v>620</v>
      </c>
      <c r="B18" s="529"/>
      <c r="C18" s="523"/>
      <c r="D18" s="525">
        <v>31069507.890000001</v>
      </c>
      <c r="E18" s="530"/>
      <c r="F18" s="525">
        <v>6786075.1799999997</v>
      </c>
      <c r="G18" s="530"/>
      <c r="H18" s="525">
        <v>90546767.980000004</v>
      </c>
      <c r="I18" s="530"/>
      <c r="J18" s="525">
        <f>Q18</f>
        <v>3682095.9</v>
      </c>
      <c r="K18" s="530"/>
      <c r="L18" s="525">
        <v>1391971.99</v>
      </c>
      <c r="M18" s="596"/>
      <c r="N18" s="525">
        <v>5088714.59</v>
      </c>
      <c r="O18" s="525">
        <v>543433.81999999995</v>
      </c>
      <c r="P18" s="525">
        <v>1406618.69</v>
      </c>
      <c r="Q18" s="525">
        <f>N18-P18</f>
        <v>3682095.9</v>
      </c>
      <c r="R18" s="527"/>
      <c r="S18" s="528"/>
      <c r="T18" s="527"/>
      <c r="U18" s="528"/>
    </row>
    <row r="19" spans="1:21" ht="15.75" x14ac:dyDescent="0.25">
      <c r="A19" s="595" t="s">
        <v>609</v>
      </c>
      <c r="B19" s="529"/>
      <c r="C19" s="523"/>
      <c r="D19" s="531">
        <v>30941174.370000001</v>
      </c>
      <c r="E19" s="523"/>
      <c r="F19" s="531">
        <v>7207137.0300000003</v>
      </c>
      <c r="G19" s="523"/>
      <c r="H19" s="531">
        <v>99219777.25</v>
      </c>
      <c r="I19" s="523"/>
      <c r="J19" s="531">
        <f>Q19</f>
        <v>3074198.1900000004</v>
      </c>
      <c r="K19" s="523"/>
      <c r="L19" s="531">
        <v>1286022.04</v>
      </c>
      <c r="M19" s="526"/>
      <c r="N19" s="531">
        <v>4324525.91</v>
      </c>
      <c r="O19" s="531">
        <v>194740.89</v>
      </c>
      <c r="P19" s="531">
        <v>1250327.72</v>
      </c>
      <c r="Q19" s="525">
        <f>N19-P19</f>
        <v>3074198.1900000004</v>
      </c>
      <c r="R19" s="527"/>
      <c r="S19" s="528"/>
      <c r="T19" s="527"/>
      <c r="U19" s="528"/>
    </row>
    <row r="20" spans="1:21" ht="15.75" x14ac:dyDescent="0.25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N20" s="521"/>
      <c r="O20" s="521"/>
      <c r="P20" s="521"/>
      <c r="Q20" s="517"/>
      <c r="R20" s="517"/>
      <c r="S20" s="517"/>
      <c r="T20" s="517"/>
      <c r="U20" s="517"/>
    </row>
    <row r="21" spans="1:21" ht="16.5" thickBot="1" x14ac:dyDescent="0.3">
      <c r="A21" s="599" t="s">
        <v>56</v>
      </c>
      <c r="B21" s="521"/>
      <c r="C21" s="521"/>
      <c r="D21" s="532">
        <f>SUM(D7:D19)</f>
        <v>389502644.64000005</v>
      </c>
      <c r="E21" s="521"/>
      <c r="F21" s="532">
        <f>SUM(F7:F19)</f>
        <v>84411429.300000012</v>
      </c>
      <c r="G21" s="521"/>
      <c r="H21" s="532">
        <f>SUM(H7:H19)</f>
        <v>1101362711.8</v>
      </c>
      <c r="I21" s="521"/>
      <c r="J21" s="532">
        <f>SUM(J7:J19)</f>
        <v>47747543.579999998</v>
      </c>
      <c r="K21" s="521"/>
      <c r="L21" s="532">
        <f>SUM(L7:L19)</f>
        <v>10095299.18</v>
      </c>
      <c r="N21" s="532">
        <f>SUM(N7:N19)</f>
        <v>59064852.719999999</v>
      </c>
      <c r="O21" s="532">
        <f>SUM(O7:O19)</f>
        <v>23044205.300000001</v>
      </c>
      <c r="P21" s="532">
        <f>SUM(P7:P19)</f>
        <v>11317309.140000001</v>
      </c>
      <c r="Q21" s="517"/>
      <c r="R21" s="517"/>
      <c r="S21" s="517"/>
      <c r="T21" s="517"/>
      <c r="U21" s="517"/>
    </row>
    <row r="22" spans="1:21" ht="16.5" thickTop="1" x14ac:dyDescent="0.25">
      <c r="A22" s="599" t="s">
        <v>57</v>
      </c>
      <c r="B22" s="521"/>
      <c r="C22" s="521"/>
      <c r="D22" s="533">
        <f>ROUND(D21/13,0)</f>
        <v>29961742</v>
      </c>
      <c r="E22" s="521"/>
      <c r="F22" s="533">
        <f>ROUND(F21/13,0)</f>
        <v>6493187</v>
      </c>
      <c r="G22" s="521"/>
      <c r="H22" s="533">
        <f>ROUND(H21/13,0)</f>
        <v>84720209</v>
      </c>
      <c r="I22" s="521"/>
      <c r="J22" s="533">
        <f>ROUND(J21/13,0)</f>
        <v>3672888</v>
      </c>
      <c r="K22" s="521"/>
      <c r="L22" s="533">
        <f>ROUND(L21/13,0)</f>
        <v>776561</v>
      </c>
      <c r="N22" s="533">
        <f>ROUND(N21/13,0)</f>
        <v>4543450</v>
      </c>
      <c r="O22" s="533">
        <f>ROUND(O21/13,0)</f>
        <v>1772631</v>
      </c>
      <c r="P22" s="533">
        <f>ROUND(P21/13,0)</f>
        <v>870562</v>
      </c>
      <c r="Q22" s="517"/>
      <c r="R22" s="517"/>
      <c r="S22" s="517"/>
      <c r="T22" s="517"/>
      <c r="U22" s="517"/>
    </row>
    <row r="23" spans="1:21" ht="15.75" x14ac:dyDescent="0.25">
      <c r="A23" s="521"/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N23" s="521"/>
      <c r="O23" s="521"/>
      <c r="P23" s="521"/>
      <c r="Q23" s="517"/>
      <c r="R23" s="517"/>
      <c r="S23" s="517"/>
      <c r="T23" s="517"/>
      <c r="U23" s="517"/>
    </row>
    <row r="24" spans="1:21" ht="15.75" x14ac:dyDescent="0.25">
      <c r="A24" s="521"/>
      <c r="B24" s="521"/>
      <c r="C24" s="521"/>
      <c r="D24" s="534" t="s">
        <v>58</v>
      </c>
      <c r="E24" s="534"/>
      <c r="F24" s="534" t="s">
        <v>59</v>
      </c>
      <c r="G24" s="534"/>
      <c r="H24" s="534" t="s">
        <v>60</v>
      </c>
      <c r="I24" s="534"/>
      <c r="J24" s="534" t="s">
        <v>61</v>
      </c>
      <c r="K24" s="534"/>
      <c r="L24" s="534" t="s">
        <v>590</v>
      </c>
      <c r="N24" s="534" t="s">
        <v>61</v>
      </c>
      <c r="O24" s="534" t="s">
        <v>61</v>
      </c>
      <c r="P24" s="534" t="s">
        <v>61</v>
      </c>
      <c r="Q24" s="517"/>
      <c r="R24" s="517"/>
      <c r="S24" s="517"/>
      <c r="T24" s="517"/>
      <c r="U24" s="517"/>
    </row>
    <row r="25" spans="1:21" s="536" customFormat="1" ht="15.75" x14ac:dyDescent="0.25">
      <c r="A25" s="521" t="s">
        <v>62</v>
      </c>
      <c r="B25" s="521"/>
      <c r="C25" s="521"/>
      <c r="D25" s="535">
        <f>J38</f>
        <v>0.86754900000000001</v>
      </c>
      <c r="E25" s="521"/>
      <c r="F25" s="535">
        <v>0.86754079085517999</v>
      </c>
      <c r="G25" s="535"/>
      <c r="H25" s="535">
        <v>0.86684696907389325</v>
      </c>
      <c r="I25" s="535"/>
      <c r="J25" s="535">
        <v>0.8798485488210076</v>
      </c>
      <c r="K25" s="535"/>
      <c r="L25" s="535">
        <v>0.86382753410563851</v>
      </c>
      <c r="N25" s="535">
        <v>0.8798485488210076</v>
      </c>
      <c r="O25" s="535">
        <v>0.8798485488210076</v>
      </c>
      <c r="P25" s="535">
        <v>0.8798485488210076</v>
      </c>
      <c r="Q25" s="537"/>
      <c r="R25" s="537"/>
      <c r="S25" s="537"/>
      <c r="T25" s="537"/>
      <c r="U25" s="537"/>
    </row>
    <row r="26" spans="1:21" ht="15.75" x14ac:dyDescent="0.25">
      <c r="A26" s="521"/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N26" s="521"/>
      <c r="O26" s="521"/>
      <c r="P26" s="521"/>
      <c r="Q26" s="517"/>
      <c r="R26" s="517"/>
      <c r="S26" s="517"/>
      <c r="T26" s="517"/>
      <c r="U26" s="517"/>
    </row>
    <row r="27" spans="1:21" ht="16.5" thickBot="1" x14ac:dyDescent="0.3">
      <c r="A27" s="521" t="s">
        <v>63</v>
      </c>
      <c r="B27" s="521"/>
      <c r="C27" s="521"/>
      <c r="D27" s="532">
        <f>ROUND(D22*D25,0)</f>
        <v>25993279</v>
      </c>
      <c r="E27" s="521"/>
      <c r="F27" s="532">
        <f>ROUND(F22*F25,0)</f>
        <v>5633105</v>
      </c>
      <c r="G27" s="521"/>
      <c r="H27" s="532">
        <f>ROUND(H22*H25,0)</f>
        <v>73439456</v>
      </c>
      <c r="I27" s="521"/>
      <c r="J27" s="532">
        <f>ROUND(J22*J25,0)</f>
        <v>3231585</v>
      </c>
      <c r="K27" s="521"/>
      <c r="L27" s="532">
        <f>ROUND(L22*L25,0)</f>
        <v>670815</v>
      </c>
      <c r="N27" s="532">
        <f>ROUND(N22*N25,0)</f>
        <v>3997548</v>
      </c>
      <c r="O27" s="532">
        <f>ROUND(O22*O25,0)</f>
        <v>1559647</v>
      </c>
      <c r="P27" s="532">
        <f>ROUND(P22*P25,0)</f>
        <v>765963</v>
      </c>
      <c r="Q27" s="517"/>
      <c r="R27" s="517"/>
      <c r="S27" s="517"/>
      <c r="T27" s="517"/>
      <c r="U27" s="517"/>
    </row>
    <row r="28" spans="1:21" ht="16.5" thickTop="1" x14ac:dyDescent="0.25">
      <c r="A28" s="521"/>
      <c r="B28" s="521"/>
      <c r="C28" s="521"/>
      <c r="D28" s="533"/>
      <c r="E28" s="521"/>
      <c r="F28" s="533"/>
      <c r="G28" s="521"/>
      <c r="H28" s="533"/>
      <c r="I28" s="521"/>
      <c r="J28" s="533"/>
      <c r="K28" s="521"/>
      <c r="L28" s="533"/>
      <c r="N28" s="533"/>
      <c r="O28" s="533"/>
      <c r="P28" s="533"/>
    </row>
    <row r="29" spans="1:21" ht="15.75" x14ac:dyDescent="0.25">
      <c r="A29" s="521"/>
      <c r="B29" s="521"/>
      <c r="C29" s="521"/>
      <c r="D29" s="533"/>
      <c r="E29" s="521"/>
      <c r="F29" s="533"/>
      <c r="G29" s="521"/>
      <c r="H29" s="533"/>
      <c r="I29" s="521"/>
      <c r="J29" s="533"/>
      <c r="K29" s="521"/>
      <c r="L29" s="533"/>
      <c r="N29" s="533"/>
      <c r="O29" s="533"/>
      <c r="P29" s="533"/>
    </row>
    <row r="30" spans="1:21" ht="15.75" x14ac:dyDescent="0.25">
      <c r="A30" s="521" t="s">
        <v>64</v>
      </c>
      <c r="B30" s="521"/>
      <c r="C30" s="521"/>
      <c r="D30" s="533"/>
      <c r="E30" s="521"/>
      <c r="F30" s="533"/>
      <c r="G30" s="521"/>
      <c r="H30" s="533"/>
      <c r="I30" s="521"/>
      <c r="J30" s="533"/>
      <c r="K30" s="521"/>
      <c r="L30" s="533"/>
      <c r="N30" s="533"/>
      <c r="O30" s="533"/>
      <c r="P30" s="533"/>
    </row>
    <row r="31" spans="1:21" ht="15.75" x14ac:dyDescent="0.25">
      <c r="A31" s="521" t="s">
        <v>65</v>
      </c>
      <c r="B31" s="521"/>
      <c r="C31" s="521"/>
      <c r="D31" s="533"/>
      <c r="E31" s="521"/>
      <c r="F31" s="533"/>
      <c r="G31" s="521"/>
      <c r="H31" s="533"/>
      <c r="I31" s="521"/>
      <c r="J31" s="533"/>
      <c r="K31" s="521"/>
      <c r="L31" s="533"/>
      <c r="N31" s="533"/>
      <c r="O31" s="533"/>
      <c r="P31" s="533"/>
    </row>
    <row r="32" spans="1:21" ht="15.75" x14ac:dyDescent="0.25">
      <c r="A32" s="521"/>
      <c r="B32" s="521"/>
      <c r="C32" s="521"/>
      <c r="D32" s="533"/>
      <c r="E32" s="521"/>
      <c r="F32" s="533"/>
      <c r="G32" s="521"/>
      <c r="H32" s="533"/>
      <c r="I32" s="521"/>
      <c r="J32" s="533"/>
      <c r="K32" s="521"/>
      <c r="L32" s="533"/>
      <c r="N32" s="533"/>
      <c r="O32" s="533"/>
      <c r="P32" s="533"/>
    </row>
    <row r="33" spans="1:17" ht="15.75" x14ac:dyDescent="0.25">
      <c r="A33" s="521"/>
      <c r="B33" s="538" t="s">
        <v>598</v>
      </c>
      <c r="C33" s="521"/>
      <c r="D33" s="539" t="s">
        <v>34</v>
      </c>
      <c r="E33" s="534"/>
      <c r="F33" s="539" t="s">
        <v>66</v>
      </c>
      <c r="G33" s="534"/>
      <c r="H33" s="539" t="s">
        <v>66</v>
      </c>
      <c r="I33" s="534"/>
      <c r="J33" s="539" t="s">
        <v>67</v>
      </c>
      <c r="K33" s="534"/>
      <c r="L33" s="540"/>
      <c r="N33" s="539"/>
      <c r="O33" s="540"/>
      <c r="P33" s="540"/>
    </row>
    <row r="34" spans="1:17" ht="16.5" thickBot="1" x14ac:dyDescent="0.3">
      <c r="A34" s="521"/>
      <c r="B34" s="541" t="s">
        <v>68</v>
      </c>
      <c r="C34" s="521"/>
      <c r="D34" s="542" t="s">
        <v>69</v>
      </c>
      <c r="E34" s="534"/>
      <c r="F34" s="542" t="s">
        <v>70</v>
      </c>
      <c r="G34" s="534"/>
      <c r="H34" s="542" t="s">
        <v>71</v>
      </c>
      <c r="I34" s="534"/>
      <c r="J34" s="542" t="s">
        <v>72</v>
      </c>
      <c r="K34" s="534"/>
      <c r="L34" s="540"/>
      <c r="N34" s="540"/>
      <c r="O34" s="540"/>
      <c r="P34" s="540"/>
    </row>
    <row r="35" spans="1:17" ht="15.75" x14ac:dyDescent="0.25">
      <c r="A35" s="521" t="s">
        <v>73</v>
      </c>
      <c r="B35" s="543">
        <v>21424205.046887465</v>
      </c>
      <c r="C35" s="521"/>
      <c r="D35" s="544">
        <f>ROUND(B35/$B$38,5)</f>
        <v>0.69242000000000004</v>
      </c>
      <c r="E35" s="521"/>
      <c r="F35" s="539" t="s">
        <v>74</v>
      </c>
      <c r="G35" s="521"/>
      <c r="H35" s="535">
        <v>0.85504009756810573</v>
      </c>
      <c r="I35" s="521"/>
      <c r="J35" s="535">
        <f>ROUND(D35*H35,6)</f>
        <v>0.59204699999999999</v>
      </c>
      <c r="K35" s="521"/>
      <c r="L35" s="545"/>
      <c r="N35" s="545"/>
      <c r="O35" s="545"/>
      <c r="P35" s="545"/>
      <c r="Q35" s="517"/>
    </row>
    <row r="36" spans="1:17" ht="15.75" x14ac:dyDescent="0.25">
      <c r="A36" s="521" t="s">
        <v>75</v>
      </c>
      <c r="B36" s="546">
        <v>3077025.9586012531</v>
      </c>
      <c r="C36" s="521"/>
      <c r="D36" s="544">
        <f>ROUND(B36/$B$38,5)</f>
        <v>9.9449999999999997E-2</v>
      </c>
      <c r="E36" s="521"/>
      <c r="F36" s="539" t="s">
        <v>76</v>
      </c>
      <c r="G36" s="521"/>
      <c r="H36" s="535">
        <v>0.79820281517471381</v>
      </c>
      <c r="I36" s="521"/>
      <c r="J36" s="535">
        <f>ROUND(D36*H36,6)</f>
        <v>7.9380999999999993E-2</v>
      </c>
      <c r="K36" s="521"/>
      <c r="L36" s="545"/>
      <c r="N36" s="545"/>
      <c r="O36" s="545"/>
      <c r="P36" s="545"/>
      <c r="Q36" s="517"/>
    </row>
    <row r="37" spans="1:17" ht="15.75" x14ac:dyDescent="0.25">
      <c r="A37" s="521" t="s">
        <v>77</v>
      </c>
      <c r="B37" s="547">
        <v>6439943.3865752099</v>
      </c>
      <c r="C37" s="521"/>
      <c r="D37" s="544">
        <f>ROUND(B37/$B$38,5)</f>
        <v>0.20813999999999999</v>
      </c>
      <c r="E37" s="521"/>
      <c r="F37" s="539" t="s">
        <v>78</v>
      </c>
      <c r="G37" s="521"/>
      <c r="H37" s="535">
        <v>0.94225680760956732</v>
      </c>
      <c r="I37" s="521"/>
      <c r="J37" s="548">
        <f>ROUND(D37*H37,6)</f>
        <v>0.19612099999999999</v>
      </c>
      <c r="K37" s="521"/>
      <c r="L37" s="545"/>
      <c r="N37" s="545"/>
      <c r="O37" s="545"/>
      <c r="P37" s="545"/>
      <c r="Q37" s="517"/>
    </row>
    <row r="38" spans="1:17" ht="16.5" thickBot="1" x14ac:dyDescent="0.3">
      <c r="A38" s="521" t="s">
        <v>79</v>
      </c>
      <c r="B38" s="533">
        <f>SUM(B35:B37)</f>
        <v>30941174.392063927</v>
      </c>
      <c r="C38" s="521"/>
      <c r="D38" s="549"/>
      <c r="E38" s="521"/>
      <c r="F38" s="533"/>
      <c r="G38" s="521"/>
      <c r="H38" s="533"/>
      <c r="I38" s="521"/>
      <c r="J38" s="550">
        <f>SUM(J35:J37)</f>
        <v>0.86754900000000001</v>
      </c>
      <c r="K38" s="521"/>
      <c r="L38" s="545"/>
      <c r="N38" s="545"/>
      <c r="O38" s="545"/>
      <c r="P38" s="545"/>
      <c r="Q38" s="517"/>
    </row>
    <row r="39" spans="1:17" ht="16.5" thickTop="1" x14ac:dyDescent="0.25">
      <c r="A39" s="521"/>
      <c r="B39" s="521"/>
      <c r="C39" s="521"/>
      <c r="D39" s="533"/>
      <c r="E39" s="521"/>
      <c r="F39" s="533"/>
      <c r="G39" s="521"/>
      <c r="H39" s="533"/>
      <c r="I39" s="521"/>
      <c r="J39" s="533"/>
      <c r="K39" s="521"/>
      <c r="L39" s="533"/>
      <c r="N39" s="551"/>
      <c r="O39" s="533"/>
      <c r="P39" s="533"/>
    </row>
    <row r="40" spans="1:17" ht="15.75" x14ac:dyDescent="0.25">
      <c r="A40" s="521"/>
      <c r="B40" s="521"/>
      <c r="C40" s="521"/>
      <c r="D40" s="533"/>
      <c r="E40" s="521"/>
      <c r="F40" s="533"/>
      <c r="G40" s="521"/>
      <c r="H40" s="533"/>
      <c r="I40" s="521"/>
      <c r="J40" s="533"/>
      <c r="K40" s="521"/>
      <c r="L40" s="533"/>
      <c r="N40" s="533"/>
      <c r="O40" s="533"/>
      <c r="P40" s="533"/>
    </row>
    <row r="41" spans="1:17" ht="15.75" x14ac:dyDescent="0.25">
      <c r="A41" s="521" t="s">
        <v>621</v>
      </c>
      <c r="B41" s="521"/>
      <c r="C41" s="521"/>
      <c r="D41" s="533"/>
      <c r="E41" s="521"/>
      <c r="F41" s="533"/>
      <c r="G41" s="521"/>
      <c r="H41" s="533"/>
      <c r="I41" s="521"/>
      <c r="J41" s="533"/>
      <c r="K41" s="521"/>
      <c r="L41" s="533"/>
      <c r="N41" s="533"/>
      <c r="O41" s="533"/>
      <c r="P41" s="533"/>
    </row>
    <row r="42" spans="1:17" x14ac:dyDescent="0.2">
      <c r="A42" s="516" t="s">
        <v>80</v>
      </c>
    </row>
    <row r="43" spans="1:17" x14ac:dyDescent="0.2">
      <c r="B43" s="517"/>
    </row>
    <row r="44" spans="1:17" ht="15.75" x14ac:dyDescent="0.25">
      <c r="B44" s="528"/>
    </row>
    <row r="45" spans="1:17" ht="15.75" x14ac:dyDescent="0.25">
      <c r="B45" s="528"/>
    </row>
    <row r="46" spans="1:17" x14ac:dyDescent="0.2">
      <c r="B46" s="517"/>
    </row>
    <row r="47" spans="1:17" x14ac:dyDescent="0.2">
      <c r="B47" s="517"/>
    </row>
  </sheetData>
  <mergeCells count="2">
    <mergeCell ref="A1:L1"/>
    <mergeCell ref="A2:L2"/>
  </mergeCells>
  <phoneticPr fontId="9" type="noConversion"/>
  <printOptions horizontalCentered="1"/>
  <pageMargins left="0.75" right="0.75" top="1" bottom="1" header="0.5" footer="0.5"/>
  <pageSetup scale="72" orientation="landscape" blackAndWhite="1" r:id="rId1"/>
  <headerFooter alignWithMargins="0">
    <oddHeader>&amp;L&amp;"Arial,Bold Italic"Provided by Doug Leichty, Rates Dept.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U47"/>
  <sheetViews>
    <sheetView zoomScale="75" zoomScaleNormal="75" workbookViewId="0">
      <selection activeCell="D10" sqref="D10"/>
    </sheetView>
  </sheetViews>
  <sheetFormatPr defaultRowHeight="12.75" x14ac:dyDescent="0.2"/>
  <cols>
    <col min="1" max="1" width="30.7109375" style="516" customWidth="1"/>
    <col min="2" max="2" width="14.7109375" style="516" customWidth="1"/>
    <col min="3" max="3" width="3.7109375" style="516" customWidth="1"/>
    <col min="4" max="4" width="14.7109375" style="516" customWidth="1"/>
    <col min="5" max="5" width="3.7109375" style="516" customWidth="1"/>
    <col min="6" max="6" width="16" style="516" customWidth="1"/>
    <col min="7" max="7" width="3.7109375" style="516" customWidth="1"/>
    <col min="8" max="8" width="14.7109375" style="516" customWidth="1"/>
    <col min="9" max="9" width="3.7109375" style="516" customWidth="1"/>
    <col min="10" max="10" width="15.7109375" style="516" customWidth="1"/>
    <col min="11" max="11" width="3.7109375" style="516" customWidth="1"/>
    <col min="12" max="12" width="14.7109375" style="516" customWidth="1"/>
    <col min="13" max="13" width="9.140625" style="516"/>
    <col min="14" max="14" width="15.7109375" style="516" customWidth="1"/>
    <col min="15" max="16" width="14.7109375" style="516" customWidth="1"/>
    <col min="17" max="17" width="11.140625" style="516" bestFit="1" customWidth="1"/>
    <col min="18" max="16384" width="9.140625" style="516"/>
  </cols>
  <sheetData>
    <row r="1" spans="1:21" ht="15.75" x14ac:dyDescent="0.25">
      <c r="A1" s="853" t="s">
        <v>21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O1" s="517"/>
      <c r="P1" s="517"/>
    </row>
    <row r="2" spans="1:21" ht="15.75" x14ac:dyDescent="0.25">
      <c r="A2" s="853" t="s">
        <v>47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O2" s="517"/>
      <c r="P2" s="517"/>
    </row>
    <row r="3" spans="1:21" ht="15.75" x14ac:dyDescent="0.25">
      <c r="A3" s="518"/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N3" s="518"/>
      <c r="O3" s="515" t="s">
        <v>595</v>
      </c>
      <c r="P3" s="515" t="s">
        <v>595</v>
      </c>
    </row>
    <row r="4" spans="1:21" ht="15.75" x14ac:dyDescent="0.25">
      <c r="A4" s="518"/>
      <c r="B4" s="518"/>
      <c r="C4" s="518"/>
      <c r="D4" s="515" t="s">
        <v>48</v>
      </c>
      <c r="E4" s="518"/>
      <c r="F4" s="515" t="s">
        <v>49</v>
      </c>
      <c r="G4" s="518"/>
      <c r="H4" s="515" t="s">
        <v>50</v>
      </c>
      <c r="I4" s="518"/>
      <c r="J4" s="515" t="s">
        <v>596</v>
      </c>
      <c r="K4" s="518"/>
      <c r="L4" s="515"/>
      <c r="N4" s="515"/>
      <c r="O4" s="515" t="s">
        <v>51</v>
      </c>
      <c r="P4" s="515" t="s">
        <v>51</v>
      </c>
    </row>
    <row r="5" spans="1:21" ht="16.5" thickBot="1" x14ac:dyDescent="0.3">
      <c r="A5" s="518"/>
      <c r="B5" s="518"/>
      <c r="C5" s="518"/>
      <c r="D5" s="519" t="s">
        <v>52</v>
      </c>
      <c r="E5" s="518"/>
      <c r="F5" s="519" t="s">
        <v>53</v>
      </c>
      <c r="G5" s="518"/>
      <c r="H5" s="519" t="s">
        <v>54</v>
      </c>
      <c r="I5" s="518"/>
      <c r="J5" s="519" t="s">
        <v>597</v>
      </c>
      <c r="K5" s="518"/>
      <c r="L5" s="520" t="s">
        <v>589</v>
      </c>
      <c r="N5" s="519" t="s">
        <v>596</v>
      </c>
      <c r="O5" s="519" t="s">
        <v>55</v>
      </c>
      <c r="P5" s="519" t="s">
        <v>208</v>
      </c>
    </row>
    <row r="6" spans="1:21" ht="15.75" x14ac:dyDescent="0.25">
      <c r="A6" s="521"/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N6" s="521"/>
      <c r="O6" s="521"/>
      <c r="P6" s="521"/>
    </row>
    <row r="7" spans="1:21" ht="15.75" x14ac:dyDescent="0.25">
      <c r="A7" s="599" t="s">
        <v>611</v>
      </c>
      <c r="B7" s="600">
        <v>2007</v>
      </c>
      <c r="C7" s="521"/>
      <c r="D7" s="528">
        <v>27370026.449999999</v>
      </c>
      <c r="E7" s="527"/>
      <c r="F7" s="528">
        <v>6454807.6299999999</v>
      </c>
      <c r="G7" s="527"/>
      <c r="H7" s="528">
        <v>41770627.770000003</v>
      </c>
      <c r="I7" s="527"/>
      <c r="J7" s="528">
        <f>Q7</f>
        <v>4398620.33</v>
      </c>
      <c r="K7" s="527"/>
      <c r="L7" s="528">
        <v>382894.11</v>
      </c>
      <c r="M7" s="521"/>
      <c r="N7" s="528">
        <f>5293878.66</f>
        <v>5293878.66</v>
      </c>
      <c r="O7" s="528">
        <v>2260935.06</v>
      </c>
      <c r="P7" s="528">
        <v>895258.33</v>
      </c>
      <c r="Q7" s="528">
        <f>N7-P7</f>
        <v>4398620.33</v>
      </c>
      <c r="R7" s="527"/>
      <c r="S7" s="528"/>
      <c r="T7" s="527"/>
      <c r="U7" s="528"/>
    </row>
    <row r="8" spans="1:21" ht="15.75" x14ac:dyDescent="0.25">
      <c r="A8" s="599" t="s">
        <v>612</v>
      </c>
      <c r="B8" s="600">
        <v>2008</v>
      </c>
      <c r="C8" s="521"/>
      <c r="D8" s="601">
        <v>27414373.870000001</v>
      </c>
      <c r="E8" s="521"/>
      <c r="F8" s="601">
        <v>6542041.79</v>
      </c>
      <c r="G8" s="521"/>
      <c r="H8" s="601">
        <v>41778204.710000001</v>
      </c>
      <c r="I8" s="521"/>
      <c r="J8" s="528">
        <f t="shared" ref="J8:J19" si="0">Q8</f>
        <v>4671300.3000000007</v>
      </c>
      <c r="K8" s="521"/>
      <c r="L8" s="601">
        <v>339421.31</v>
      </c>
      <c r="M8" s="521"/>
      <c r="N8" s="601">
        <v>5417348.9000000004</v>
      </c>
      <c r="O8" s="601">
        <v>2706743.08</v>
      </c>
      <c r="P8" s="601">
        <v>746048.6</v>
      </c>
      <c r="Q8" s="528">
        <f t="shared" ref="Q8:Q19" si="1">N8-P8</f>
        <v>4671300.3000000007</v>
      </c>
      <c r="R8" s="527"/>
      <c r="S8" s="528"/>
      <c r="T8" s="527"/>
      <c r="U8" s="528"/>
    </row>
    <row r="9" spans="1:21" ht="15.75" x14ac:dyDescent="0.25">
      <c r="A9" s="599" t="s">
        <v>613</v>
      </c>
      <c r="B9" s="602"/>
      <c r="C9" s="521"/>
      <c r="D9" s="601">
        <v>27811764.199999999</v>
      </c>
      <c r="E9" s="521"/>
      <c r="F9" s="601">
        <v>6350194.1299999999</v>
      </c>
      <c r="G9" s="521"/>
      <c r="H9" s="601">
        <v>40174765.68</v>
      </c>
      <c r="I9" s="521"/>
      <c r="J9" s="528">
        <f t="shared" si="0"/>
        <v>4193830.1100000003</v>
      </c>
      <c r="K9" s="521"/>
      <c r="L9" s="601">
        <v>299115.23</v>
      </c>
      <c r="M9" s="521"/>
      <c r="N9" s="601">
        <v>4790668.9800000004</v>
      </c>
      <c r="O9" s="601">
        <v>2419842.46</v>
      </c>
      <c r="P9" s="601">
        <v>596838.87</v>
      </c>
      <c r="Q9" s="528">
        <f t="shared" si="1"/>
        <v>4193830.1100000003</v>
      </c>
      <c r="R9" s="527"/>
      <c r="S9" s="528"/>
      <c r="T9" s="527"/>
      <c r="U9" s="528"/>
    </row>
    <row r="10" spans="1:21" ht="15.75" x14ac:dyDescent="0.25">
      <c r="A10" s="599" t="s">
        <v>614</v>
      </c>
      <c r="B10" s="602"/>
      <c r="C10" s="521"/>
      <c r="D10" s="601">
        <v>27633554.259999998</v>
      </c>
      <c r="E10" s="521"/>
      <c r="F10" s="601">
        <v>6468774.5499999998</v>
      </c>
      <c r="G10" s="521"/>
      <c r="H10" s="601">
        <v>36893399.789999999</v>
      </c>
      <c r="I10" s="521"/>
      <c r="J10" s="528">
        <f t="shared" si="0"/>
        <v>3662863.28</v>
      </c>
      <c r="K10" s="521"/>
      <c r="L10" s="601">
        <v>256907.03</v>
      </c>
      <c r="M10" s="521"/>
      <c r="N10" s="601">
        <v>4110492.42</v>
      </c>
      <c r="O10" s="601">
        <v>2132941.84</v>
      </c>
      <c r="P10" s="601">
        <v>447629.14</v>
      </c>
      <c r="Q10" s="528">
        <f t="shared" si="1"/>
        <v>3662863.28</v>
      </c>
      <c r="R10" s="527"/>
      <c r="S10" s="528"/>
      <c r="T10" s="527"/>
      <c r="U10" s="528"/>
    </row>
    <row r="11" spans="1:21" ht="15.75" x14ac:dyDescent="0.25">
      <c r="A11" s="599" t="s">
        <v>615</v>
      </c>
      <c r="B11" s="602"/>
      <c r="C11" s="521"/>
      <c r="D11" s="601">
        <v>28045637.93</v>
      </c>
      <c r="E11" s="521"/>
      <c r="F11" s="601">
        <v>6524614.1900000004</v>
      </c>
      <c r="G11" s="521"/>
      <c r="H11" s="601">
        <v>46647686.539999999</v>
      </c>
      <c r="I11" s="521"/>
      <c r="J11" s="528">
        <f t="shared" si="0"/>
        <v>3107191.6999999997</v>
      </c>
      <c r="K11" s="521"/>
      <c r="L11" s="601">
        <v>223085.27</v>
      </c>
      <c r="M11" s="521"/>
      <c r="N11" s="601">
        <v>3405611.11</v>
      </c>
      <c r="O11" s="601">
        <v>1846041.22</v>
      </c>
      <c r="P11" s="601">
        <v>298419.40999999997</v>
      </c>
      <c r="Q11" s="528">
        <f t="shared" si="1"/>
        <v>3107191.6999999997</v>
      </c>
      <c r="R11" s="527"/>
      <c r="S11" s="528"/>
      <c r="T11" s="527"/>
      <c r="U11" s="528"/>
    </row>
    <row r="12" spans="1:21" ht="15.75" x14ac:dyDescent="0.25">
      <c r="A12" s="599" t="s">
        <v>616</v>
      </c>
      <c r="B12" s="602"/>
      <c r="C12" s="521"/>
      <c r="D12" s="601">
        <v>28176794.530000001</v>
      </c>
      <c r="E12" s="521"/>
      <c r="F12" s="601">
        <v>6498163.5899999999</v>
      </c>
      <c r="G12" s="521"/>
      <c r="H12" s="601">
        <v>56160099.439999998</v>
      </c>
      <c r="I12" s="521"/>
      <c r="J12" s="528">
        <f t="shared" si="0"/>
        <v>2560299.9899999998</v>
      </c>
      <c r="K12" s="521"/>
      <c r="L12" s="601">
        <v>191392.07</v>
      </c>
      <c r="M12" s="521"/>
      <c r="N12" s="601">
        <v>2709509.67</v>
      </c>
      <c r="O12" s="601">
        <v>1559140.6</v>
      </c>
      <c r="P12" s="601">
        <v>149209.68</v>
      </c>
      <c r="Q12" s="528">
        <f t="shared" si="1"/>
        <v>2560299.9899999998</v>
      </c>
      <c r="R12" s="527"/>
      <c r="S12" s="528"/>
      <c r="T12" s="527"/>
      <c r="U12" s="528"/>
    </row>
    <row r="13" spans="1:21" ht="15.75" x14ac:dyDescent="0.25">
      <c r="A13" s="599" t="s">
        <v>617</v>
      </c>
      <c r="B13" s="602"/>
      <c r="C13" s="521"/>
      <c r="D13" s="601">
        <v>28419719.300000001</v>
      </c>
      <c r="E13" s="521"/>
      <c r="F13" s="601">
        <v>6360857.7599999998</v>
      </c>
      <c r="G13" s="521"/>
      <c r="H13" s="601">
        <v>55673865.459999993</v>
      </c>
      <c r="I13" s="521"/>
      <c r="J13" s="528">
        <f t="shared" si="0"/>
        <v>1997383.29</v>
      </c>
      <c r="K13" s="521"/>
      <c r="L13" s="601">
        <v>153758.39000000001</v>
      </c>
      <c r="M13" s="521"/>
      <c r="N13" s="601">
        <v>1997383.29</v>
      </c>
      <c r="O13" s="601">
        <v>1253469.6000000001</v>
      </c>
      <c r="P13" s="601">
        <v>0</v>
      </c>
      <c r="Q13" s="528">
        <f t="shared" si="1"/>
        <v>1997383.29</v>
      </c>
      <c r="R13" s="527"/>
      <c r="S13" s="528"/>
      <c r="T13" s="527"/>
      <c r="U13" s="528"/>
    </row>
    <row r="14" spans="1:21" ht="15.75" x14ac:dyDescent="0.25">
      <c r="A14" s="599" t="s">
        <v>618</v>
      </c>
      <c r="B14" s="602"/>
      <c r="C14" s="521"/>
      <c r="D14" s="601">
        <v>28921508.43</v>
      </c>
      <c r="E14" s="521"/>
      <c r="F14" s="601">
        <v>6422212.96</v>
      </c>
      <c r="G14" s="521"/>
      <c r="H14" s="601">
        <v>46798590.889999993</v>
      </c>
      <c r="I14" s="521"/>
      <c r="J14" s="528">
        <f t="shared" si="0"/>
        <v>1438657.01</v>
      </c>
      <c r="K14" s="521"/>
      <c r="L14" s="601">
        <v>118231.43</v>
      </c>
      <c r="M14" s="521"/>
      <c r="N14" s="601">
        <v>3082011.85</v>
      </c>
      <c r="O14" s="601">
        <v>969697.37</v>
      </c>
      <c r="P14" s="601">
        <v>1643354.84</v>
      </c>
      <c r="Q14" s="528">
        <f t="shared" si="1"/>
        <v>1438657.01</v>
      </c>
      <c r="R14" s="527"/>
      <c r="S14" s="528"/>
      <c r="T14" s="527"/>
      <c r="U14" s="528"/>
    </row>
    <row r="15" spans="1:21" ht="15.75" x14ac:dyDescent="0.25">
      <c r="A15" s="599" t="s">
        <v>619</v>
      </c>
      <c r="B15" s="602"/>
      <c r="C15" s="521"/>
      <c r="D15" s="601">
        <v>29348359.420000002</v>
      </c>
      <c r="E15" s="521"/>
      <c r="F15" s="601">
        <v>6400985.3799999999</v>
      </c>
      <c r="G15" s="521"/>
      <c r="H15" s="601">
        <v>55005776.430000007</v>
      </c>
      <c r="I15" s="521"/>
      <c r="J15" s="528">
        <f t="shared" si="0"/>
        <v>3017530.76</v>
      </c>
      <c r="K15" s="521"/>
      <c r="L15" s="601">
        <v>83388.05</v>
      </c>
      <c r="M15" s="521"/>
      <c r="N15" s="601">
        <v>4511489.71</v>
      </c>
      <c r="O15" s="601">
        <v>685925.14</v>
      </c>
      <c r="P15" s="601">
        <v>1493958.95</v>
      </c>
      <c r="Q15" s="528">
        <f t="shared" si="1"/>
        <v>3017530.76</v>
      </c>
      <c r="R15" s="527"/>
      <c r="S15" s="528"/>
      <c r="T15" s="527"/>
      <c r="U15" s="528"/>
    </row>
    <row r="16" spans="1:21" ht="15.75" x14ac:dyDescent="0.25">
      <c r="A16" s="599" t="s">
        <v>620</v>
      </c>
      <c r="B16" s="602"/>
      <c r="C16" s="521"/>
      <c r="D16" s="601">
        <v>29600567.720000003</v>
      </c>
      <c r="E16" s="521"/>
      <c r="F16" s="601">
        <v>6427122.5499999998</v>
      </c>
      <c r="G16" s="521"/>
      <c r="H16" s="601">
        <v>59018761.759999998</v>
      </c>
      <c r="I16" s="521"/>
      <c r="J16" s="528">
        <f t="shared" si="0"/>
        <v>3429914.07</v>
      </c>
      <c r="K16" s="521"/>
      <c r="L16" s="601">
        <v>50918.69</v>
      </c>
      <c r="N16" s="601">
        <v>4774477.13</v>
      </c>
      <c r="O16" s="601">
        <v>402152.91</v>
      </c>
      <c r="P16" s="601">
        <v>1344563.06</v>
      </c>
      <c r="Q16" s="528">
        <f t="shared" si="1"/>
        <v>3429914.07</v>
      </c>
      <c r="R16" s="527"/>
      <c r="S16" s="528"/>
      <c r="T16" s="527"/>
      <c r="U16" s="528"/>
    </row>
    <row r="17" spans="1:21" ht="15.75" x14ac:dyDescent="0.25">
      <c r="A17" s="599" t="s">
        <v>609</v>
      </c>
      <c r="B17" s="602"/>
      <c r="C17" s="521"/>
      <c r="D17" s="601">
        <v>29440550.809999999</v>
      </c>
      <c r="E17" s="521"/>
      <c r="F17" s="601">
        <v>6302300.8200000003</v>
      </c>
      <c r="G17" s="521"/>
      <c r="H17" s="601">
        <v>76484790.959999993</v>
      </c>
      <c r="I17" s="521"/>
      <c r="J17" s="528">
        <f t="shared" si="0"/>
        <v>2874555.59</v>
      </c>
      <c r="K17" s="521"/>
      <c r="L17" s="601">
        <v>21651.98</v>
      </c>
      <c r="N17" s="601">
        <v>4069722.76</v>
      </c>
      <c r="O17" s="601">
        <v>126906.68</v>
      </c>
      <c r="P17" s="601">
        <v>1195167.17</v>
      </c>
      <c r="Q17" s="528">
        <f t="shared" si="1"/>
        <v>2874555.59</v>
      </c>
      <c r="R17" s="527"/>
      <c r="S17" s="528"/>
      <c r="T17" s="527"/>
      <c r="U17" s="528"/>
    </row>
    <row r="18" spans="1:21" ht="15.75" x14ac:dyDescent="0.25">
      <c r="A18" s="599" t="s">
        <v>610</v>
      </c>
      <c r="B18" s="602"/>
      <c r="C18" s="521"/>
      <c r="D18" s="601">
        <v>29681308.239999998</v>
      </c>
      <c r="E18" s="521"/>
      <c r="F18" s="601">
        <v>6291926.1500000004</v>
      </c>
      <c r="G18" s="521"/>
      <c r="H18" s="601">
        <v>78771684.299999997</v>
      </c>
      <c r="I18" s="521"/>
      <c r="J18" s="528">
        <f t="shared" si="0"/>
        <v>5431952.6299999999</v>
      </c>
      <c r="K18" s="521"/>
      <c r="L18" s="601">
        <v>80327.710000000006</v>
      </c>
      <c r="N18" s="601">
        <v>6477723.9100000001</v>
      </c>
      <c r="O18" s="601">
        <v>2964415.97</v>
      </c>
      <c r="P18" s="601">
        <v>1045771.28</v>
      </c>
      <c r="Q18" s="528">
        <f t="shared" si="1"/>
        <v>5431952.6299999999</v>
      </c>
      <c r="R18" s="527"/>
      <c r="S18" s="528"/>
      <c r="T18" s="527"/>
      <c r="U18" s="528"/>
    </row>
    <row r="19" spans="1:21" ht="15.75" x14ac:dyDescent="0.25">
      <c r="A19" s="599" t="s">
        <v>611</v>
      </c>
      <c r="B19" s="600">
        <v>2008</v>
      </c>
      <c r="C19" s="521"/>
      <c r="D19" s="603">
        <f>28867534.68+561254.26+132900.46</f>
        <v>29561689.400000002</v>
      </c>
      <c r="E19" s="521"/>
      <c r="F19" s="603">
        <v>6202308.3700000001</v>
      </c>
      <c r="G19" s="521"/>
      <c r="H19" s="603">
        <f>74080.09+55206363.86+10901007.93+5968684.38+79022.66+95473.24+383402.91</f>
        <v>72708035.069999993</v>
      </c>
      <c r="I19" s="521"/>
      <c r="J19" s="603">
        <f t="shared" si="0"/>
        <v>4937527.790000001</v>
      </c>
      <c r="K19" s="521"/>
      <c r="L19" s="603">
        <f>298.95+74120.33</f>
        <v>74419.28</v>
      </c>
      <c r="N19" s="603">
        <f>2641114.2+896375.39+75000+25896.39+2195517.2</f>
        <v>5833903.1800000006</v>
      </c>
      <c r="O19" s="603">
        <v>2641114.2000000002</v>
      </c>
      <c r="P19" s="603">
        <v>896375.39</v>
      </c>
      <c r="Q19" s="528">
        <f t="shared" si="1"/>
        <v>4937527.790000001</v>
      </c>
      <c r="R19" s="527"/>
      <c r="S19" s="528"/>
      <c r="T19" s="527"/>
      <c r="U19" s="528"/>
    </row>
    <row r="20" spans="1:21" ht="15.75" x14ac:dyDescent="0.25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N20" s="521"/>
      <c r="O20" s="521"/>
      <c r="P20" s="521"/>
      <c r="Q20" s="517"/>
      <c r="R20" s="517"/>
      <c r="S20" s="517"/>
      <c r="T20" s="517"/>
      <c r="U20" s="517"/>
    </row>
    <row r="21" spans="1:21" ht="16.5" thickBot="1" x14ac:dyDescent="0.3">
      <c r="A21" s="599" t="s">
        <v>56</v>
      </c>
      <c r="B21" s="521"/>
      <c r="C21" s="521"/>
      <c r="D21" s="532">
        <f>SUM(D7:D19)</f>
        <v>371425854.56000006</v>
      </c>
      <c r="E21" s="521"/>
      <c r="F21" s="532">
        <f>SUM(F7:F19)</f>
        <v>83246309.870000005</v>
      </c>
      <c r="G21" s="521"/>
      <c r="H21" s="532">
        <f>SUM(H7:H19)</f>
        <v>707886288.79999995</v>
      </c>
      <c r="I21" s="521"/>
      <c r="J21" s="532">
        <f>SUM(J7:J19)</f>
        <v>45721626.850000009</v>
      </c>
      <c r="K21" s="521"/>
      <c r="L21" s="532">
        <f>SUM(L7:L19)</f>
        <v>2275510.5499999998</v>
      </c>
      <c r="N21" s="532">
        <f>SUM(N7:N19)</f>
        <v>56474221.57</v>
      </c>
      <c r="O21" s="532">
        <f>SUM(O7:O19)</f>
        <v>21969326.129999999</v>
      </c>
      <c r="P21" s="532">
        <f>SUM(P7:P19)</f>
        <v>10752594.720000001</v>
      </c>
      <c r="Q21" s="517"/>
      <c r="R21" s="517"/>
      <c r="S21" s="517"/>
      <c r="T21" s="517"/>
      <c r="U21" s="517"/>
    </row>
    <row r="22" spans="1:21" ht="16.5" thickTop="1" x14ac:dyDescent="0.25">
      <c r="A22" s="599" t="s">
        <v>57</v>
      </c>
      <c r="B22" s="521"/>
      <c r="C22" s="521"/>
      <c r="D22" s="533">
        <f>ROUND(D21/13,0)</f>
        <v>28571220</v>
      </c>
      <c r="E22" s="521"/>
      <c r="F22" s="533">
        <f>ROUND(F21/13,0)</f>
        <v>6403562</v>
      </c>
      <c r="G22" s="521"/>
      <c r="H22" s="533">
        <f>ROUND(H21/13,0)</f>
        <v>54452791</v>
      </c>
      <c r="I22" s="521"/>
      <c r="J22" s="533">
        <f>ROUND(J21/13,0)</f>
        <v>3517048</v>
      </c>
      <c r="K22" s="521"/>
      <c r="L22" s="533">
        <f>ROUND(L21/13,0)</f>
        <v>175039</v>
      </c>
      <c r="N22" s="533">
        <f>ROUND(N21/13,0)</f>
        <v>4344171</v>
      </c>
      <c r="O22" s="533">
        <f>ROUND(O21/13,0)</f>
        <v>1689948</v>
      </c>
      <c r="P22" s="533">
        <f>ROUND(P21/13,0)</f>
        <v>827123</v>
      </c>
      <c r="Q22" s="517"/>
      <c r="R22" s="517"/>
      <c r="S22" s="517"/>
      <c r="T22" s="517"/>
      <c r="U22" s="517"/>
    </row>
    <row r="23" spans="1:21" ht="15.75" x14ac:dyDescent="0.25">
      <c r="A23" s="521"/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N23" s="521"/>
      <c r="O23" s="521"/>
      <c r="P23" s="521"/>
      <c r="Q23" s="517"/>
      <c r="R23" s="517"/>
      <c r="S23" s="517"/>
      <c r="T23" s="517"/>
      <c r="U23" s="517"/>
    </row>
    <row r="24" spans="1:21" ht="15.75" x14ac:dyDescent="0.25">
      <c r="A24" s="521"/>
      <c r="B24" s="521"/>
      <c r="C24" s="521"/>
      <c r="D24" s="534" t="s">
        <v>58</v>
      </c>
      <c r="E24" s="534"/>
      <c r="F24" s="534" t="s">
        <v>59</v>
      </c>
      <c r="G24" s="534"/>
      <c r="H24" s="534" t="s">
        <v>60</v>
      </c>
      <c r="I24" s="534"/>
      <c r="J24" s="534" t="s">
        <v>61</v>
      </c>
      <c r="K24" s="534"/>
      <c r="L24" s="534" t="s">
        <v>590</v>
      </c>
      <c r="N24" s="534" t="s">
        <v>61</v>
      </c>
      <c r="O24" s="534" t="s">
        <v>61</v>
      </c>
      <c r="P24" s="534" t="s">
        <v>61</v>
      </c>
      <c r="Q24" s="517"/>
      <c r="R24" s="517"/>
      <c r="S24" s="517"/>
      <c r="T24" s="517"/>
      <c r="U24" s="517"/>
    </row>
    <row r="25" spans="1:21" s="536" customFormat="1" ht="15.75" x14ac:dyDescent="0.25">
      <c r="A25" s="521" t="s">
        <v>62</v>
      </c>
      <c r="B25" s="521"/>
      <c r="C25" s="521"/>
      <c r="D25" s="535">
        <f>J38</f>
        <v>0.86237499999999989</v>
      </c>
      <c r="E25" s="521"/>
      <c r="F25" s="535">
        <v>0.86237505167983908</v>
      </c>
      <c r="G25" s="535"/>
      <c r="H25" s="535">
        <v>0.86874751110933823</v>
      </c>
      <c r="I25" s="535"/>
      <c r="J25" s="535">
        <v>0.8799271015829998</v>
      </c>
      <c r="K25" s="535"/>
      <c r="L25" s="535">
        <v>0.86779762345531131</v>
      </c>
      <c r="N25" s="535">
        <v>0.8799271015829998</v>
      </c>
      <c r="O25" s="535">
        <v>0.8799271015829998</v>
      </c>
      <c r="P25" s="535">
        <v>0.8799271015829998</v>
      </c>
      <c r="Q25" s="537"/>
      <c r="R25" s="537"/>
      <c r="S25" s="537"/>
      <c r="T25" s="537"/>
      <c r="U25" s="537"/>
    </row>
    <row r="26" spans="1:21" ht="15.75" x14ac:dyDescent="0.25">
      <c r="A26" s="521"/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N26" s="521"/>
      <c r="O26" s="521"/>
      <c r="P26" s="521"/>
      <c r="Q26" s="517"/>
      <c r="R26" s="517"/>
      <c r="S26" s="517"/>
      <c r="T26" s="517"/>
      <c r="U26" s="517"/>
    </row>
    <row r="27" spans="1:21" ht="16.5" thickBot="1" x14ac:dyDescent="0.3">
      <c r="A27" s="521" t="s">
        <v>63</v>
      </c>
      <c r="B27" s="521"/>
      <c r="C27" s="521"/>
      <c r="D27" s="532">
        <f>ROUND(D22*D25,0)</f>
        <v>24639106</v>
      </c>
      <c r="E27" s="521"/>
      <c r="F27" s="532">
        <f>ROUND(F22*F25,0)</f>
        <v>5522272</v>
      </c>
      <c r="G27" s="521"/>
      <c r="H27" s="532">
        <f>ROUND(H22*H25,0)</f>
        <v>47305727</v>
      </c>
      <c r="I27" s="521"/>
      <c r="J27" s="532">
        <f>ROUND(J22*J25,0)</f>
        <v>3094746</v>
      </c>
      <c r="K27" s="521"/>
      <c r="L27" s="532">
        <f>ROUND(L22*L25,0)</f>
        <v>151898</v>
      </c>
      <c r="N27" s="532">
        <f>ROUND(N22*N25,0)</f>
        <v>3822554</v>
      </c>
      <c r="O27" s="532">
        <f>ROUND(O22*O25,0)</f>
        <v>1487031</v>
      </c>
      <c r="P27" s="532">
        <f>ROUND(P22*P25,0)</f>
        <v>727808</v>
      </c>
      <c r="Q27" s="517"/>
      <c r="R27" s="517"/>
      <c r="S27" s="517"/>
      <c r="T27" s="517"/>
      <c r="U27" s="517"/>
    </row>
    <row r="28" spans="1:21" ht="16.5" thickTop="1" x14ac:dyDescent="0.25">
      <c r="A28" s="521"/>
      <c r="B28" s="521"/>
      <c r="C28" s="521"/>
      <c r="D28" s="533"/>
      <c r="E28" s="521"/>
      <c r="F28" s="533"/>
      <c r="G28" s="521"/>
      <c r="H28" s="533"/>
      <c r="I28" s="521"/>
      <c r="J28" s="533"/>
      <c r="K28" s="521"/>
      <c r="L28" s="533"/>
      <c r="N28" s="533"/>
      <c r="O28" s="533"/>
      <c r="P28" s="533"/>
    </row>
    <row r="29" spans="1:21" ht="15.75" x14ac:dyDescent="0.25">
      <c r="A29" s="521"/>
      <c r="B29" s="521"/>
      <c r="C29" s="521"/>
      <c r="D29" s="533"/>
      <c r="E29" s="521"/>
      <c r="F29" s="533"/>
      <c r="G29" s="521"/>
      <c r="H29" s="533"/>
      <c r="I29" s="521"/>
      <c r="J29" s="533"/>
      <c r="K29" s="521"/>
      <c r="L29" s="533"/>
      <c r="N29" s="533"/>
      <c r="O29" s="533"/>
      <c r="P29" s="533"/>
    </row>
    <row r="30" spans="1:21" ht="15.75" x14ac:dyDescent="0.25">
      <c r="A30" s="521" t="s">
        <v>64</v>
      </c>
      <c r="B30" s="521"/>
      <c r="C30" s="521"/>
      <c r="D30" s="533"/>
      <c r="E30" s="521"/>
      <c r="F30" s="533"/>
      <c r="G30" s="521"/>
      <c r="H30" s="533"/>
      <c r="I30" s="521"/>
      <c r="J30" s="533"/>
      <c r="K30" s="521"/>
      <c r="L30" s="533"/>
      <c r="N30" s="533"/>
      <c r="O30" s="533"/>
      <c r="P30" s="533"/>
    </row>
    <row r="31" spans="1:21" ht="15.75" x14ac:dyDescent="0.25">
      <c r="A31" s="521" t="s">
        <v>65</v>
      </c>
      <c r="B31" s="521"/>
      <c r="C31" s="521"/>
      <c r="D31" s="533"/>
      <c r="E31" s="521"/>
      <c r="F31" s="533"/>
      <c r="G31" s="521"/>
      <c r="H31" s="533"/>
      <c r="I31" s="521"/>
      <c r="J31" s="533"/>
      <c r="K31" s="521"/>
      <c r="L31" s="533"/>
      <c r="N31" s="533"/>
      <c r="O31" s="533"/>
      <c r="P31" s="533"/>
    </row>
    <row r="32" spans="1:21" ht="15.75" x14ac:dyDescent="0.25">
      <c r="A32" s="521"/>
      <c r="B32" s="521"/>
      <c r="C32" s="521"/>
      <c r="D32" s="533"/>
      <c r="E32" s="521"/>
      <c r="F32" s="533"/>
      <c r="G32" s="521"/>
      <c r="H32" s="533"/>
      <c r="I32" s="521"/>
      <c r="J32" s="533"/>
      <c r="K32" s="521"/>
      <c r="L32" s="533"/>
      <c r="N32" s="533"/>
      <c r="O32" s="533"/>
      <c r="P32" s="533"/>
    </row>
    <row r="33" spans="1:17" ht="15.75" x14ac:dyDescent="0.25">
      <c r="A33" s="521"/>
      <c r="B33" s="538" t="s">
        <v>584</v>
      </c>
      <c r="C33" s="521"/>
      <c r="D33" s="539" t="s">
        <v>34</v>
      </c>
      <c r="E33" s="534"/>
      <c r="F33" s="539" t="s">
        <v>66</v>
      </c>
      <c r="G33" s="534"/>
      <c r="H33" s="539" t="s">
        <v>66</v>
      </c>
      <c r="I33" s="534"/>
      <c r="J33" s="539" t="s">
        <v>67</v>
      </c>
      <c r="K33" s="534"/>
      <c r="L33" s="540"/>
      <c r="N33" s="539"/>
      <c r="O33" s="540"/>
      <c r="P33" s="540"/>
    </row>
    <row r="34" spans="1:17" ht="16.5" thickBot="1" x14ac:dyDescent="0.3">
      <c r="A34" s="521"/>
      <c r="B34" s="541" t="s">
        <v>68</v>
      </c>
      <c r="C34" s="521"/>
      <c r="D34" s="542" t="s">
        <v>69</v>
      </c>
      <c r="E34" s="534"/>
      <c r="F34" s="542" t="s">
        <v>70</v>
      </c>
      <c r="G34" s="534"/>
      <c r="H34" s="542" t="s">
        <v>71</v>
      </c>
      <c r="I34" s="534"/>
      <c r="J34" s="542" t="s">
        <v>72</v>
      </c>
      <c r="K34" s="534"/>
      <c r="L34" s="540"/>
      <c r="N34" s="540"/>
      <c r="O34" s="540"/>
      <c r="P34" s="540"/>
    </row>
    <row r="35" spans="1:17" ht="15.75" x14ac:dyDescent="0.25">
      <c r="A35" s="521" t="s">
        <v>73</v>
      </c>
      <c r="B35" s="543">
        <v>19657311.366213843</v>
      </c>
      <c r="C35" s="521"/>
      <c r="D35" s="544">
        <f>ROUND(B35/$B$38,5)</f>
        <v>0.66496</v>
      </c>
      <c r="E35" s="521"/>
      <c r="F35" s="539" t="s">
        <v>74</v>
      </c>
      <c r="G35" s="521"/>
      <c r="H35" s="535">
        <v>0.85868251245383942</v>
      </c>
      <c r="I35" s="521"/>
      <c r="J35" s="535">
        <f>ROUND(D35*H35,6)</f>
        <v>0.57099</v>
      </c>
      <c r="K35" s="521"/>
      <c r="L35" s="545"/>
      <c r="N35" s="545"/>
      <c r="O35" s="545"/>
      <c r="P35" s="545"/>
      <c r="Q35" s="517"/>
    </row>
    <row r="36" spans="1:17" ht="15.75" x14ac:dyDescent="0.25">
      <c r="A36" s="521" t="s">
        <v>75</v>
      </c>
      <c r="B36" s="546">
        <v>4984767.699543356</v>
      </c>
      <c r="C36" s="521"/>
      <c r="D36" s="544">
        <f>ROUND(B36/$B$38,5)</f>
        <v>0.16861999999999999</v>
      </c>
      <c r="E36" s="521"/>
      <c r="F36" s="539" t="s">
        <v>76</v>
      </c>
      <c r="G36" s="521"/>
      <c r="H36" s="535">
        <v>0.80323982592278498</v>
      </c>
      <c r="I36" s="521"/>
      <c r="J36" s="535">
        <f>ROUND(D36*H36,6)</f>
        <v>0.13544200000000001</v>
      </c>
      <c r="K36" s="521"/>
      <c r="L36" s="545"/>
      <c r="N36" s="545"/>
      <c r="O36" s="545"/>
      <c r="P36" s="545"/>
      <c r="Q36" s="517"/>
    </row>
    <row r="37" spans="1:17" ht="15.75" x14ac:dyDescent="0.25">
      <c r="A37" s="521" t="s">
        <v>77</v>
      </c>
      <c r="B37" s="547">
        <v>4919610.3382072151</v>
      </c>
      <c r="C37" s="521"/>
      <c r="D37" s="544">
        <f>ROUND(B37/$B$38,5)</f>
        <v>0.16642000000000001</v>
      </c>
      <c r="E37" s="521"/>
      <c r="F37" s="539" t="s">
        <v>78</v>
      </c>
      <c r="G37" s="521"/>
      <c r="H37" s="535">
        <v>0.93704620088591528</v>
      </c>
      <c r="I37" s="521"/>
      <c r="J37" s="548">
        <f>ROUND(D37*H37,6)</f>
        <v>0.155943</v>
      </c>
      <c r="K37" s="521"/>
      <c r="L37" s="545"/>
      <c r="N37" s="545"/>
      <c r="O37" s="545"/>
      <c r="P37" s="545"/>
      <c r="Q37" s="517"/>
    </row>
    <row r="38" spans="1:17" ht="16.5" thickBot="1" x14ac:dyDescent="0.3">
      <c r="A38" s="521" t="s">
        <v>79</v>
      </c>
      <c r="B38" s="533">
        <f>SUM(B35:B37)</f>
        <v>29561689.403964415</v>
      </c>
      <c r="C38" s="521"/>
      <c r="D38" s="549"/>
      <c r="E38" s="521"/>
      <c r="F38" s="533"/>
      <c r="G38" s="521"/>
      <c r="H38" s="533"/>
      <c r="I38" s="521"/>
      <c r="J38" s="550">
        <f>SUM(J35:J37)</f>
        <v>0.86237499999999989</v>
      </c>
      <c r="K38" s="521"/>
      <c r="L38" s="545"/>
      <c r="N38" s="545"/>
      <c r="O38" s="545"/>
      <c r="P38" s="545"/>
      <c r="Q38" s="517"/>
    </row>
    <row r="39" spans="1:17" ht="16.5" thickTop="1" x14ac:dyDescent="0.25">
      <c r="A39" s="521"/>
      <c r="B39" s="521"/>
      <c r="C39" s="521"/>
      <c r="D39" s="533"/>
      <c r="E39" s="521"/>
      <c r="F39" s="533"/>
      <c r="G39" s="521"/>
      <c r="H39" s="533"/>
      <c r="I39" s="521"/>
      <c r="J39" s="533"/>
      <c r="K39" s="521"/>
      <c r="L39" s="533"/>
      <c r="N39" s="551"/>
      <c r="O39" s="533"/>
      <c r="P39" s="533"/>
    </row>
    <row r="40" spans="1:17" ht="15.75" x14ac:dyDescent="0.25">
      <c r="A40" s="521"/>
      <c r="B40" s="521"/>
      <c r="C40" s="521"/>
      <c r="D40" s="533"/>
      <c r="E40" s="521"/>
      <c r="F40" s="533"/>
      <c r="G40" s="521"/>
      <c r="H40" s="533"/>
      <c r="I40" s="521"/>
      <c r="J40" s="533"/>
      <c r="K40" s="521"/>
      <c r="L40" s="533"/>
      <c r="N40" s="533"/>
      <c r="O40" s="533"/>
      <c r="P40" s="533"/>
    </row>
    <row r="41" spans="1:17" ht="15.75" x14ac:dyDescent="0.25">
      <c r="A41" s="521" t="s">
        <v>621</v>
      </c>
      <c r="B41" s="521"/>
      <c r="C41" s="521"/>
      <c r="D41" s="533"/>
      <c r="E41" s="521"/>
      <c r="F41" s="533"/>
      <c r="G41" s="521"/>
      <c r="H41" s="533"/>
      <c r="I41" s="521"/>
      <c r="J41" s="533"/>
      <c r="K41" s="521"/>
      <c r="L41" s="533"/>
      <c r="N41" s="533"/>
      <c r="O41" s="533"/>
      <c r="P41" s="533"/>
    </row>
    <row r="42" spans="1:17" x14ac:dyDescent="0.2">
      <c r="A42" s="516" t="s">
        <v>80</v>
      </c>
    </row>
    <row r="43" spans="1:17" x14ac:dyDescent="0.2">
      <c r="B43" s="517"/>
    </row>
    <row r="44" spans="1:17" ht="15.75" x14ac:dyDescent="0.25">
      <c r="B44" s="528"/>
    </row>
    <row r="45" spans="1:17" ht="15.75" x14ac:dyDescent="0.25">
      <c r="B45" s="528"/>
    </row>
    <row r="46" spans="1:17" x14ac:dyDescent="0.2">
      <c r="B46" s="517"/>
    </row>
    <row r="47" spans="1:17" x14ac:dyDescent="0.2">
      <c r="B47" s="517"/>
    </row>
  </sheetData>
  <mergeCells count="2">
    <mergeCell ref="A1:L1"/>
    <mergeCell ref="A2:L2"/>
  </mergeCells>
  <phoneticPr fontId="0" type="noConversion"/>
  <printOptions horizontalCentered="1"/>
  <pageMargins left="0.75" right="0.75" top="1" bottom="1" header="0.5" footer="0.5"/>
  <pageSetup scale="74" orientation="landscape" blackAndWhite="1" r:id="rId1"/>
  <headerFooter alignWithMargins="0">
    <oddHeader xml:space="preserve">&amp;L&amp;"Arial,Bold Italic"Provided by Doug Leichty, Rates Dept.&amp;R&amp;"Times New Roman,Bold"&amp;12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7"/>
  <sheetViews>
    <sheetView zoomScale="75" zoomScaleNormal="75" workbookViewId="0">
      <selection activeCell="D10" sqref="D10"/>
    </sheetView>
  </sheetViews>
  <sheetFormatPr defaultRowHeight="12.75" x14ac:dyDescent="0.2"/>
  <cols>
    <col min="1" max="1" width="30.7109375" style="290" customWidth="1"/>
    <col min="2" max="2" width="14.7109375" style="290" customWidth="1"/>
    <col min="3" max="3" width="3.7109375" style="290" customWidth="1"/>
    <col min="4" max="4" width="14.7109375" style="290" customWidth="1"/>
    <col min="5" max="5" width="3.7109375" style="290" customWidth="1"/>
    <col min="6" max="6" width="16" style="290" customWidth="1"/>
    <col min="7" max="7" width="3.7109375" style="290" customWidth="1"/>
    <col min="8" max="8" width="14.7109375" style="290" customWidth="1"/>
    <col min="9" max="9" width="3.7109375" style="290" customWidth="1"/>
    <col min="10" max="10" width="14.7109375" style="290" customWidth="1"/>
    <col min="11" max="12" width="9.140625" style="290"/>
    <col min="13" max="13" width="12" style="290" bestFit="1" customWidth="1"/>
    <col min="14" max="16384" width="9.140625" style="290"/>
  </cols>
  <sheetData>
    <row r="1" spans="1:11" ht="15.75" x14ac:dyDescent="0.25">
      <c r="A1" s="840" t="s">
        <v>21</v>
      </c>
      <c r="B1" s="840"/>
      <c r="C1" s="840"/>
      <c r="D1" s="840"/>
      <c r="E1" s="840"/>
      <c r="F1" s="840"/>
      <c r="G1" s="840"/>
      <c r="H1" s="840"/>
      <c r="I1" s="840"/>
      <c r="J1" s="840"/>
    </row>
    <row r="2" spans="1:11" ht="15.75" x14ac:dyDescent="0.25">
      <c r="A2" s="840" t="s">
        <v>47</v>
      </c>
      <c r="B2" s="840"/>
      <c r="C2" s="840"/>
      <c r="D2" s="840"/>
      <c r="E2" s="840"/>
      <c r="F2" s="840"/>
      <c r="G2" s="840"/>
      <c r="H2" s="840"/>
      <c r="I2" s="840"/>
      <c r="J2" s="840"/>
    </row>
    <row r="3" spans="1:11" ht="15.75" x14ac:dyDescent="0.25">
      <c r="A3" s="552"/>
      <c r="B3" s="552"/>
      <c r="C3" s="552"/>
      <c r="D3" s="552"/>
      <c r="E3" s="552"/>
      <c r="F3" s="552"/>
      <c r="G3" s="552"/>
      <c r="H3" s="552"/>
      <c r="I3" s="552"/>
      <c r="J3" s="552"/>
    </row>
    <row r="4" spans="1:11" ht="15.75" x14ac:dyDescent="0.25">
      <c r="A4" s="552"/>
      <c r="B4" s="552"/>
      <c r="C4" s="552"/>
      <c r="D4" s="553" t="s">
        <v>48</v>
      </c>
      <c r="E4" s="552"/>
      <c r="F4" s="553" t="s">
        <v>49</v>
      </c>
      <c r="G4" s="552"/>
      <c r="H4" s="553" t="s">
        <v>50</v>
      </c>
      <c r="I4" s="552"/>
      <c r="J4" s="553" t="s">
        <v>51</v>
      </c>
    </row>
    <row r="5" spans="1:11" ht="16.5" thickBot="1" x14ac:dyDescent="0.3">
      <c r="A5" s="552"/>
      <c r="B5" s="552"/>
      <c r="C5" s="552"/>
      <c r="D5" s="554" t="s">
        <v>52</v>
      </c>
      <c r="E5" s="552"/>
      <c r="F5" s="554" t="s">
        <v>53</v>
      </c>
      <c r="G5" s="552"/>
      <c r="H5" s="554" t="s">
        <v>54</v>
      </c>
      <c r="I5" s="552"/>
      <c r="J5" s="554" t="s">
        <v>55</v>
      </c>
    </row>
    <row r="6" spans="1:11" ht="15.75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1" ht="15.75" x14ac:dyDescent="0.25">
      <c r="A7" s="604" t="s">
        <v>611</v>
      </c>
      <c r="B7" s="605">
        <v>2006</v>
      </c>
      <c r="C7" s="24"/>
      <c r="D7" s="461">
        <v>26214896.640000001</v>
      </c>
      <c r="E7" s="24"/>
      <c r="F7" s="461">
        <v>6386539.0300000003</v>
      </c>
      <c r="G7" s="24"/>
      <c r="H7" s="461">
        <v>64221478.600000001</v>
      </c>
      <c r="I7" s="24"/>
      <c r="J7" s="461">
        <v>2770086.24</v>
      </c>
      <c r="K7" s="24"/>
    </row>
    <row r="8" spans="1:11" ht="15.75" x14ac:dyDescent="0.25">
      <c r="A8" s="604" t="s">
        <v>612</v>
      </c>
      <c r="B8" s="605">
        <v>2007</v>
      </c>
      <c r="C8" s="24"/>
      <c r="D8" s="461">
        <v>25984937.840608325</v>
      </c>
      <c r="E8" s="24"/>
      <c r="F8" s="461">
        <v>6272850.46</v>
      </c>
      <c r="G8" s="24"/>
      <c r="H8" s="461">
        <v>59359781.200000003</v>
      </c>
      <c r="I8" s="24"/>
      <c r="J8" s="461">
        <v>3144846.09</v>
      </c>
      <c r="K8" s="24"/>
    </row>
    <row r="9" spans="1:11" ht="15.75" x14ac:dyDescent="0.25">
      <c r="A9" s="604" t="s">
        <v>613</v>
      </c>
      <c r="B9" s="606"/>
      <c r="C9" s="24"/>
      <c r="D9" s="461">
        <v>25785335.643960953</v>
      </c>
      <c r="E9" s="24"/>
      <c r="F9" s="461">
        <v>6166855.79</v>
      </c>
      <c r="G9" s="24"/>
      <c r="H9" s="461">
        <v>49234107.380000003</v>
      </c>
      <c r="I9" s="24"/>
      <c r="J9" s="461">
        <v>2788784.59</v>
      </c>
      <c r="K9" s="24"/>
    </row>
    <row r="10" spans="1:11" ht="15.75" x14ac:dyDescent="0.25">
      <c r="A10" s="604" t="s">
        <v>614</v>
      </c>
      <c r="B10" s="606"/>
      <c r="C10" s="24"/>
      <c r="D10" s="461">
        <v>25730976.076607995</v>
      </c>
      <c r="E10" s="24"/>
      <c r="F10" s="461">
        <v>6159824.2800000003</v>
      </c>
      <c r="G10" s="24"/>
      <c r="H10" s="461">
        <v>54727427.909999996</v>
      </c>
      <c r="I10" s="24"/>
      <c r="J10" s="461">
        <v>2454504.41</v>
      </c>
      <c r="K10" s="24"/>
    </row>
    <row r="11" spans="1:11" ht="15.75" x14ac:dyDescent="0.25">
      <c r="A11" s="604" t="s">
        <v>615</v>
      </c>
      <c r="B11" s="606"/>
      <c r="C11" s="24"/>
      <c r="D11" s="461">
        <v>25442017.338109095</v>
      </c>
      <c r="E11" s="24"/>
      <c r="F11" s="461">
        <v>6079526.7599999998</v>
      </c>
      <c r="G11" s="24"/>
      <c r="H11" s="461">
        <v>62663137.350000001</v>
      </c>
      <c r="I11" s="24"/>
      <c r="J11" s="461">
        <v>2120224.23</v>
      </c>
      <c r="K11" s="24"/>
    </row>
    <row r="12" spans="1:11" ht="15.75" x14ac:dyDescent="0.25">
      <c r="A12" s="604" t="s">
        <v>616</v>
      </c>
      <c r="B12" s="606"/>
      <c r="C12" s="24"/>
      <c r="D12" s="461">
        <v>25507331.364690185</v>
      </c>
      <c r="E12" s="24"/>
      <c r="F12" s="461">
        <v>6070638.7800000003</v>
      </c>
      <c r="G12" s="24"/>
      <c r="H12" s="461">
        <v>68536308.349999994</v>
      </c>
      <c r="I12" s="24"/>
      <c r="J12" s="461">
        <v>1785944.05</v>
      </c>
      <c r="K12" s="24"/>
    </row>
    <row r="13" spans="1:11" ht="15.75" x14ac:dyDescent="0.25">
      <c r="A13" s="604" t="s">
        <v>617</v>
      </c>
      <c r="B13" s="606"/>
      <c r="C13" s="24"/>
      <c r="D13" s="461">
        <v>25762470.863665853</v>
      </c>
      <c r="E13" s="24"/>
      <c r="F13" s="461">
        <v>6260839.2599999998</v>
      </c>
      <c r="G13" s="24"/>
      <c r="H13" s="461">
        <v>67016275.939999998</v>
      </c>
      <c r="I13" s="24"/>
      <c r="J13" s="461">
        <v>1456929.54</v>
      </c>
      <c r="K13" s="24"/>
    </row>
    <row r="14" spans="1:11" ht="15.75" x14ac:dyDescent="0.25">
      <c r="A14" s="604" t="s">
        <v>618</v>
      </c>
      <c r="B14" s="606"/>
      <c r="C14" s="24"/>
      <c r="D14" s="461">
        <v>25929810.538602576</v>
      </c>
      <c r="E14" s="24"/>
      <c r="F14" s="461">
        <v>6294405.5499999998</v>
      </c>
      <c r="G14" s="24"/>
      <c r="H14" s="461">
        <v>63592591.119999997</v>
      </c>
      <c r="I14" s="24"/>
      <c r="J14" s="461">
        <v>1121771.75</v>
      </c>
      <c r="K14" s="24"/>
    </row>
    <row r="15" spans="1:11" ht="15.75" x14ac:dyDescent="0.25">
      <c r="A15" s="604" t="s">
        <v>619</v>
      </c>
      <c r="B15" s="606"/>
      <c r="C15" s="24"/>
      <c r="D15" s="461">
        <v>26475808.41</v>
      </c>
      <c r="E15" s="24"/>
      <c r="F15" s="461">
        <v>6358651.4299999997</v>
      </c>
      <c r="G15" s="24"/>
      <c r="H15" s="461">
        <v>60806232.25</v>
      </c>
      <c r="I15" s="24"/>
      <c r="J15" s="461">
        <v>786613.96</v>
      </c>
      <c r="K15" s="24"/>
    </row>
    <row r="16" spans="1:11" ht="15.75" x14ac:dyDescent="0.25">
      <c r="A16" s="604" t="s">
        <v>620</v>
      </c>
      <c r="B16" s="606"/>
      <c r="C16" s="24"/>
      <c r="D16" s="461">
        <v>26405650.294674106</v>
      </c>
      <c r="E16" s="24"/>
      <c r="F16" s="461">
        <v>6557506.46</v>
      </c>
      <c r="G16" s="24"/>
      <c r="H16" s="461">
        <v>48956337.990000002</v>
      </c>
      <c r="I16" s="24"/>
      <c r="J16" s="461">
        <v>451456.17</v>
      </c>
    </row>
    <row r="17" spans="1:10" ht="15.75" x14ac:dyDescent="0.25">
      <c r="A17" s="604" t="s">
        <v>609</v>
      </c>
      <c r="B17" s="606"/>
      <c r="C17" s="24"/>
      <c r="D17" s="461">
        <v>26307053.779641356</v>
      </c>
      <c r="E17" s="24"/>
      <c r="F17" s="461">
        <v>6569540.1399999997</v>
      </c>
      <c r="G17" s="24"/>
      <c r="H17" s="461">
        <v>55304779.030000001</v>
      </c>
      <c r="I17" s="24"/>
      <c r="J17" s="461">
        <v>116298.34</v>
      </c>
    </row>
    <row r="18" spans="1:10" ht="15.75" x14ac:dyDescent="0.25">
      <c r="A18" s="604" t="s">
        <v>610</v>
      </c>
      <c r="B18" s="606"/>
      <c r="C18" s="24"/>
      <c r="D18" s="461">
        <v>26405831.046557259</v>
      </c>
      <c r="E18" s="24"/>
      <c r="F18" s="461">
        <v>6404130.1200000001</v>
      </c>
      <c r="G18" s="24"/>
      <c r="H18" s="461">
        <v>52764896.359999999</v>
      </c>
      <c r="I18" s="24"/>
      <c r="J18" s="461">
        <v>2429887.2000000002</v>
      </c>
    </row>
    <row r="19" spans="1:10" ht="15.75" x14ac:dyDescent="0.25">
      <c r="A19" s="604" t="s">
        <v>611</v>
      </c>
      <c r="B19" s="605">
        <v>2007</v>
      </c>
      <c r="C19" s="24"/>
      <c r="D19" s="462">
        <v>27370026.449999999</v>
      </c>
      <c r="E19" s="24"/>
      <c r="F19" s="462">
        <v>6454807.6299999999</v>
      </c>
      <c r="G19" s="24"/>
      <c r="H19" s="462">
        <v>41770627.770000003</v>
      </c>
      <c r="I19" s="24"/>
      <c r="J19" s="462">
        <v>2260935.06</v>
      </c>
    </row>
    <row r="20" spans="1:10" ht="15.75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6.5" thickBot="1" x14ac:dyDescent="0.3">
      <c r="A21" s="604" t="s">
        <v>56</v>
      </c>
      <c r="B21" s="24"/>
      <c r="C21" s="24"/>
      <c r="D21" s="555">
        <f>SUM(D7:D19)</f>
        <v>339322146.28711766</v>
      </c>
      <c r="E21" s="24"/>
      <c r="F21" s="555">
        <f>SUM(F7:F19)</f>
        <v>82036115.689999998</v>
      </c>
      <c r="G21" s="24"/>
      <c r="H21" s="555">
        <f>SUM(H7:H19)</f>
        <v>748953981.24999988</v>
      </c>
      <c r="I21" s="24"/>
      <c r="J21" s="555">
        <f>SUM(J7:J19)</f>
        <v>23688281.630000003</v>
      </c>
    </row>
    <row r="22" spans="1:10" ht="16.5" thickTop="1" x14ac:dyDescent="0.25">
      <c r="A22" s="604" t="s">
        <v>57</v>
      </c>
      <c r="B22" s="24"/>
      <c r="C22" s="24"/>
      <c r="D22" s="556">
        <f>ROUND(D21/13,0)</f>
        <v>26101704</v>
      </c>
      <c r="E22" s="24"/>
      <c r="F22" s="556">
        <f>ROUND(F21/13,0)</f>
        <v>6310470</v>
      </c>
      <c r="G22" s="24"/>
      <c r="H22" s="556">
        <f>ROUND(H21/13,0)</f>
        <v>57611845</v>
      </c>
      <c r="I22" s="24"/>
      <c r="J22" s="556">
        <f>ROUND(J21/13,0)</f>
        <v>1822176</v>
      </c>
    </row>
    <row r="23" spans="1:10" ht="15.75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.75" x14ac:dyDescent="0.25">
      <c r="A24" s="24"/>
      <c r="B24" s="24"/>
      <c r="C24" s="24"/>
      <c r="D24" s="513" t="s">
        <v>58</v>
      </c>
      <c r="E24" s="513"/>
      <c r="F24" s="513" t="s">
        <v>59</v>
      </c>
      <c r="G24" s="513"/>
      <c r="H24" s="513" t="s">
        <v>60</v>
      </c>
      <c r="I24" s="513"/>
      <c r="J24" s="513" t="s">
        <v>61</v>
      </c>
    </row>
    <row r="25" spans="1:10" s="607" customFormat="1" ht="15.75" x14ac:dyDescent="0.25">
      <c r="A25" s="24" t="s">
        <v>62</v>
      </c>
      <c r="B25" s="24"/>
      <c r="C25" s="24"/>
      <c r="D25" s="514">
        <f>J38</f>
        <v>0.86408899999999988</v>
      </c>
      <c r="E25" s="24"/>
      <c r="F25" s="514">
        <v>0.86408861221775934</v>
      </c>
      <c r="G25" s="514"/>
      <c r="H25" s="514">
        <v>0.86769807784917385</v>
      </c>
      <c r="I25" s="514"/>
      <c r="J25" s="514">
        <v>0.87564530922665251</v>
      </c>
    </row>
    <row r="26" spans="1:10" ht="15.75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6.5" thickBot="1" x14ac:dyDescent="0.3">
      <c r="A27" s="24" t="s">
        <v>63</v>
      </c>
      <c r="B27" s="24"/>
      <c r="C27" s="24"/>
      <c r="D27" s="555">
        <f>ROUND(D22*D25,0)</f>
        <v>22554195</v>
      </c>
      <c r="E27" s="24"/>
      <c r="F27" s="555">
        <f>ROUND(F22*F25,0)</f>
        <v>5452805</v>
      </c>
      <c r="G27" s="24"/>
      <c r="H27" s="555">
        <f>ROUND(H22*H25,0)</f>
        <v>49989687</v>
      </c>
      <c r="I27" s="24"/>
      <c r="J27" s="555">
        <f>ROUND(J22*J25,0)</f>
        <v>1595580</v>
      </c>
    </row>
    <row r="28" spans="1:10" ht="16.5" thickTop="1" x14ac:dyDescent="0.25">
      <c r="A28" s="24"/>
      <c r="B28" s="24"/>
      <c r="C28" s="24"/>
      <c r="D28" s="556"/>
      <c r="E28" s="24"/>
      <c r="F28" s="556"/>
      <c r="G28" s="24"/>
      <c r="H28" s="556"/>
      <c r="I28" s="24"/>
      <c r="J28" s="556"/>
    </row>
    <row r="29" spans="1:10" ht="15.75" x14ac:dyDescent="0.25">
      <c r="A29" s="24"/>
      <c r="B29" s="24"/>
      <c r="C29" s="24"/>
      <c r="D29" s="556"/>
      <c r="E29" s="24"/>
      <c r="F29" s="556"/>
      <c r="G29" s="24"/>
      <c r="H29" s="556"/>
      <c r="I29" s="24"/>
      <c r="J29" s="556"/>
    </row>
    <row r="30" spans="1:10" ht="15.75" x14ac:dyDescent="0.25">
      <c r="A30" s="24" t="s">
        <v>64</v>
      </c>
      <c r="B30" s="24"/>
      <c r="C30" s="24"/>
      <c r="D30" s="556"/>
      <c r="E30" s="24"/>
      <c r="F30" s="556"/>
      <c r="G30" s="24"/>
      <c r="H30" s="556"/>
      <c r="I30" s="24"/>
      <c r="J30" s="556"/>
    </row>
    <row r="31" spans="1:10" ht="15.75" x14ac:dyDescent="0.25">
      <c r="A31" s="24" t="s">
        <v>65</v>
      </c>
      <c r="B31" s="24"/>
      <c r="C31" s="24"/>
      <c r="D31" s="556"/>
      <c r="E31" s="24"/>
      <c r="F31" s="556"/>
      <c r="G31" s="24"/>
      <c r="H31" s="556"/>
      <c r="I31" s="24"/>
      <c r="J31" s="556"/>
    </row>
    <row r="32" spans="1:10" ht="15.75" x14ac:dyDescent="0.25">
      <c r="A32" s="24"/>
      <c r="B32" s="24"/>
      <c r="C32" s="24"/>
      <c r="D32" s="556"/>
      <c r="E32" s="24"/>
      <c r="F32" s="556"/>
      <c r="G32" s="24"/>
      <c r="H32" s="556"/>
      <c r="I32" s="24"/>
      <c r="J32" s="556"/>
    </row>
    <row r="33" spans="1:14" ht="15.75" x14ac:dyDescent="0.25">
      <c r="A33" s="24"/>
      <c r="B33" s="605" t="s">
        <v>96</v>
      </c>
      <c r="C33" s="24"/>
      <c r="D33" s="557" t="s">
        <v>34</v>
      </c>
      <c r="E33" s="513"/>
      <c r="F33" s="557" t="s">
        <v>66</v>
      </c>
      <c r="G33" s="513"/>
      <c r="H33" s="557" t="s">
        <v>66</v>
      </c>
      <c r="I33" s="513"/>
      <c r="J33" s="557" t="s">
        <v>67</v>
      </c>
    </row>
    <row r="34" spans="1:14" ht="16.5" thickBot="1" x14ac:dyDescent="0.3">
      <c r="A34" s="24"/>
      <c r="B34" s="608" t="s">
        <v>68</v>
      </c>
      <c r="C34" s="24"/>
      <c r="D34" s="609" t="s">
        <v>69</v>
      </c>
      <c r="E34" s="513"/>
      <c r="F34" s="609" t="s">
        <v>70</v>
      </c>
      <c r="G34" s="513"/>
      <c r="H34" s="609" t="s">
        <v>71</v>
      </c>
      <c r="I34" s="513"/>
      <c r="J34" s="609" t="s">
        <v>72</v>
      </c>
    </row>
    <row r="35" spans="1:14" ht="15.75" x14ac:dyDescent="0.25">
      <c r="A35" s="24" t="s">
        <v>73</v>
      </c>
      <c r="B35" s="610">
        <v>17778065.879999999</v>
      </c>
      <c r="C35" s="24"/>
      <c r="D35" s="611">
        <f>ROUND(B35/$B$38,5)</f>
        <v>0.64954999999999996</v>
      </c>
      <c r="E35" s="24"/>
      <c r="F35" s="557" t="s">
        <v>74</v>
      </c>
      <c r="G35" s="24"/>
      <c r="H35" s="514">
        <v>0.8542374583011233</v>
      </c>
      <c r="I35" s="24"/>
      <c r="J35" s="514">
        <f>ROUND(D35*H35,6)</f>
        <v>0.55486999999999997</v>
      </c>
      <c r="L35" s="242"/>
      <c r="M35" s="242"/>
      <c r="N35" s="242"/>
    </row>
    <row r="36" spans="1:14" ht="15.75" x14ac:dyDescent="0.25">
      <c r="A36" s="24" t="s">
        <v>75</v>
      </c>
      <c r="B36" s="612">
        <v>3924945.45</v>
      </c>
      <c r="C36" s="24"/>
      <c r="D36" s="611">
        <f>ROUND(B36/$B$38,5)</f>
        <v>0.1434</v>
      </c>
      <c r="E36" s="24"/>
      <c r="F36" s="557" t="s">
        <v>76</v>
      </c>
      <c r="G36" s="24"/>
      <c r="H36" s="514">
        <v>0.79938309315604827</v>
      </c>
      <c r="I36" s="24"/>
      <c r="J36" s="514">
        <f>ROUND(D36*H36,6)</f>
        <v>0.114632</v>
      </c>
      <c r="L36" s="242"/>
      <c r="M36" s="612"/>
      <c r="N36" s="242"/>
    </row>
    <row r="37" spans="1:14" ht="15.75" x14ac:dyDescent="0.25">
      <c r="A37" s="24" t="s">
        <v>77</v>
      </c>
      <c r="B37" s="613">
        <v>5667015.1100000003</v>
      </c>
      <c r="C37" s="24"/>
      <c r="D37" s="611">
        <f>ROUND(B37/$B$38,5)</f>
        <v>0.20705000000000001</v>
      </c>
      <c r="E37" s="24"/>
      <c r="F37" s="557" t="s">
        <v>78</v>
      </c>
      <c r="G37" s="24"/>
      <c r="H37" s="514">
        <v>0.93980750260821111</v>
      </c>
      <c r="I37" s="24"/>
      <c r="J37" s="614">
        <f>ROUND(D37*H37,6)</f>
        <v>0.19458700000000001</v>
      </c>
      <c r="L37" s="242"/>
      <c r="M37" s="612"/>
      <c r="N37" s="242"/>
    </row>
    <row r="38" spans="1:14" ht="16.5" thickBot="1" x14ac:dyDescent="0.3">
      <c r="A38" s="24" t="s">
        <v>79</v>
      </c>
      <c r="B38" s="556">
        <f>SUM(B35:B37)</f>
        <v>27370026.439999998</v>
      </c>
      <c r="C38" s="24"/>
      <c r="D38" s="556"/>
      <c r="E38" s="24"/>
      <c r="F38" s="556"/>
      <c r="G38" s="24"/>
      <c r="H38" s="556"/>
      <c r="I38" s="24"/>
      <c r="J38" s="615">
        <f>SUM(J35:J37)</f>
        <v>0.86408899999999988</v>
      </c>
      <c r="L38" s="242"/>
      <c r="M38" s="242"/>
      <c r="N38" s="242"/>
    </row>
    <row r="39" spans="1:14" ht="16.5" thickTop="1" x14ac:dyDescent="0.25">
      <c r="A39" s="24"/>
      <c r="B39" s="24"/>
      <c r="C39" s="24"/>
      <c r="D39" s="556"/>
      <c r="E39" s="24"/>
      <c r="F39" s="556"/>
      <c r="G39" s="24"/>
      <c r="H39" s="556"/>
      <c r="I39" s="24"/>
      <c r="J39" s="556"/>
    </row>
    <row r="40" spans="1:14" ht="15.75" x14ac:dyDescent="0.25">
      <c r="A40" s="24"/>
      <c r="B40" s="24"/>
      <c r="C40" s="24"/>
      <c r="D40" s="556"/>
      <c r="E40" s="24"/>
      <c r="F40" s="556"/>
      <c r="G40" s="24"/>
      <c r="H40" s="556"/>
      <c r="I40" s="24"/>
      <c r="J40" s="556"/>
    </row>
    <row r="41" spans="1:14" ht="15.75" x14ac:dyDescent="0.25">
      <c r="A41" s="24" t="s">
        <v>621</v>
      </c>
      <c r="B41" s="24"/>
      <c r="C41" s="24"/>
      <c r="D41" s="556"/>
      <c r="E41" s="24"/>
      <c r="F41" s="556"/>
      <c r="G41" s="24"/>
      <c r="H41" s="556"/>
      <c r="I41" s="24"/>
      <c r="J41" s="556"/>
    </row>
    <row r="42" spans="1:14" x14ac:dyDescent="0.2">
      <c r="A42" s="290" t="s">
        <v>80</v>
      </c>
    </row>
    <row r="43" spans="1:14" x14ac:dyDescent="0.2">
      <c r="B43" s="242"/>
    </row>
    <row r="44" spans="1:14" ht="15.75" x14ac:dyDescent="0.25">
      <c r="B44" s="512"/>
    </row>
    <row r="45" spans="1:14" ht="15.75" x14ac:dyDescent="0.25">
      <c r="B45" s="512"/>
    </row>
    <row r="46" spans="1:14" x14ac:dyDescent="0.2">
      <c r="B46" s="242"/>
    </row>
    <row r="47" spans="1:14" x14ac:dyDescent="0.2">
      <c r="B47" s="242"/>
    </row>
  </sheetData>
  <mergeCells count="2">
    <mergeCell ref="A1:J1"/>
    <mergeCell ref="A2:J2"/>
  </mergeCells>
  <phoneticPr fontId="0" type="noConversion"/>
  <printOptions horizontalCentered="1"/>
  <pageMargins left="0.75" right="0.75" top="1" bottom="1" header="0.25" footer="0.5"/>
  <pageSetup scale="75" orientation="portrait" blackAndWhite="1" r:id="rId1"/>
  <headerFooter alignWithMargins="0">
    <oddHeader xml:space="preserve">&amp;R&amp;"Times New Roman,Bold"&amp;12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R42"/>
  <sheetViews>
    <sheetView zoomScale="75" zoomScaleNormal="75" workbookViewId="0">
      <selection sqref="A1:J1"/>
    </sheetView>
  </sheetViews>
  <sheetFormatPr defaultRowHeight="12.75" x14ac:dyDescent="0.2"/>
  <cols>
    <col min="1" max="1" width="30.7109375" customWidth="1"/>
    <col min="2" max="2" width="14.7109375" customWidth="1"/>
    <col min="3" max="3" width="3.7109375" customWidth="1"/>
    <col min="4" max="4" width="14.7109375" customWidth="1"/>
    <col min="5" max="5" width="3.7109375" customWidth="1"/>
    <col min="6" max="6" width="14.7109375" customWidth="1"/>
    <col min="7" max="7" width="3.7109375" customWidth="1"/>
    <col min="8" max="8" width="14.7109375" customWidth="1"/>
    <col min="9" max="9" width="3.7109375" customWidth="1"/>
    <col min="10" max="10" width="14.7109375" customWidth="1"/>
    <col min="12" max="12" width="10.7109375" bestFit="1" customWidth="1"/>
  </cols>
  <sheetData>
    <row r="1" spans="1:18" ht="15.75" x14ac:dyDescent="0.25">
      <c r="A1" s="854" t="s">
        <v>21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8" ht="15.75" x14ac:dyDescent="0.25">
      <c r="A2" s="854" t="s">
        <v>47</v>
      </c>
      <c r="B2" s="854"/>
      <c r="C2" s="854"/>
      <c r="D2" s="854"/>
      <c r="E2" s="854"/>
      <c r="F2" s="854"/>
      <c r="G2" s="854"/>
      <c r="H2" s="854"/>
      <c r="I2" s="854"/>
      <c r="J2" s="854"/>
    </row>
    <row r="3" spans="1:18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8" ht="15.75" x14ac:dyDescent="0.25">
      <c r="A4" s="11"/>
      <c r="B4" s="11"/>
      <c r="C4" s="11"/>
      <c r="D4" s="10" t="s">
        <v>48</v>
      </c>
      <c r="E4" s="11"/>
      <c r="F4" s="10" t="s">
        <v>49</v>
      </c>
      <c r="G4" s="11"/>
      <c r="H4" s="10" t="s">
        <v>50</v>
      </c>
      <c r="I4" s="11"/>
      <c r="J4" s="10" t="s">
        <v>51</v>
      </c>
    </row>
    <row r="5" spans="1:18" ht="16.5" thickBot="1" x14ac:dyDescent="0.3">
      <c r="A5" s="11"/>
      <c r="B5" s="11"/>
      <c r="C5" s="11"/>
      <c r="D5" s="12" t="s">
        <v>52</v>
      </c>
      <c r="E5" s="11"/>
      <c r="F5" s="12" t="s">
        <v>53</v>
      </c>
      <c r="G5" s="11"/>
      <c r="H5" s="12" t="s">
        <v>54</v>
      </c>
      <c r="I5" s="11"/>
      <c r="J5" s="12" t="s">
        <v>55</v>
      </c>
    </row>
    <row r="6" spans="1:18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8" ht="15.75" x14ac:dyDescent="0.25">
      <c r="A7" s="2" t="s">
        <v>97</v>
      </c>
      <c r="B7" s="456"/>
      <c r="C7" s="2"/>
      <c r="D7" s="15">
        <f>ROUND('M&amp;S-Dec05'!D19,0)</f>
        <v>24713799</v>
      </c>
      <c r="E7" s="2"/>
      <c r="F7" s="15">
        <f>ROUND('M&amp;S-Dec05'!F19,0)</f>
        <v>6081753</v>
      </c>
      <c r="G7" s="2"/>
      <c r="H7" s="15">
        <f>ROUND('M&amp;S-Dec05'!H19,0)</f>
        <v>55589381</v>
      </c>
      <c r="I7" s="2"/>
      <c r="J7" s="15">
        <f>ROUND('M&amp;S-Dec05'!J19,0)</f>
        <v>2657729</v>
      </c>
    </row>
    <row r="8" spans="1:18" ht="15.75" x14ac:dyDescent="0.25">
      <c r="A8" s="2" t="s">
        <v>84</v>
      </c>
      <c r="B8" s="456"/>
      <c r="C8" s="2"/>
      <c r="D8" s="457">
        <v>24916708</v>
      </c>
      <c r="E8" s="2"/>
      <c r="F8" s="457">
        <v>6074571</v>
      </c>
      <c r="G8" s="2"/>
      <c r="H8" s="457">
        <v>56020651</v>
      </c>
      <c r="I8" s="2"/>
      <c r="J8" s="457">
        <v>3049891</v>
      </c>
      <c r="L8" s="458"/>
      <c r="M8" s="458"/>
      <c r="N8" s="458"/>
      <c r="O8" s="458"/>
      <c r="P8" s="458"/>
      <c r="Q8" s="458"/>
      <c r="R8" s="458"/>
    </row>
    <row r="9" spans="1:18" ht="15.75" x14ac:dyDescent="0.25">
      <c r="A9" s="2" t="s">
        <v>85</v>
      </c>
      <c r="B9" s="456"/>
      <c r="C9" s="2"/>
      <c r="D9" s="457">
        <v>25133774</v>
      </c>
      <c r="E9" s="2"/>
      <c r="F9" s="457">
        <v>6143191</v>
      </c>
      <c r="G9" s="2"/>
      <c r="H9" s="457">
        <v>52803283</v>
      </c>
      <c r="I9" s="2"/>
      <c r="J9" s="457">
        <v>2734401</v>
      </c>
      <c r="L9" s="458"/>
      <c r="M9" s="458"/>
      <c r="N9" s="458"/>
      <c r="O9" s="458"/>
      <c r="P9" s="458"/>
      <c r="Q9" s="458"/>
      <c r="R9" s="458"/>
    </row>
    <row r="10" spans="1:18" ht="15.75" x14ac:dyDescent="0.25">
      <c r="A10" s="2" t="s">
        <v>86</v>
      </c>
      <c r="B10" s="456"/>
      <c r="C10" s="2"/>
      <c r="D10" s="457">
        <v>25287487</v>
      </c>
      <c r="E10" s="2"/>
      <c r="F10" s="457">
        <v>6114139</v>
      </c>
      <c r="G10" s="2"/>
      <c r="H10" s="457">
        <v>54432889</v>
      </c>
      <c r="I10" s="2"/>
      <c r="J10" s="457">
        <v>2423813</v>
      </c>
      <c r="L10" s="458"/>
      <c r="M10" s="458"/>
      <c r="N10" s="458"/>
      <c r="O10" s="458"/>
      <c r="P10" s="458"/>
      <c r="Q10" s="458"/>
      <c r="R10" s="458"/>
    </row>
    <row r="11" spans="1:18" ht="15.75" x14ac:dyDescent="0.25">
      <c r="A11" s="2" t="s">
        <v>87</v>
      </c>
      <c r="B11" s="456"/>
      <c r="C11" s="2"/>
      <c r="D11" s="457">
        <v>25355370</v>
      </c>
      <c r="E11" s="2"/>
      <c r="F11" s="457">
        <v>6087798</v>
      </c>
      <c r="G11" s="2"/>
      <c r="H11" s="457">
        <v>65898473</v>
      </c>
      <c r="I11" s="2"/>
      <c r="J11" s="457">
        <v>2113224</v>
      </c>
      <c r="L11" s="458"/>
      <c r="M11" s="458"/>
      <c r="N11" s="458"/>
      <c r="O11" s="458"/>
      <c r="P11" s="458"/>
      <c r="Q11" s="458"/>
      <c r="R11" s="458"/>
    </row>
    <row r="12" spans="1:18" ht="15.75" x14ac:dyDescent="0.25">
      <c r="A12" s="2" t="s">
        <v>88</v>
      </c>
      <c r="B12" s="456"/>
      <c r="C12" s="2"/>
      <c r="D12" s="457">
        <v>25372018</v>
      </c>
      <c r="E12" s="2"/>
      <c r="F12" s="457">
        <v>6122231</v>
      </c>
      <c r="G12" s="2"/>
      <c r="H12" s="457">
        <v>74027307</v>
      </c>
      <c r="I12" s="2"/>
      <c r="J12" s="457">
        <v>1802636</v>
      </c>
      <c r="L12" s="458"/>
      <c r="M12" s="458"/>
      <c r="N12" s="458"/>
      <c r="O12" s="458"/>
      <c r="P12" s="458"/>
      <c r="Q12" s="458"/>
      <c r="R12" s="458"/>
    </row>
    <row r="13" spans="1:18" ht="15.75" x14ac:dyDescent="0.25">
      <c r="A13" s="2" t="s">
        <v>89</v>
      </c>
      <c r="B13" s="456"/>
      <c r="C13" s="2"/>
      <c r="D13" s="457">
        <v>25629994</v>
      </c>
      <c r="E13" s="2"/>
      <c r="F13" s="457">
        <v>6106463</v>
      </c>
      <c r="G13" s="2"/>
      <c r="H13" s="457">
        <v>75262144</v>
      </c>
      <c r="I13" s="2"/>
      <c r="J13" s="457">
        <v>1488126</v>
      </c>
      <c r="L13" s="458"/>
      <c r="M13" s="458"/>
      <c r="N13" s="458"/>
      <c r="O13" s="458"/>
      <c r="P13" s="458"/>
      <c r="Q13" s="458"/>
      <c r="R13" s="458"/>
    </row>
    <row r="14" spans="1:18" ht="15.75" x14ac:dyDescent="0.25">
      <c r="A14" s="2" t="s">
        <v>90</v>
      </c>
      <c r="B14" s="456"/>
      <c r="C14" s="2"/>
      <c r="D14" s="457">
        <v>25817000</v>
      </c>
      <c r="E14" s="2"/>
      <c r="F14" s="457">
        <v>6172971</v>
      </c>
      <c r="G14" s="2"/>
      <c r="H14" s="457">
        <v>68439932</v>
      </c>
      <c r="I14" s="2"/>
      <c r="J14" s="457">
        <v>1173616</v>
      </c>
      <c r="L14" s="458"/>
      <c r="M14" s="458"/>
      <c r="N14" s="458"/>
      <c r="O14" s="458"/>
      <c r="P14" s="458"/>
      <c r="Q14" s="458"/>
      <c r="R14" s="458"/>
    </row>
    <row r="15" spans="1:18" ht="15.75" x14ac:dyDescent="0.25">
      <c r="A15" s="2" t="s">
        <v>91</v>
      </c>
      <c r="B15" s="456"/>
      <c r="C15" s="2"/>
      <c r="D15" s="457">
        <v>25942981</v>
      </c>
      <c r="E15" s="2"/>
      <c r="F15" s="457">
        <v>6099234</v>
      </c>
      <c r="G15" s="2"/>
      <c r="H15" s="457">
        <v>65392991</v>
      </c>
      <c r="I15" s="2"/>
      <c r="J15" s="457">
        <v>859106</v>
      </c>
      <c r="L15" s="458"/>
      <c r="M15" s="458"/>
      <c r="N15" s="458"/>
      <c r="O15" s="458"/>
      <c r="P15" s="458"/>
      <c r="Q15" s="458"/>
      <c r="R15" s="458"/>
    </row>
    <row r="16" spans="1:18" ht="15.75" x14ac:dyDescent="0.25">
      <c r="A16" s="2" t="s">
        <v>92</v>
      </c>
      <c r="B16" s="456"/>
      <c r="C16" s="2"/>
      <c r="D16" s="457">
        <v>26146218</v>
      </c>
      <c r="E16" s="2"/>
      <c r="F16" s="457">
        <v>6105229</v>
      </c>
      <c r="G16" s="2"/>
      <c r="H16" s="457">
        <v>59288091</v>
      </c>
      <c r="I16" s="2"/>
      <c r="J16" s="457">
        <v>544596</v>
      </c>
      <c r="L16" s="458"/>
      <c r="M16" s="458"/>
      <c r="N16" s="458"/>
      <c r="O16" s="458"/>
      <c r="P16" s="458"/>
      <c r="Q16" s="458"/>
      <c r="R16" s="458"/>
    </row>
    <row r="17" spans="1:18" ht="15.75" x14ac:dyDescent="0.25">
      <c r="A17" s="2" t="s">
        <v>93</v>
      </c>
      <c r="B17" s="456"/>
      <c r="C17" s="2"/>
      <c r="D17" s="457">
        <v>26388760</v>
      </c>
      <c r="E17" s="2"/>
      <c r="F17" s="457">
        <v>5580373</v>
      </c>
      <c r="G17" s="2"/>
      <c r="H17" s="457">
        <v>69718717</v>
      </c>
      <c r="I17" s="2"/>
      <c r="J17" s="457">
        <v>230085</v>
      </c>
      <c r="L17" s="458"/>
      <c r="M17" s="458"/>
      <c r="N17" s="458"/>
      <c r="O17" s="458"/>
      <c r="P17" s="458"/>
      <c r="Q17" s="458"/>
      <c r="R17" s="458"/>
    </row>
    <row r="18" spans="1:18" ht="15.75" x14ac:dyDescent="0.25">
      <c r="A18" s="2" t="s">
        <v>94</v>
      </c>
      <c r="B18" s="456"/>
      <c r="C18" s="2"/>
      <c r="D18" s="457">
        <v>26564958</v>
      </c>
      <c r="E18" s="2"/>
      <c r="F18" s="457">
        <v>5630932</v>
      </c>
      <c r="G18" s="2"/>
      <c r="H18" s="457">
        <v>68945062</v>
      </c>
      <c r="I18" s="2"/>
      <c r="J18" s="457">
        <v>3105275</v>
      </c>
      <c r="L18" s="458"/>
      <c r="M18" s="458"/>
      <c r="N18" s="458"/>
      <c r="O18" s="458"/>
      <c r="P18" s="458"/>
      <c r="Q18" s="458"/>
      <c r="R18" s="458"/>
    </row>
    <row r="19" spans="1:18" ht="15.75" x14ac:dyDescent="0.25">
      <c r="A19" s="2" t="s">
        <v>83</v>
      </c>
      <c r="B19" s="456"/>
      <c r="C19" s="2"/>
      <c r="D19" s="459">
        <v>25951429</v>
      </c>
      <c r="E19" s="2"/>
      <c r="F19" s="459">
        <v>6386539</v>
      </c>
      <c r="G19" s="2"/>
      <c r="H19" s="459">
        <v>64221479</v>
      </c>
      <c r="I19" s="2"/>
      <c r="J19" s="459">
        <v>2770086</v>
      </c>
      <c r="L19" s="458"/>
      <c r="M19" s="458"/>
      <c r="N19" s="458"/>
      <c r="O19" s="458"/>
      <c r="P19" s="458"/>
      <c r="Q19" s="458"/>
      <c r="R19" s="458"/>
    </row>
    <row r="20" spans="1:18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8" ht="16.5" thickBot="1" x14ac:dyDescent="0.3">
      <c r="A21" s="2" t="s">
        <v>56</v>
      </c>
      <c r="B21" s="2"/>
      <c r="C21" s="2"/>
      <c r="D21" s="14">
        <f>SUM(D7:D19)</f>
        <v>333220496</v>
      </c>
      <c r="E21" s="2"/>
      <c r="F21" s="14">
        <f>SUM(F7:F19)</f>
        <v>78705424</v>
      </c>
      <c r="G21" s="2"/>
      <c r="H21" s="14">
        <f>SUM(H7:H19)</f>
        <v>830040400</v>
      </c>
      <c r="I21" s="2"/>
      <c r="J21" s="14">
        <f>SUM(J7:J19)</f>
        <v>24952584</v>
      </c>
    </row>
    <row r="22" spans="1:18" ht="16.5" thickTop="1" x14ac:dyDescent="0.25">
      <c r="A22" s="2" t="s">
        <v>57</v>
      </c>
      <c r="B22" s="2"/>
      <c r="C22" s="2"/>
      <c r="D22" s="15">
        <f>ROUND(D21/13,0)</f>
        <v>25632346</v>
      </c>
      <c r="E22" s="2"/>
      <c r="F22" s="15">
        <f>ROUND(F21/13,0)</f>
        <v>6054263</v>
      </c>
      <c r="G22" s="2"/>
      <c r="H22" s="15">
        <f>ROUND(H21/13,0)</f>
        <v>63849262</v>
      </c>
      <c r="I22" s="2"/>
      <c r="J22" s="15">
        <f>ROUND(J21/13,0)</f>
        <v>1919430</v>
      </c>
    </row>
    <row r="23" spans="1:18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8" ht="15.75" x14ac:dyDescent="0.25">
      <c r="A24" s="2"/>
      <c r="B24" s="2"/>
      <c r="C24" s="2"/>
      <c r="D24" s="3" t="s">
        <v>58</v>
      </c>
      <c r="E24" s="3"/>
      <c r="F24" s="3" t="s">
        <v>59</v>
      </c>
      <c r="G24" s="3"/>
      <c r="H24" s="3" t="s">
        <v>60</v>
      </c>
      <c r="I24" s="3"/>
      <c r="J24" s="3" t="s">
        <v>61</v>
      </c>
    </row>
    <row r="25" spans="1:18" ht="15.75" x14ac:dyDescent="0.25">
      <c r="A25" s="2" t="s">
        <v>62</v>
      </c>
      <c r="B25" s="2"/>
      <c r="C25" s="2"/>
      <c r="D25" s="16">
        <f>J38</f>
        <v>0.86701000000000006</v>
      </c>
      <c r="E25" s="2"/>
      <c r="F25" s="460">
        <v>0.86702999999999997</v>
      </c>
      <c r="G25" s="24"/>
      <c r="H25" s="460">
        <v>0.86512999999999995</v>
      </c>
      <c r="I25" s="24"/>
      <c r="J25" s="460">
        <v>0.87765000000000004</v>
      </c>
    </row>
    <row r="26" spans="1:18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8" ht="16.5" thickBot="1" x14ac:dyDescent="0.3">
      <c r="A27" s="2" t="s">
        <v>63</v>
      </c>
      <c r="B27" s="2"/>
      <c r="C27" s="2"/>
      <c r="D27" s="14">
        <f>ROUND(D22*D25,0)</f>
        <v>22223500</v>
      </c>
      <c r="E27" s="2"/>
      <c r="F27" s="14">
        <f>ROUND(F22*F25,0)</f>
        <v>5249228</v>
      </c>
      <c r="G27" s="2"/>
      <c r="H27" s="14">
        <f>ROUND(H22*H25,0)</f>
        <v>55237912</v>
      </c>
      <c r="I27" s="2"/>
      <c r="J27" s="14">
        <f>ROUND(J22*J25,0)</f>
        <v>1684588</v>
      </c>
    </row>
    <row r="28" spans="1:18" ht="16.5" thickTop="1" x14ac:dyDescent="0.25">
      <c r="A28" s="2"/>
      <c r="B28" s="2"/>
      <c r="C28" s="2"/>
      <c r="D28" s="15"/>
      <c r="E28" s="2"/>
      <c r="F28" s="15"/>
      <c r="G28" s="2"/>
      <c r="H28" s="15"/>
      <c r="I28" s="2"/>
      <c r="J28" s="15"/>
    </row>
    <row r="29" spans="1:18" ht="15.75" x14ac:dyDescent="0.25">
      <c r="A29" s="2"/>
      <c r="B29" s="2"/>
      <c r="C29" s="2"/>
      <c r="D29" s="15"/>
      <c r="E29" s="2"/>
      <c r="F29" s="15"/>
      <c r="G29" s="2"/>
      <c r="H29" s="15"/>
      <c r="I29" s="2"/>
      <c r="J29" s="15"/>
    </row>
    <row r="30" spans="1:18" ht="15.75" x14ac:dyDescent="0.25">
      <c r="A30" s="2" t="s">
        <v>64</v>
      </c>
      <c r="B30" s="2"/>
      <c r="C30" s="2"/>
      <c r="D30" s="15"/>
      <c r="E30" s="2"/>
      <c r="F30" s="15"/>
      <c r="G30" s="2"/>
      <c r="H30" s="15"/>
      <c r="I30" s="2"/>
      <c r="J30" s="15"/>
    </row>
    <row r="31" spans="1:18" ht="15.75" x14ac:dyDescent="0.25">
      <c r="A31" s="2" t="s">
        <v>65</v>
      </c>
      <c r="B31" s="2"/>
      <c r="C31" s="2"/>
      <c r="D31" s="15"/>
      <c r="E31" s="2"/>
      <c r="F31" s="15"/>
      <c r="G31" s="2"/>
      <c r="H31" s="15"/>
      <c r="I31" s="2"/>
      <c r="J31" s="15"/>
    </row>
    <row r="32" spans="1:18" ht="15.75" x14ac:dyDescent="0.25">
      <c r="A32" s="2"/>
      <c r="B32" s="2"/>
      <c r="C32" s="2"/>
      <c r="D32" s="15"/>
      <c r="E32" s="2"/>
      <c r="F32" s="15"/>
      <c r="G32" s="2"/>
      <c r="H32" s="15"/>
      <c r="I32" s="2"/>
      <c r="J32" s="15"/>
    </row>
    <row r="33" spans="1:10" ht="15.75" x14ac:dyDescent="0.25">
      <c r="A33" s="2"/>
      <c r="B33" s="4" t="s">
        <v>95</v>
      </c>
      <c r="C33" s="2"/>
      <c r="D33" s="17" t="s">
        <v>34</v>
      </c>
      <c r="E33" s="3"/>
      <c r="F33" s="17" t="s">
        <v>66</v>
      </c>
      <c r="G33" s="3"/>
      <c r="H33" s="17" t="s">
        <v>66</v>
      </c>
      <c r="I33" s="3"/>
      <c r="J33" s="17" t="s">
        <v>67</v>
      </c>
    </row>
    <row r="34" spans="1:10" ht="16.5" thickBot="1" x14ac:dyDescent="0.3">
      <c r="A34" s="2"/>
      <c r="B34" s="18" t="s">
        <v>68</v>
      </c>
      <c r="C34" s="2"/>
      <c r="D34" s="19" t="s">
        <v>69</v>
      </c>
      <c r="E34" s="3"/>
      <c r="F34" s="19" t="s">
        <v>70</v>
      </c>
      <c r="G34" s="3"/>
      <c r="H34" s="19" t="s">
        <v>71</v>
      </c>
      <c r="I34" s="3"/>
      <c r="J34" s="19" t="s">
        <v>72</v>
      </c>
    </row>
    <row r="35" spans="1:10" ht="15.75" x14ac:dyDescent="0.25">
      <c r="A35" s="2" t="s">
        <v>73</v>
      </c>
      <c r="B35" s="461">
        <v>16329989</v>
      </c>
      <c r="C35" s="2"/>
      <c r="D35" s="20">
        <f>ROUND(B35/$B$38,5)</f>
        <v>0.62924999999999998</v>
      </c>
      <c r="E35" s="2"/>
      <c r="F35" s="17" t="s">
        <v>74</v>
      </c>
      <c r="G35" s="2"/>
      <c r="H35" s="460">
        <v>0.85345000000000004</v>
      </c>
      <c r="I35" s="2"/>
      <c r="J35" s="16">
        <f>ROUND(D35*H35,5)</f>
        <v>0.53703000000000001</v>
      </c>
    </row>
    <row r="36" spans="1:10" ht="15.75" x14ac:dyDescent="0.25">
      <c r="A36" s="2" t="s">
        <v>75</v>
      </c>
      <c r="B36" s="461">
        <v>3364990</v>
      </c>
      <c r="C36" s="2"/>
      <c r="D36" s="20">
        <f>ROUND(B36/$B$38,5)</f>
        <v>0.12966</v>
      </c>
      <c r="E36" s="2"/>
      <c r="F36" s="17" t="s">
        <v>76</v>
      </c>
      <c r="G36" s="2"/>
      <c r="H36" s="460">
        <v>0.79915999999999998</v>
      </c>
      <c r="I36" s="2"/>
      <c r="J36" s="16">
        <f>ROUND(D36*H36,5)</f>
        <v>0.10362</v>
      </c>
    </row>
    <row r="37" spans="1:10" ht="15.75" x14ac:dyDescent="0.25">
      <c r="A37" s="2" t="s">
        <v>77</v>
      </c>
      <c r="B37" s="462">
        <v>6256451</v>
      </c>
      <c r="C37" s="2"/>
      <c r="D37" s="20">
        <f>ROUND(B37/$B$38,5)</f>
        <v>0.24107999999999999</v>
      </c>
      <c r="E37" s="2"/>
      <c r="F37" s="17" t="s">
        <v>78</v>
      </c>
      <c r="G37" s="2"/>
      <c r="H37" s="460">
        <v>0.93896000000000002</v>
      </c>
      <c r="I37" s="2"/>
      <c r="J37" s="21">
        <f>ROUND(D37*H37,5)</f>
        <v>0.22636000000000001</v>
      </c>
    </row>
    <row r="38" spans="1:10" ht="16.5" thickBot="1" x14ac:dyDescent="0.3">
      <c r="A38" s="2" t="s">
        <v>79</v>
      </c>
      <c r="B38" s="15">
        <f>SUM(B35:B37)</f>
        <v>25951430</v>
      </c>
      <c r="C38" s="2"/>
      <c r="D38" s="15"/>
      <c r="E38" s="2"/>
      <c r="F38" s="15"/>
      <c r="G38" s="2"/>
      <c r="H38" s="15"/>
      <c r="I38" s="2"/>
      <c r="J38" s="22">
        <f>SUM(J35:J37)</f>
        <v>0.86701000000000006</v>
      </c>
    </row>
    <row r="39" spans="1:10" ht="16.5" thickTop="1" x14ac:dyDescent="0.25">
      <c r="A39" s="2"/>
      <c r="B39" s="2"/>
      <c r="C39" s="2"/>
      <c r="D39" s="15"/>
      <c r="E39" s="2"/>
      <c r="F39" s="15"/>
      <c r="G39" s="2"/>
      <c r="H39" s="15"/>
      <c r="I39" s="2"/>
      <c r="J39" s="15"/>
    </row>
    <row r="40" spans="1:10" ht="15.75" x14ac:dyDescent="0.25">
      <c r="A40" s="2"/>
      <c r="B40" s="2"/>
      <c r="C40" s="2"/>
      <c r="D40" s="15"/>
      <c r="E40" s="2"/>
      <c r="F40" s="15"/>
      <c r="G40" s="2"/>
      <c r="H40" s="15"/>
      <c r="I40" s="2"/>
      <c r="J40" s="15"/>
    </row>
    <row r="41" spans="1:10" ht="52.5" customHeight="1" x14ac:dyDescent="0.25">
      <c r="A41" s="855" t="s">
        <v>171</v>
      </c>
      <c r="B41" s="855"/>
      <c r="C41" s="855"/>
      <c r="D41" s="855"/>
      <c r="E41" s="855"/>
      <c r="F41" s="855"/>
      <c r="G41" s="855"/>
      <c r="H41" s="855"/>
      <c r="I41" s="855"/>
      <c r="J41" s="855"/>
    </row>
    <row r="42" spans="1:10" x14ac:dyDescent="0.2">
      <c r="A42" t="s">
        <v>80</v>
      </c>
    </row>
  </sheetData>
  <mergeCells count="3">
    <mergeCell ref="A1:J1"/>
    <mergeCell ref="A2:J2"/>
    <mergeCell ref="A41:J41"/>
  </mergeCells>
  <phoneticPr fontId="0" type="noConversion"/>
  <printOptions horizontalCentered="1"/>
  <pageMargins left="0.75" right="0.75" top="1" bottom="1" header="0.25" footer="0.5"/>
  <pageSetup scale="76" orientation="portrait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R42"/>
  <sheetViews>
    <sheetView zoomScale="75" zoomScaleNormal="75" workbookViewId="0">
      <selection sqref="A1:J1"/>
    </sheetView>
  </sheetViews>
  <sheetFormatPr defaultRowHeight="12.75" x14ac:dyDescent="0.2"/>
  <cols>
    <col min="1" max="1" width="30.7109375" customWidth="1"/>
    <col min="2" max="2" width="14.7109375" customWidth="1"/>
    <col min="3" max="3" width="3.7109375" customWidth="1"/>
    <col min="4" max="4" width="14.7109375" customWidth="1"/>
    <col min="5" max="5" width="3.7109375" customWidth="1"/>
    <col min="6" max="6" width="14.7109375" customWidth="1"/>
    <col min="7" max="7" width="3.7109375" customWidth="1"/>
    <col min="8" max="8" width="14.7109375" customWidth="1"/>
    <col min="9" max="9" width="3.7109375" customWidth="1"/>
    <col min="10" max="10" width="14.7109375" customWidth="1"/>
    <col min="12" max="12" width="10.7109375" bestFit="1" customWidth="1"/>
  </cols>
  <sheetData>
    <row r="1" spans="1:18" ht="15.75" x14ac:dyDescent="0.25">
      <c r="A1" s="854" t="s">
        <v>21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8" ht="15.75" x14ac:dyDescent="0.25">
      <c r="A2" s="854" t="s">
        <v>47</v>
      </c>
      <c r="B2" s="854"/>
      <c r="C2" s="854"/>
      <c r="D2" s="854"/>
      <c r="E2" s="854"/>
      <c r="F2" s="854"/>
      <c r="G2" s="854"/>
      <c r="H2" s="854"/>
      <c r="I2" s="854"/>
      <c r="J2" s="854"/>
    </row>
    <row r="3" spans="1:18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8" ht="15.75" x14ac:dyDescent="0.25">
      <c r="A4" s="11"/>
      <c r="B4" s="11"/>
      <c r="C4" s="11"/>
      <c r="D4" s="10" t="s">
        <v>48</v>
      </c>
      <c r="E4" s="11"/>
      <c r="F4" s="10" t="s">
        <v>49</v>
      </c>
      <c r="G4" s="11"/>
      <c r="H4" s="10" t="s">
        <v>50</v>
      </c>
      <c r="I4" s="11"/>
      <c r="J4" s="10" t="s">
        <v>51</v>
      </c>
    </row>
    <row r="5" spans="1:18" ht="16.5" thickBot="1" x14ac:dyDescent="0.3">
      <c r="A5" s="11"/>
      <c r="B5" s="11"/>
      <c r="C5" s="11"/>
      <c r="D5" s="12" t="s">
        <v>52</v>
      </c>
      <c r="E5" s="11"/>
      <c r="F5" s="12" t="s">
        <v>53</v>
      </c>
      <c r="G5" s="11"/>
      <c r="H5" s="12" t="s">
        <v>54</v>
      </c>
      <c r="I5" s="11"/>
      <c r="J5" s="12" t="s">
        <v>55</v>
      </c>
    </row>
    <row r="6" spans="1:18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8" ht="15.75" x14ac:dyDescent="0.25">
      <c r="A7" s="13" t="s">
        <v>110</v>
      </c>
      <c r="B7" s="456"/>
      <c r="C7" s="2"/>
      <c r="D7" s="15">
        <f>ROUND('M&amp;S-Dec04'!D19,0)</f>
        <v>22573864</v>
      </c>
      <c r="E7" s="2"/>
      <c r="F7" s="15">
        <f>ROUND('M&amp;S-Dec04'!F19,0)</f>
        <v>5397804</v>
      </c>
      <c r="G7" s="2"/>
      <c r="H7" s="15">
        <f>ROUND('M&amp;S-Dec04'!H19,0)</f>
        <v>52248632</v>
      </c>
      <c r="I7" s="2"/>
      <c r="J7" s="15">
        <f>ROUND('M&amp;S-Dec04'!J19,0)</f>
        <v>3468360</v>
      </c>
    </row>
    <row r="8" spans="1:18" ht="15.75" x14ac:dyDescent="0.25">
      <c r="A8" s="2" t="s">
        <v>98</v>
      </c>
      <c r="B8" s="456"/>
      <c r="C8" s="2"/>
      <c r="D8" s="457">
        <v>22601740</v>
      </c>
      <c r="E8" s="2"/>
      <c r="F8" s="457">
        <v>5442074</v>
      </c>
      <c r="G8" s="2"/>
      <c r="H8" s="457">
        <v>47507159</v>
      </c>
      <c r="I8" s="2"/>
      <c r="J8" s="457">
        <v>3586216</v>
      </c>
      <c r="L8" s="458"/>
      <c r="M8" s="458"/>
      <c r="N8" s="458"/>
      <c r="O8" s="458"/>
      <c r="P8" s="458"/>
      <c r="Q8" s="458"/>
      <c r="R8" s="458"/>
    </row>
    <row r="9" spans="1:18" ht="15.75" x14ac:dyDescent="0.25">
      <c r="A9" s="2" t="s">
        <v>99</v>
      </c>
      <c r="B9" s="456"/>
      <c r="C9" s="2"/>
      <c r="D9" s="457">
        <v>22751619</v>
      </c>
      <c r="E9" s="2"/>
      <c r="F9" s="457">
        <v>5499492</v>
      </c>
      <c r="G9" s="2"/>
      <c r="H9" s="457">
        <v>47236431</v>
      </c>
      <c r="I9" s="2"/>
      <c r="J9" s="457">
        <v>3168104</v>
      </c>
      <c r="L9" s="458"/>
      <c r="M9" s="458"/>
      <c r="N9" s="458"/>
      <c r="O9" s="458"/>
      <c r="P9" s="458"/>
      <c r="Q9" s="458"/>
      <c r="R9" s="458"/>
    </row>
    <row r="10" spans="1:18" ht="15.75" x14ac:dyDescent="0.25">
      <c r="A10" s="2" t="s">
        <v>100</v>
      </c>
      <c r="B10" s="456"/>
      <c r="C10" s="2"/>
      <c r="D10" s="457">
        <v>22900898</v>
      </c>
      <c r="E10" s="2"/>
      <c r="F10" s="457">
        <v>5543949</v>
      </c>
      <c r="G10" s="2"/>
      <c r="H10" s="457">
        <v>49847461</v>
      </c>
      <c r="I10" s="2"/>
      <c r="J10" s="457">
        <v>2940658</v>
      </c>
      <c r="L10" s="458"/>
      <c r="M10" s="458"/>
      <c r="N10" s="458"/>
      <c r="O10" s="458"/>
      <c r="P10" s="458"/>
      <c r="Q10" s="458"/>
      <c r="R10" s="458"/>
    </row>
    <row r="11" spans="1:18" ht="15.75" x14ac:dyDescent="0.25">
      <c r="A11" s="2" t="s">
        <v>101</v>
      </c>
      <c r="B11" s="456"/>
      <c r="C11" s="2"/>
      <c r="D11" s="457">
        <v>22950901</v>
      </c>
      <c r="E11" s="2"/>
      <c r="F11" s="457">
        <v>5670378</v>
      </c>
      <c r="G11" s="2"/>
      <c r="H11" s="457">
        <v>58615951</v>
      </c>
      <c r="I11" s="2"/>
      <c r="J11" s="457">
        <v>2530089</v>
      </c>
      <c r="L11" s="458"/>
      <c r="M11" s="458"/>
      <c r="N11" s="458"/>
      <c r="O11" s="458"/>
      <c r="P11" s="458"/>
      <c r="Q11" s="458"/>
      <c r="R11" s="458"/>
    </row>
    <row r="12" spans="1:18" ht="15.75" x14ac:dyDescent="0.25">
      <c r="A12" s="2" t="s">
        <v>102</v>
      </c>
      <c r="B12" s="456"/>
      <c r="C12" s="2"/>
      <c r="D12" s="457">
        <v>23310270</v>
      </c>
      <c r="E12" s="2"/>
      <c r="F12" s="457">
        <v>5612162</v>
      </c>
      <c r="G12" s="2"/>
      <c r="H12" s="457">
        <v>64636233</v>
      </c>
      <c r="I12" s="2"/>
      <c r="J12" s="457">
        <v>2133767</v>
      </c>
      <c r="L12" s="458"/>
      <c r="M12" s="458"/>
      <c r="N12" s="458"/>
      <c r="O12" s="458"/>
      <c r="P12" s="458"/>
      <c r="Q12" s="458"/>
      <c r="R12" s="458"/>
    </row>
    <row r="13" spans="1:18" ht="15.75" x14ac:dyDescent="0.25">
      <c r="A13" s="2" t="s">
        <v>103</v>
      </c>
      <c r="B13" s="456"/>
      <c r="C13" s="2"/>
      <c r="D13" s="457">
        <v>23558556</v>
      </c>
      <c r="E13" s="2"/>
      <c r="F13" s="457">
        <v>5691710</v>
      </c>
      <c r="G13" s="2"/>
      <c r="H13" s="457">
        <v>57340127</v>
      </c>
      <c r="I13" s="2"/>
      <c r="J13" s="457">
        <v>1730321</v>
      </c>
      <c r="L13" s="458"/>
      <c r="M13" s="458"/>
      <c r="N13" s="458"/>
      <c r="O13" s="458"/>
      <c r="P13" s="458"/>
      <c r="Q13" s="458"/>
      <c r="R13" s="458"/>
    </row>
    <row r="14" spans="1:18" ht="15.75" x14ac:dyDescent="0.25">
      <c r="A14" s="2" t="s">
        <v>104</v>
      </c>
      <c r="B14" s="456"/>
      <c r="C14" s="2"/>
      <c r="D14" s="457">
        <v>23727635</v>
      </c>
      <c r="E14" s="2"/>
      <c r="F14" s="457">
        <v>5737233</v>
      </c>
      <c r="G14" s="2"/>
      <c r="H14" s="457">
        <v>50147052</v>
      </c>
      <c r="I14" s="2"/>
      <c r="J14" s="457">
        <v>1326875</v>
      </c>
      <c r="L14" s="458"/>
      <c r="M14" s="458"/>
      <c r="N14" s="458"/>
      <c r="O14" s="458"/>
      <c r="P14" s="458"/>
      <c r="Q14" s="458"/>
      <c r="R14" s="458"/>
    </row>
    <row r="15" spans="1:18" ht="15.75" x14ac:dyDescent="0.25">
      <c r="A15" s="2" t="s">
        <v>105</v>
      </c>
      <c r="B15" s="456"/>
      <c r="C15" s="2"/>
      <c r="D15" s="457">
        <v>23408249</v>
      </c>
      <c r="E15" s="2"/>
      <c r="F15" s="457">
        <v>5726431</v>
      </c>
      <c r="G15" s="2"/>
      <c r="H15" s="457">
        <v>48546117</v>
      </c>
      <c r="I15" s="2"/>
      <c r="J15" s="457">
        <v>923430</v>
      </c>
      <c r="L15" s="458"/>
      <c r="M15" s="458"/>
      <c r="N15" s="458"/>
      <c r="O15" s="458"/>
      <c r="P15" s="458"/>
      <c r="Q15" s="458"/>
      <c r="R15" s="458"/>
    </row>
    <row r="16" spans="1:18" ht="15.75" x14ac:dyDescent="0.25">
      <c r="A16" s="2" t="s">
        <v>106</v>
      </c>
      <c r="B16" s="456"/>
      <c r="C16" s="2"/>
      <c r="D16" s="457">
        <v>23704205</v>
      </c>
      <c r="E16" s="2"/>
      <c r="F16" s="457">
        <v>5790133</v>
      </c>
      <c r="G16" s="2"/>
      <c r="H16" s="457">
        <v>50303213</v>
      </c>
      <c r="I16" s="2"/>
      <c r="J16" s="457">
        <v>519984</v>
      </c>
      <c r="L16" s="458"/>
      <c r="M16" s="458"/>
      <c r="N16" s="458"/>
      <c r="O16" s="458"/>
      <c r="P16" s="458"/>
      <c r="Q16" s="458"/>
      <c r="R16" s="458"/>
    </row>
    <row r="17" spans="1:18" ht="15.75" x14ac:dyDescent="0.25">
      <c r="A17" s="2" t="s">
        <v>107</v>
      </c>
      <c r="B17" s="456"/>
      <c r="C17" s="2"/>
      <c r="D17" s="457">
        <v>23830513</v>
      </c>
      <c r="E17" s="2"/>
      <c r="F17" s="457">
        <v>5885269</v>
      </c>
      <c r="G17" s="2"/>
      <c r="H17" s="457">
        <v>56863684</v>
      </c>
      <c r="I17" s="2"/>
      <c r="J17" s="457">
        <v>125064</v>
      </c>
      <c r="L17" s="458"/>
      <c r="M17" s="458"/>
      <c r="N17" s="458"/>
      <c r="O17" s="458"/>
      <c r="P17" s="458"/>
      <c r="Q17" s="458"/>
      <c r="R17" s="458"/>
    </row>
    <row r="18" spans="1:18" ht="15.75" x14ac:dyDescent="0.25">
      <c r="A18" s="2" t="s">
        <v>108</v>
      </c>
      <c r="B18" s="456"/>
      <c r="C18" s="2"/>
      <c r="D18" s="457">
        <v>24598061</v>
      </c>
      <c r="E18" s="2"/>
      <c r="F18" s="457">
        <v>5958092</v>
      </c>
      <c r="G18" s="2"/>
      <c r="H18" s="457">
        <v>61395688</v>
      </c>
      <c r="I18" s="2"/>
      <c r="J18" s="457">
        <v>2973522</v>
      </c>
      <c r="L18" s="458"/>
      <c r="M18" s="458"/>
      <c r="N18" s="458"/>
      <c r="O18" s="458"/>
      <c r="P18" s="458"/>
      <c r="Q18" s="458"/>
      <c r="R18" s="458"/>
    </row>
    <row r="19" spans="1:18" ht="15.75" x14ac:dyDescent="0.25">
      <c r="A19" s="2" t="s">
        <v>97</v>
      </c>
      <c r="B19" s="456"/>
      <c r="C19" s="2"/>
      <c r="D19" s="459">
        <v>24713799</v>
      </c>
      <c r="E19" s="2"/>
      <c r="F19" s="459">
        <v>6081753</v>
      </c>
      <c r="G19" s="2"/>
      <c r="H19" s="459">
        <v>55589381</v>
      </c>
      <c r="I19" s="2"/>
      <c r="J19" s="459">
        <v>2657729</v>
      </c>
      <c r="L19" s="458"/>
      <c r="M19" s="458"/>
      <c r="N19" s="458"/>
      <c r="O19" s="458"/>
      <c r="P19" s="458"/>
      <c r="Q19" s="458"/>
      <c r="R19" s="458"/>
    </row>
    <row r="20" spans="1:18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8" ht="16.5" thickBot="1" x14ac:dyDescent="0.3">
      <c r="A21" s="2" t="s">
        <v>56</v>
      </c>
      <c r="B21" s="2"/>
      <c r="C21" s="2"/>
      <c r="D21" s="14">
        <f>SUM(D7:D19)</f>
        <v>304630310</v>
      </c>
      <c r="E21" s="2"/>
      <c r="F21" s="14">
        <f>SUM(F7:F19)</f>
        <v>74036480</v>
      </c>
      <c r="G21" s="2"/>
      <c r="H21" s="14">
        <f>SUM(H7:H19)</f>
        <v>700277129</v>
      </c>
      <c r="I21" s="2"/>
      <c r="J21" s="14">
        <f>SUM(J7:J19)</f>
        <v>28084119</v>
      </c>
    </row>
    <row r="22" spans="1:18" ht="16.5" thickTop="1" x14ac:dyDescent="0.25">
      <c r="A22" s="2" t="s">
        <v>57</v>
      </c>
      <c r="B22" s="2"/>
      <c r="C22" s="2"/>
      <c r="D22" s="15">
        <f>ROUND(D21/13,0)</f>
        <v>23433101</v>
      </c>
      <c r="E22" s="2"/>
      <c r="F22" s="15">
        <f>ROUND(F21/13,0)</f>
        <v>5695114</v>
      </c>
      <c r="G22" s="2"/>
      <c r="H22" s="15">
        <f>ROUND(H21/13,0)</f>
        <v>53867471</v>
      </c>
      <c r="I22" s="2"/>
      <c r="J22" s="15">
        <f>ROUND(J21/13,0)</f>
        <v>2160317</v>
      </c>
    </row>
    <row r="23" spans="1:18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8" ht="15.75" x14ac:dyDescent="0.25">
      <c r="A24" s="2"/>
      <c r="B24" s="2"/>
      <c r="C24" s="2"/>
      <c r="D24" s="3" t="s">
        <v>58</v>
      </c>
      <c r="E24" s="3"/>
      <c r="F24" s="3" t="s">
        <v>59</v>
      </c>
      <c r="G24" s="3"/>
      <c r="H24" s="3" t="s">
        <v>60</v>
      </c>
      <c r="I24" s="3"/>
      <c r="J24" s="3" t="s">
        <v>61</v>
      </c>
    </row>
    <row r="25" spans="1:18" ht="15.75" x14ac:dyDescent="0.25">
      <c r="A25" s="2" t="s">
        <v>62</v>
      </c>
      <c r="B25" s="2"/>
      <c r="C25" s="2"/>
      <c r="D25" s="16">
        <f>J38</f>
        <v>0.86192999999999997</v>
      </c>
      <c r="E25" s="2"/>
      <c r="F25" s="460">
        <v>0.86192999999999997</v>
      </c>
      <c r="G25" s="24"/>
      <c r="H25" s="460">
        <v>0.86363999999999996</v>
      </c>
      <c r="I25" s="24"/>
      <c r="J25" s="460">
        <v>0.87663000000000002</v>
      </c>
    </row>
    <row r="26" spans="1:18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8" ht="16.5" thickBot="1" x14ac:dyDescent="0.3">
      <c r="A27" s="2" t="s">
        <v>63</v>
      </c>
      <c r="B27" s="2"/>
      <c r="C27" s="2"/>
      <c r="D27" s="14">
        <f>ROUND(D22*D25,0)</f>
        <v>20197693</v>
      </c>
      <c r="E27" s="2"/>
      <c r="F27" s="14">
        <f>ROUND(F22*F25,0)</f>
        <v>4908790</v>
      </c>
      <c r="G27" s="2"/>
      <c r="H27" s="14">
        <f>ROUND(H22*H25,0)</f>
        <v>46522103</v>
      </c>
      <c r="I27" s="2"/>
      <c r="J27" s="14">
        <f>ROUND(J22*J25,0)</f>
        <v>1893799</v>
      </c>
    </row>
    <row r="28" spans="1:18" ht="16.5" thickTop="1" x14ac:dyDescent="0.25">
      <c r="A28" s="2"/>
      <c r="B28" s="2"/>
      <c r="C28" s="2"/>
      <c r="D28" s="15"/>
      <c r="E28" s="2"/>
      <c r="F28" s="15"/>
      <c r="G28" s="2"/>
      <c r="H28" s="15"/>
      <c r="I28" s="2"/>
      <c r="J28" s="15"/>
    </row>
    <row r="29" spans="1:18" ht="15.75" x14ac:dyDescent="0.25">
      <c r="A29" s="2"/>
      <c r="B29" s="2"/>
      <c r="C29" s="2"/>
      <c r="D29" s="15"/>
      <c r="E29" s="2"/>
      <c r="F29" s="15"/>
      <c r="G29" s="2"/>
      <c r="H29" s="15"/>
      <c r="I29" s="2"/>
      <c r="J29" s="15"/>
    </row>
    <row r="30" spans="1:18" ht="15.75" x14ac:dyDescent="0.25">
      <c r="A30" s="2" t="s">
        <v>64</v>
      </c>
      <c r="B30" s="2"/>
      <c r="C30" s="2"/>
      <c r="D30" s="15"/>
      <c r="E30" s="2"/>
      <c r="F30" s="15"/>
      <c r="G30" s="2"/>
      <c r="H30" s="15"/>
      <c r="I30" s="2"/>
      <c r="J30" s="15"/>
    </row>
    <row r="31" spans="1:18" ht="15.75" x14ac:dyDescent="0.25">
      <c r="A31" s="2" t="s">
        <v>65</v>
      </c>
      <c r="B31" s="2"/>
      <c r="C31" s="2"/>
      <c r="D31" s="15"/>
      <c r="E31" s="2"/>
      <c r="F31" s="15"/>
      <c r="G31" s="2"/>
      <c r="H31" s="15"/>
      <c r="I31" s="2"/>
      <c r="J31" s="15"/>
    </row>
    <row r="32" spans="1:18" ht="15.75" x14ac:dyDescent="0.25">
      <c r="A32" s="2"/>
      <c r="B32" s="2"/>
      <c r="C32" s="2"/>
      <c r="D32" s="15"/>
      <c r="E32" s="2"/>
      <c r="F32" s="15"/>
      <c r="G32" s="2"/>
      <c r="H32" s="15"/>
      <c r="I32" s="2"/>
      <c r="J32" s="15"/>
    </row>
    <row r="33" spans="1:10" ht="15.75" x14ac:dyDescent="0.25">
      <c r="A33" s="2"/>
      <c r="B33" s="4" t="s">
        <v>109</v>
      </c>
      <c r="C33" s="2"/>
      <c r="D33" s="17" t="s">
        <v>34</v>
      </c>
      <c r="E33" s="3"/>
      <c r="F33" s="17" t="s">
        <v>66</v>
      </c>
      <c r="G33" s="3"/>
      <c r="H33" s="17" t="s">
        <v>66</v>
      </c>
      <c r="I33" s="3"/>
      <c r="J33" s="17" t="s">
        <v>67</v>
      </c>
    </row>
    <row r="34" spans="1:10" ht="16.5" thickBot="1" x14ac:dyDescent="0.3">
      <c r="A34" s="2"/>
      <c r="B34" s="18" t="s">
        <v>68</v>
      </c>
      <c r="C34" s="2"/>
      <c r="D34" s="19" t="s">
        <v>69</v>
      </c>
      <c r="E34" s="3"/>
      <c r="F34" s="19" t="s">
        <v>70</v>
      </c>
      <c r="G34" s="3"/>
      <c r="H34" s="19" t="s">
        <v>71</v>
      </c>
      <c r="I34" s="3"/>
      <c r="J34" s="19" t="s">
        <v>72</v>
      </c>
    </row>
    <row r="35" spans="1:10" ht="15.75" x14ac:dyDescent="0.25">
      <c r="A35" s="2" t="s">
        <v>73</v>
      </c>
      <c r="B35" s="461">
        <v>15544243</v>
      </c>
      <c r="C35" s="2"/>
      <c r="D35" s="20">
        <f>ROUND(B35/$B$38,5)</f>
        <v>0.62897000000000003</v>
      </c>
      <c r="E35" s="2"/>
      <c r="F35" s="17" t="s">
        <v>74</v>
      </c>
      <c r="G35" s="2"/>
      <c r="H35" s="460">
        <v>0.85187999999999997</v>
      </c>
      <c r="I35" s="2"/>
      <c r="J35" s="16">
        <f>ROUND(D35*H35,5)</f>
        <v>0.53581000000000001</v>
      </c>
    </row>
    <row r="36" spans="1:10" ht="15.75" x14ac:dyDescent="0.25">
      <c r="A36" s="2" t="s">
        <v>75</v>
      </c>
      <c r="B36" s="461">
        <v>3904857</v>
      </c>
      <c r="C36" s="2"/>
      <c r="D36" s="20">
        <f>ROUND(B36/$B$38,5)</f>
        <v>0.158</v>
      </c>
      <c r="E36" s="2"/>
      <c r="F36" s="17" t="s">
        <v>76</v>
      </c>
      <c r="G36" s="2"/>
      <c r="H36" s="460">
        <v>0.79673000000000005</v>
      </c>
      <c r="I36" s="2"/>
      <c r="J36" s="16">
        <f>ROUND(D36*H36,5)</f>
        <v>0.12587999999999999</v>
      </c>
    </row>
    <row r="37" spans="1:10" ht="15.75" x14ac:dyDescent="0.25">
      <c r="A37" s="2" t="s">
        <v>77</v>
      </c>
      <c r="B37" s="462">
        <v>5264698</v>
      </c>
      <c r="C37" s="2"/>
      <c r="D37" s="20">
        <f>ROUND(B37/$B$38,5)</f>
        <v>0.21303</v>
      </c>
      <c r="E37" s="2"/>
      <c r="F37" s="17" t="s">
        <v>78</v>
      </c>
      <c r="G37" s="2"/>
      <c r="H37" s="460">
        <v>0.93998000000000004</v>
      </c>
      <c r="I37" s="2"/>
      <c r="J37" s="21">
        <f>ROUND(D37*H37,5)</f>
        <v>0.20024</v>
      </c>
    </row>
    <row r="38" spans="1:10" ht="16.5" thickBot="1" x14ac:dyDescent="0.3">
      <c r="A38" s="2" t="s">
        <v>79</v>
      </c>
      <c r="B38" s="15">
        <f>SUM(B35:B37)</f>
        <v>24713798</v>
      </c>
      <c r="C38" s="2"/>
      <c r="D38" s="15"/>
      <c r="E38" s="2"/>
      <c r="F38" s="15"/>
      <c r="G38" s="2"/>
      <c r="H38" s="15"/>
      <c r="I38" s="2"/>
      <c r="J38" s="22">
        <f>SUM(J35:J37)</f>
        <v>0.86192999999999997</v>
      </c>
    </row>
    <row r="39" spans="1:10" ht="16.5" thickTop="1" x14ac:dyDescent="0.25">
      <c r="A39" s="2"/>
      <c r="B39" s="2"/>
      <c r="C39" s="2"/>
      <c r="D39" s="15"/>
      <c r="E39" s="2"/>
      <c r="F39" s="15"/>
      <c r="G39" s="2"/>
      <c r="H39" s="15"/>
      <c r="I39" s="2"/>
      <c r="J39" s="15"/>
    </row>
    <row r="40" spans="1:10" ht="15.75" x14ac:dyDescent="0.25">
      <c r="A40" s="2"/>
      <c r="B40" s="2"/>
      <c r="C40" s="2"/>
      <c r="D40" s="15"/>
      <c r="E40" s="2"/>
      <c r="F40" s="15"/>
      <c r="G40" s="2"/>
      <c r="H40" s="15"/>
      <c r="I40" s="2"/>
      <c r="J40" s="15"/>
    </row>
    <row r="41" spans="1:10" ht="48.75" customHeight="1" x14ac:dyDescent="0.25">
      <c r="A41" s="855" t="s">
        <v>171</v>
      </c>
      <c r="B41" s="855"/>
      <c r="C41" s="855"/>
      <c r="D41" s="855"/>
      <c r="E41" s="855"/>
      <c r="F41" s="855"/>
      <c r="G41" s="855"/>
      <c r="H41" s="855"/>
      <c r="I41" s="855"/>
      <c r="J41" s="855"/>
    </row>
    <row r="42" spans="1:10" x14ac:dyDescent="0.2">
      <c r="A42" t="s">
        <v>80</v>
      </c>
    </row>
  </sheetData>
  <mergeCells count="3">
    <mergeCell ref="A1:J1"/>
    <mergeCell ref="A2:J2"/>
    <mergeCell ref="A41:J41"/>
  </mergeCells>
  <phoneticPr fontId="0" type="noConversion"/>
  <printOptions horizontalCentered="1"/>
  <pageMargins left="0.75" right="0.75" top="1" bottom="1" header="0.25" footer="0.5"/>
  <pageSetup scale="76" orientation="portrait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R42"/>
  <sheetViews>
    <sheetView zoomScale="75" zoomScaleNormal="75" workbookViewId="0">
      <selection sqref="A1:J1"/>
    </sheetView>
  </sheetViews>
  <sheetFormatPr defaultRowHeight="12.75" x14ac:dyDescent="0.2"/>
  <cols>
    <col min="1" max="1" width="30.7109375" customWidth="1"/>
    <col min="2" max="2" width="14.7109375" customWidth="1"/>
    <col min="3" max="3" width="3.7109375" customWidth="1"/>
    <col min="4" max="4" width="14.7109375" customWidth="1"/>
    <col min="5" max="5" width="3.7109375" customWidth="1"/>
    <col min="6" max="6" width="14.7109375" customWidth="1"/>
    <col min="7" max="7" width="3.7109375" customWidth="1"/>
    <col min="8" max="8" width="14.7109375" customWidth="1"/>
    <col min="9" max="9" width="3.7109375" customWidth="1"/>
    <col min="10" max="10" width="14.7109375" customWidth="1"/>
    <col min="12" max="12" width="10.7109375" bestFit="1" customWidth="1"/>
  </cols>
  <sheetData>
    <row r="1" spans="1:18" ht="15.75" x14ac:dyDescent="0.25">
      <c r="A1" s="854" t="s">
        <v>21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8" ht="15.75" x14ac:dyDescent="0.25">
      <c r="A2" s="854" t="s">
        <v>47</v>
      </c>
      <c r="B2" s="854"/>
      <c r="C2" s="854"/>
      <c r="D2" s="854"/>
      <c r="E2" s="854"/>
      <c r="F2" s="854"/>
      <c r="G2" s="854"/>
      <c r="H2" s="854"/>
      <c r="I2" s="854"/>
      <c r="J2" s="854"/>
    </row>
    <row r="3" spans="1:18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8" ht="15.75" x14ac:dyDescent="0.25">
      <c r="A4" s="11"/>
      <c r="B4" s="11"/>
      <c r="C4" s="11"/>
      <c r="D4" s="10" t="s">
        <v>48</v>
      </c>
      <c r="E4" s="11"/>
      <c r="F4" s="10" t="s">
        <v>49</v>
      </c>
      <c r="G4" s="11"/>
      <c r="H4" s="10" t="s">
        <v>50</v>
      </c>
      <c r="I4" s="11"/>
      <c r="J4" s="10" t="s">
        <v>51</v>
      </c>
    </row>
    <row r="5" spans="1:18" ht="16.5" thickBot="1" x14ac:dyDescent="0.3">
      <c r="A5" s="11"/>
      <c r="B5" s="11"/>
      <c r="C5" s="11"/>
      <c r="D5" s="12" t="s">
        <v>52</v>
      </c>
      <c r="E5" s="11"/>
      <c r="F5" s="12" t="s">
        <v>53</v>
      </c>
      <c r="G5" s="11"/>
      <c r="H5" s="12" t="s">
        <v>54</v>
      </c>
      <c r="I5" s="11"/>
      <c r="J5" s="12" t="s">
        <v>55</v>
      </c>
    </row>
    <row r="6" spans="1:18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8" ht="15.75" x14ac:dyDescent="0.25">
      <c r="A7" s="13" t="s">
        <v>123</v>
      </c>
      <c r="B7" s="456"/>
      <c r="C7" s="2"/>
      <c r="D7" s="15">
        <f>ROUND('[18]M&amp;S-Dec03'!D19,0)</f>
        <v>22127209</v>
      </c>
      <c r="E7" s="2"/>
      <c r="F7" s="15">
        <f>ROUND('[18]M&amp;S-Dec03'!F19,0)</f>
        <v>4966338</v>
      </c>
      <c r="G7" s="2"/>
      <c r="H7" s="15">
        <f>ROUND('[18]M&amp;S-Dec03'!H19,0)</f>
        <v>45538385</v>
      </c>
      <c r="I7" s="2"/>
      <c r="J7" s="15">
        <f>ROUND('[18]M&amp;S-Dec03'!J19,0)</f>
        <v>4041391</v>
      </c>
    </row>
    <row r="8" spans="1:18" ht="15.75" x14ac:dyDescent="0.25">
      <c r="A8" s="2" t="s">
        <v>111</v>
      </c>
      <c r="B8" s="456"/>
      <c r="C8" s="2"/>
      <c r="D8" s="457">
        <v>22057117</v>
      </c>
      <c r="E8" s="2"/>
      <c r="F8" s="457">
        <v>5052131</v>
      </c>
      <c r="G8" s="2"/>
      <c r="H8" s="457">
        <v>40944091</v>
      </c>
      <c r="I8" s="2"/>
      <c r="J8" s="457">
        <v>3646369</v>
      </c>
      <c r="L8" s="458"/>
      <c r="M8" s="458"/>
      <c r="N8" s="458"/>
      <c r="O8" s="458"/>
      <c r="P8" s="458"/>
      <c r="Q8" s="458"/>
      <c r="R8" s="458"/>
    </row>
    <row r="9" spans="1:18" ht="15.75" x14ac:dyDescent="0.25">
      <c r="A9" s="2" t="s">
        <v>112</v>
      </c>
      <c r="B9" s="456"/>
      <c r="C9" s="2"/>
      <c r="D9" s="457">
        <v>22139822</v>
      </c>
      <c r="E9" s="2"/>
      <c r="F9" s="457">
        <v>5067409</v>
      </c>
      <c r="G9" s="2"/>
      <c r="H9" s="457">
        <v>38613732</v>
      </c>
      <c r="I9" s="2"/>
      <c r="J9" s="457">
        <v>3720482</v>
      </c>
      <c r="L9" s="458"/>
      <c r="M9" s="458"/>
      <c r="N9" s="458"/>
      <c r="O9" s="458"/>
      <c r="P9" s="458"/>
      <c r="Q9" s="458"/>
      <c r="R9" s="458"/>
    </row>
    <row r="10" spans="1:18" ht="15.75" x14ac:dyDescent="0.25">
      <c r="A10" s="2" t="s">
        <v>113</v>
      </c>
      <c r="B10" s="456"/>
      <c r="C10" s="2"/>
      <c r="D10" s="457">
        <v>22056640</v>
      </c>
      <c r="E10" s="2"/>
      <c r="F10" s="457">
        <v>5178311</v>
      </c>
      <c r="G10" s="2"/>
      <c r="H10" s="457">
        <v>38125182</v>
      </c>
      <c r="I10" s="2"/>
      <c r="J10" s="457">
        <v>3271000</v>
      </c>
      <c r="L10" s="458"/>
      <c r="M10" s="458"/>
      <c r="N10" s="458"/>
      <c r="O10" s="458"/>
      <c r="P10" s="458"/>
      <c r="Q10" s="458"/>
      <c r="R10" s="458"/>
    </row>
    <row r="11" spans="1:18" ht="15.75" x14ac:dyDescent="0.25">
      <c r="A11" s="2" t="s">
        <v>114</v>
      </c>
      <c r="B11" s="456"/>
      <c r="C11" s="2"/>
      <c r="D11" s="457">
        <v>23269069</v>
      </c>
      <c r="E11" s="2"/>
      <c r="F11" s="457">
        <v>4066303</v>
      </c>
      <c r="G11" s="2"/>
      <c r="H11" s="457">
        <v>41492161</v>
      </c>
      <c r="I11" s="2"/>
      <c r="J11" s="457">
        <v>2831967</v>
      </c>
      <c r="L11" s="458"/>
      <c r="M11" s="458"/>
      <c r="N11" s="458"/>
      <c r="O11" s="458"/>
      <c r="P11" s="458"/>
      <c r="Q11" s="458"/>
      <c r="R11" s="458"/>
    </row>
    <row r="12" spans="1:18" ht="15.75" x14ac:dyDescent="0.25">
      <c r="A12" s="2" t="s">
        <v>115</v>
      </c>
      <c r="B12" s="456"/>
      <c r="C12" s="2"/>
      <c r="D12" s="457">
        <v>22060513</v>
      </c>
      <c r="E12" s="2"/>
      <c r="F12" s="457">
        <v>5181363</v>
      </c>
      <c r="G12" s="2"/>
      <c r="H12" s="457">
        <v>40897425</v>
      </c>
      <c r="I12" s="2"/>
      <c r="J12" s="457">
        <v>2376937</v>
      </c>
      <c r="L12" s="458"/>
      <c r="M12" s="458"/>
      <c r="N12" s="458"/>
      <c r="O12" s="458"/>
      <c r="P12" s="458"/>
      <c r="Q12" s="458"/>
      <c r="R12" s="458"/>
    </row>
    <row r="13" spans="1:18" ht="15.75" x14ac:dyDescent="0.25">
      <c r="A13" s="2" t="s">
        <v>116</v>
      </c>
      <c r="B13" s="456"/>
      <c r="C13" s="2"/>
      <c r="D13" s="457">
        <v>22222739</v>
      </c>
      <c r="E13" s="2"/>
      <c r="F13" s="457">
        <v>5144124</v>
      </c>
      <c r="G13" s="2"/>
      <c r="H13" s="457">
        <v>35551847</v>
      </c>
      <c r="I13" s="2"/>
      <c r="J13" s="457">
        <v>1921906</v>
      </c>
      <c r="L13" s="458"/>
      <c r="M13" s="458"/>
      <c r="N13" s="458"/>
      <c r="O13" s="458"/>
      <c r="P13" s="458"/>
      <c r="Q13" s="458"/>
      <c r="R13" s="458"/>
    </row>
    <row r="14" spans="1:18" ht="15.75" x14ac:dyDescent="0.25">
      <c r="A14" s="2" t="s">
        <v>117</v>
      </c>
      <c r="B14" s="456"/>
      <c r="C14" s="2"/>
      <c r="D14" s="457">
        <v>22245129</v>
      </c>
      <c r="E14" s="2"/>
      <c r="F14" s="457">
        <v>5099144</v>
      </c>
      <c r="G14" s="2"/>
      <c r="H14" s="457">
        <v>33092182</v>
      </c>
      <c r="I14" s="2"/>
      <c r="J14" s="457">
        <v>1466875</v>
      </c>
      <c r="L14" s="458"/>
      <c r="M14" s="458"/>
      <c r="N14" s="458"/>
      <c r="O14" s="458"/>
      <c r="P14" s="458"/>
      <c r="Q14" s="458"/>
      <c r="R14" s="458"/>
    </row>
    <row r="15" spans="1:18" ht="15.75" x14ac:dyDescent="0.25">
      <c r="A15" s="2" t="s">
        <v>118</v>
      </c>
      <c r="B15" s="456"/>
      <c r="C15" s="2"/>
      <c r="D15" s="457">
        <v>22275297</v>
      </c>
      <c r="E15" s="2"/>
      <c r="F15" s="457">
        <v>5206344</v>
      </c>
      <c r="G15" s="2"/>
      <c r="H15" s="457">
        <v>35481102</v>
      </c>
      <c r="I15" s="2"/>
      <c r="J15" s="457">
        <v>1011845</v>
      </c>
      <c r="L15" s="458"/>
      <c r="M15" s="458"/>
      <c r="N15" s="458"/>
      <c r="O15" s="458"/>
      <c r="P15" s="458"/>
      <c r="Q15" s="458"/>
      <c r="R15" s="458"/>
    </row>
    <row r="16" spans="1:18" ht="15.75" x14ac:dyDescent="0.25">
      <c r="A16" s="2" t="s">
        <v>119</v>
      </c>
      <c r="B16" s="456"/>
      <c r="C16" s="2"/>
      <c r="D16" s="457">
        <v>22305463</v>
      </c>
      <c r="E16" s="2"/>
      <c r="F16" s="457">
        <v>5347729</v>
      </c>
      <c r="G16" s="2"/>
      <c r="H16" s="457">
        <v>30260166</v>
      </c>
      <c r="I16" s="2"/>
      <c r="J16" s="457">
        <v>581704</v>
      </c>
      <c r="L16" s="458"/>
      <c r="M16" s="458"/>
      <c r="N16" s="458"/>
      <c r="O16" s="458"/>
      <c r="P16" s="458"/>
      <c r="Q16" s="458"/>
      <c r="R16" s="458"/>
    </row>
    <row r="17" spans="1:18" ht="15.75" x14ac:dyDescent="0.25">
      <c r="A17" s="2" t="s">
        <v>120</v>
      </c>
      <c r="B17" s="456"/>
      <c r="C17" s="2"/>
      <c r="D17" s="457">
        <v>22507310</v>
      </c>
      <c r="E17" s="2"/>
      <c r="F17" s="457">
        <v>5410626</v>
      </c>
      <c r="G17" s="2"/>
      <c r="H17" s="457">
        <v>32249856</v>
      </c>
      <c r="I17" s="2"/>
      <c r="J17" s="457">
        <v>123908</v>
      </c>
      <c r="L17" s="458"/>
      <c r="M17" s="458"/>
      <c r="N17" s="458"/>
      <c r="O17" s="458"/>
      <c r="P17" s="458"/>
      <c r="Q17" s="458"/>
      <c r="R17" s="458"/>
    </row>
    <row r="18" spans="1:18" ht="15.75" x14ac:dyDescent="0.25">
      <c r="A18" s="2" t="s">
        <v>121</v>
      </c>
      <c r="B18" s="456"/>
      <c r="C18" s="2"/>
      <c r="D18" s="457">
        <v>22613908</v>
      </c>
      <c r="E18" s="2"/>
      <c r="F18" s="457">
        <v>5346933</v>
      </c>
      <c r="G18" s="2"/>
      <c r="H18" s="457">
        <v>43838549</v>
      </c>
      <c r="I18" s="2"/>
      <c r="J18" s="457">
        <v>80020</v>
      </c>
      <c r="L18" s="458"/>
      <c r="M18" s="458"/>
      <c r="N18" s="458"/>
      <c r="O18" s="458"/>
      <c r="P18" s="458"/>
      <c r="Q18" s="458"/>
      <c r="R18" s="458"/>
    </row>
    <row r="19" spans="1:18" ht="15.75" x14ac:dyDescent="0.25">
      <c r="A19" s="2" t="s">
        <v>110</v>
      </c>
      <c r="B19" s="456"/>
      <c r="C19" s="2"/>
      <c r="D19" s="459">
        <v>22573864</v>
      </c>
      <c r="E19" s="2"/>
      <c r="F19" s="459">
        <v>5397804</v>
      </c>
      <c r="G19" s="2"/>
      <c r="H19" s="459">
        <v>52248632</v>
      </c>
      <c r="I19" s="2"/>
      <c r="J19" s="459">
        <v>3468360</v>
      </c>
      <c r="L19" s="458"/>
      <c r="M19" s="458"/>
      <c r="N19" s="458"/>
      <c r="O19" s="458"/>
      <c r="P19" s="458"/>
      <c r="Q19" s="458"/>
      <c r="R19" s="458"/>
    </row>
    <row r="20" spans="1:18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8" ht="16.5" thickBot="1" x14ac:dyDescent="0.3">
      <c r="A21" s="2" t="s">
        <v>56</v>
      </c>
      <c r="B21" s="2"/>
      <c r="C21" s="2"/>
      <c r="D21" s="14">
        <f>SUM(D7:D19)</f>
        <v>290454080</v>
      </c>
      <c r="E21" s="2"/>
      <c r="F21" s="14">
        <f>SUM(F7:F19)</f>
        <v>66464559</v>
      </c>
      <c r="G21" s="2"/>
      <c r="H21" s="14">
        <f>SUM(H7:H19)</f>
        <v>508333310</v>
      </c>
      <c r="I21" s="2"/>
      <c r="J21" s="14">
        <f>SUM(J7:J19)</f>
        <v>28542764</v>
      </c>
    </row>
    <row r="22" spans="1:18" ht="16.5" thickTop="1" x14ac:dyDescent="0.25">
      <c r="A22" s="2" t="s">
        <v>57</v>
      </c>
      <c r="B22" s="2"/>
      <c r="C22" s="2"/>
      <c r="D22" s="15">
        <f>ROUND(D21/13,0)</f>
        <v>22342622</v>
      </c>
      <c r="E22" s="2"/>
      <c r="F22" s="15">
        <f>ROUND(F21/13,0)</f>
        <v>5112658</v>
      </c>
      <c r="G22" s="2"/>
      <c r="H22" s="15">
        <f>ROUND(H21/13,0)</f>
        <v>39102562</v>
      </c>
      <c r="I22" s="2"/>
      <c r="J22" s="15">
        <f>ROUND(J21/13,0)</f>
        <v>2195597</v>
      </c>
    </row>
    <row r="23" spans="1:18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8" ht="15.75" x14ac:dyDescent="0.25">
      <c r="A24" s="2"/>
      <c r="B24" s="2"/>
      <c r="C24" s="2"/>
      <c r="D24" s="3" t="s">
        <v>58</v>
      </c>
      <c r="E24" s="3"/>
      <c r="F24" s="3" t="s">
        <v>59</v>
      </c>
      <c r="G24" s="3"/>
      <c r="H24" s="3" t="s">
        <v>60</v>
      </c>
      <c r="I24" s="3"/>
      <c r="J24" s="3" t="s">
        <v>61</v>
      </c>
    </row>
    <row r="25" spans="1:18" ht="15.75" x14ac:dyDescent="0.25">
      <c r="A25" s="2" t="s">
        <v>62</v>
      </c>
      <c r="B25" s="2"/>
      <c r="C25" s="2"/>
      <c r="D25" s="16">
        <f>J38</f>
        <v>0.86520999999999992</v>
      </c>
      <c r="E25" s="2"/>
      <c r="F25" s="460">
        <v>0.86521000000000003</v>
      </c>
      <c r="G25" s="24"/>
      <c r="H25" s="460">
        <v>0.86167000000000005</v>
      </c>
      <c r="I25" s="24"/>
      <c r="J25" s="460">
        <v>0.87197999999999998</v>
      </c>
    </row>
    <row r="26" spans="1:18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8" ht="16.5" thickBot="1" x14ac:dyDescent="0.3">
      <c r="A27" s="2" t="s">
        <v>63</v>
      </c>
      <c r="B27" s="2"/>
      <c r="C27" s="2"/>
      <c r="D27" s="14">
        <f>ROUND(D22*D25,0)</f>
        <v>19331060</v>
      </c>
      <c r="E27" s="2"/>
      <c r="F27" s="14">
        <f>ROUND(F22*F25,0)</f>
        <v>4423523</v>
      </c>
      <c r="G27" s="2"/>
      <c r="H27" s="14">
        <f>ROUND(H22*H25,0)</f>
        <v>33693505</v>
      </c>
      <c r="I27" s="2"/>
      <c r="J27" s="14">
        <f>ROUND(J22*J25,0)</f>
        <v>1914517</v>
      </c>
    </row>
    <row r="28" spans="1:18" ht="16.5" thickTop="1" x14ac:dyDescent="0.25">
      <c r="A28" s="2"/>
      <c r="B28" s="2"/>
      <c r="C28" s="2"/>
      <c r="D28" s="15"/>
      <c r="E28" s="2"/>
      <c r="F28" s="15"/>
      <c r="G28" s="2"/>
      <c r="H28" s="15"/>
      <c r="I28" s="2"/>
      <c r="J28" s="15"/>
    </row>
    <row r="29" spans="1:18" ht="15.75" x14ac:dyDescent="0.25">
      <c r="A29" s="2"/>
      <c r="B29" s="2"/>
      <c r="C29" s="2"/>
      <c r="D29" s="15"/>
      <c r="E29" s="2"/>
      <c r="F29" s="15"/>
      <c r="G29" s="2"/>
      <c r="H29" s="15"/>
      <c r="I29" s="2"/>
      <c r="J29" s="15"/>
    </row>
    <row r="30" spans="1:18" ht="15.75" x14ac:dyDescent="0.25">
      <c r="A30" s="2" t="s">
        <v>64</v>
      </c>
      <c r="B30" s="2"/>
      <c r="C30" s="2"/>
      <c r="D30" s="15"/>
      <c r="E30" s="2"/>
      <c r="F30" s="15"/>
      <c r="G30" s="2"/>
      <c r="H30" s="15"/>
      <c r="I30" s="2"/>
      <c r="J30" s="15"/>
    </row>
    <row r="31" spans="1:18" ht="15.75" x14ac:dyDescent="0.25">
      <c r="A31" s="2" t="s">
        <v>65</v>
      </c>
      <c r="B31" s="2"/>
      <c r="C31" s="2"/>
      <c r="D31" s="15"/>
      <c r="E31" s="2"/>
      <c r="F31" s="15"/>
      <c r="G31" s="2"/>
      <c r="H31" s="15"/>
      <c r="I31" s="2"/>
      <c r="J31" s="15"/>
    </row>
    <row r="32" spans="1:18" ht="15.75" x14ac:dyDescent="0.25">
      <c r="A32" s="2"/>
      <c r="B32" s="2"/>
      <c r="C32" s="2"/>
      <c r="D32" s="15"/>
      <c r="E32" s="2"/>
      <c r="F32" s="15"/>
      <c r="G32" s="2"/>
      <c r="H32" s="15"/>
      <c r="I32" s="2"/>
      <c r="J32" s="15"/>
    </row>
    <row r="33" spans="1:10" ht="15.75" x14ac:dyDescent="0.25">
      <c r="A33" s="2"/>
      <c r="B33" s="4" t="s">
        <v>122</v>
      </c>
      <c r="C33" s="2"/>
      <c r="D33" s="17" t="s">
        <v>34</v>
      </c>
      <c r="E33" s="3"/>
      <c r="F33" s="17" t="s">
        <v>66</v>
      </c>
      <c r="G33" s="3"/>
      <c r="H33" s="17" t="s">
        <v>66</v>
      </c>
      <c r="I33" s="3"/>
      <c r="J33" s="17" t="s">
        <v>67</v>
      </c>
    </row>
    <row r="34" spans="1:10" ht="16.5" thickBot="1" x14ac:dyDescent="0.3">
      <c r="A34" s="2"/>
      <c r="B34" s="18" t="s">
        <v>68</v>
      </c>
      <c r="C34" s="2"/>
      <c r="D34" s="19" t="s">
        <v>69</v>
      </c>
      <c r="E34" s="3"/>
      <c r="F34" s="19" t="s">
        <v>70</v>
      </c>
      <c r="G34" s="3"/>
      <c r="H34" s="19" t="s">
        <v>71</v>
      </c>
      <c r="I34" s="3"/>
      <c r="J34" s="19" t="s">
        <v>72</v>
      </c>
    </row>
    <row r="35" spans="1:10" ht="15.75" x14ac:dyDescent="0.25">
      <c r="A35" s="2" t="s">
        <v>73</v>
      </c>
      <c r="B35" s="461">
        <v>14796928</v>
      </c>
      <c r="C35" s="2"/>
      <c r="D35" s="20">
        <f>ROUND(B35/$B$38,5)</f>
        <v>0.65549000000000002</v>
      </c>
      <c r="E35" s="2"/>
      <c r="F35" s="17" t="s">
        <v>74</v>
      </c>
      <c r="G35" s="2"/>
      <c r="H35" s="460">
        <v>0.85014000000000001</v>
      </c>
      <c r="I35" s="2"/>
      <c r="J35" s="16">
        <f>ROUND(D35*H35,5)</f>
        <v>0.55725999999999998</v>
      </c>
    </row>
    <row r="36" spans="1:10" ht="15.75" x14ac:dyDescent="0.25">
      <c r="A36" s="2" t="s">
        <v>75</v>
      </c>
      <c r="B36" s="461">
        <v>2463874</v>
      </c>
      <c r="C36" s="2"/>
      <c r="D36" s="20">
        <f>ROUND(B36/$B$38,5)</f>
        <v>0.10915</v>
      </c>
      <c r="E36" s="2"/>
      <c r="F36" s="17" t="s">
        <v>76</v>
      </c>
      <c r="G36" s="2"/>
      <c r="H36" s="460">
        <v>0.79613</v>
      </c>
      <c r="I36" s="2"/>
      <c r="J36" s="16">
        <f>ROUND(D36*H36,5)</f>
        <v>8.6900000000000005E-2</v>
      </c>
    </row>
    <row r="37" spans="1:10" ht="15.75" x14ac:dyDescent="0.25">
      <c r="A37" s="2" t="s">
        <v>77</v>
      </c>
      <c r="B37" s="462">
        <v>5313062</v>
      </c>
      <c r="C37" s="2"/>
      <c r="D37" s="20">
        <f>ROUND(B37/$B$38,5)</f>
        <v>0.23536000000000001</v>
      </c>
      <c r="E37" s="2"/>
      <c r="F37" s="17" t="s">
        <v>78</v>
      </c>
      <c r="G37" s="2"/>
      <c r="H37" s="460">
        <v>0.93920999999999999</v>
      </c>
      <c r="I37" s="2"/>
      <c r="J37" s="21">
        <f>ROUND(D37*H37,5)</f>
        <v>0.22105</v>
      </c>
    </row>
    <row r="38" spans="1:10" ht="16.5" thickBot="1" x14ac:dyDescent="0.3">
      <c r="A38" s="2" t="s">
        <v>79</v>
      </c>
      <c r="B38" s="15">
        <f>SUM(B35:B37)</f>
        <v>22573864</v>
      </c>
      <c r="C38" s="2"/>
      <c r="D38" s="15"/>
      <c r="E38" s="2"/>
      <c r="F38" s="15"/>
      <c r="G38" s="2"/>
      <c r="H38" s="15"/>
      <c r="I38" s="2"/>
      <c r="J38" s="22">
        <f>SUM(J35:J37)</f>
        <v>0.86520999999999992</v>
      </c>
    </row>
    <row r="39" spans="1:10" ht="16.5" thickTop="1" x14ac:dyDescent="0.25">
      <c r="A39" s="2"/>
      <c r="B39" s="2"/>
      <c r="C39" s="2"/>
      <c r="D39" s="15"/>
      <c r="E39" s="2"/>
      <c r="F39" s="15"/>
      <c r="G39" s="2"/>
      <c r="H39" s="15"/>
      <c r="I39" s="2"/>
      <c r="J39" s="15"/>
    </row>
    <row r="40" spans="1:10" ht="15.75" x14ac:dyDescent="0.25">
      <c r="A40" s="2"/>
      <c r="B40" s="2"/>
      <c r="C40" s="2"/>
      <c r="D40" s="15"/>
      <c r="E40" s="2"/>
      <c r="F40" s="15"/>
      <c r="G40" s="2"/>
      <c r="H40" s="15"/>
      <c r="I40" s="2"/>
      <c r="J40" s="15"/>
    </row>
    <row r="41" spans="1:10" ht="51" customHeight="1" x14ac:dyDescent="0.25">
      <c r="A41" s="855" t="s">
        <v>171</v>
      </c>
      <c r="B41" s="855"/>
      <c r="C41" s="855"/>
      <c r="D41" s="855"/>
      <c r="E41" s="855"/>
      <c r="F41" s="855"/>
      <c r="G41" s="855"/>
      <c r="H41" s="855"/>
      <c r="I41" s="855"/>
      <c r="J41" s="855"/>
    </row>
    <row r="42" spans="1:10" x14ac:dyDescent="0.2">
      <c r="A42" t="s">
        <v>80</v>
      </c>
    </row>
  </sheetData>
  <mergeCells count="3">
    <mergeCell ref="A1:J1"/>
    <mergeCell ref="A2:J2"/>
    <mergeCell ref="A41:J41"/>
  </mergeCells>
  <phoneticPr fontId="0" type="noConversion"/>
  <printOptions horizontalCentered="1"/>
  <pageMargins left="0.75" right="0.75" top="1" bottom="1" header="0.25" footer="0.5"/>
  <pageSetup scale="76"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59"/>
  <sheetViews>
    <sheetView showGridLines="0" topLeftCell="A7" zoomScale="75" workbookViewId="0">
      <selection activeCell="C33" sqref="C33"/>
    </sheetView>
  </sheetViews>
  <sheetFormatPr defaultRowHeight="15.75" customHeight="1" x14ac:dyDescent="0.25"/>
  <cols>
    <col min="1" max="1" width="48.7109375" customWidth="1"/>
    <col min="2" max="2" width="6.42578125" customWidth="1"/>
    <col min="3" max="3" width="20.28515625" style="800" bestFit="1" customWidth="1"/>
    <col min="4" max="4" width="9.85546875" style="800" customWidth="1"/>
    <col min="5" max="5" width="21.5703125" style="800" customWidth="1"/>
    <col min="6" max="6" width="9.85546875" style="800" customWidth="1"/>
    <col min="7" max="7" width="19" style="800" customWidth="1"/>
    <col min="8" max="8" width="6.42578125" style="800" customWidth="1"/>
    <col min="9" max="9" width="14.42578125" style="800" customWidth="1"/>
    <col min="10" max="10" width="10.28515625" hidden="1" customWidth="1"/>
  </cols>
  <sheetData>
    <row r="1" spans="1:10" ht="15.75" customHeight="1" x14ac:dyDescent="0.25">
      <c r="A1" s="854" t="s">
        <v>21</v>
      </c>
      <c r="B1" s="854"/>
      <c r="C1" s="854"/>
      <c r="D1" s="854"/>
      <c r="E1" s="854"/>
      <c r="F1" s="854"/>
      <c r="G1" s="854"/>
      <c r="H1" s="854"/>
      <c r="I1" s="854"/>
      <c r="J1" s="799"/>
    </row>
    <row r="2" spans="1:10" ht="15.75" customHeight="1" x14ac:dyDescent="0.25">
      <c r="A2" s="854" t="s">
        <v>190</v>
      </c>
      <c r="B2" s="854"/>
      <c r="C2" s="854"/>
      <c r="D2" s="854"/>
      <c r="E2" s="854"/>
      <c r="F2" s="854"/>
      <c r="G2" s="854"/>
      <c r="H2" s="854"/>
      <c r="I2" s="854"/>
      <c r="J2" s="799"/>
    </row>
    <row r="3" spans="1:10" s="2" customFormat="1" ht="15.75" customHeight="1" x14ac:dyDescent="0.25">
      <c r="A3" s="856" t="str">
        <f>[19]Cover!A15</f>
        <v>March 31, 2012</v>
      </c>
      <c r="B3" s="856"/>
      <c r="C3" s="856"/>
      <c r="D3" s="856"/>
      <c r="E3" s="856"/>
      <c r="F3" s="856"/>
      <c r="G3" s="856"/>
      <c r="H3" s="856"/>
      <c r="I3" s="856"/>
    </row>
    <row r="6" spans="1:10" ht="15.75" customHeight="1" x14ac:dyDescent="0.25">
      <c r="A6" s="801"/>
      <c r="C6" s="802" t="s">
        <v>191</v>
      </c>
      <c r="D6" s="803"/>
      <c r="E6" s="803"/>
      <c r="F6" s="803"/>
      <c r="G6" s="803"/>
      <c r="H6" s="803"/>
      <c r="I6" s="803"/>
    </row>
    <row r="8" spans="1:10" ht="15.75" customHeight="1" x14ac:dyDescent="0.25">
      <c r="C8" s="804" t="s">
        <v>192</v>
      </c>
      <c r="D8" s="805"/>
      <c r="E8" s="804" t="s">
        <v>193</v>
      </c>
      <c r="F8" s="805"/>
      <c r="G8" s="806" t="s">
        <v>194</v>
      </c>
      <c r="H8" s="807"/>
      <c r="I8" s="808"/>
    </row>
    <row r="9" spans="1:10" ht="15.75" customHeight="1" x14ac:dyDescent="0.25">
      <c r="C9" s="809" t="s">
        <v>195</v>
      </c>
      <c r="D9" s="805"/>
      <c r="E9" s="809" t="s">
        <v>195</v>
      </c>
      <c r="F9" s="805"/>
      <c r="G9" s="809" t="s">
        <v>195</v>
      </c>
      <c r="H9" s="805"/>
      <c r="I9" s="810" t="s">
        <v>196</v>
      </c>
    </row>
    <row r="11" spans="1:10" ht="15.75" customHeight="1" x14ac:dyDescent="0.25">
      <c r="A11" s="811" t="s">
        <v>631</v>
      </c>
      <c r="B11" s="812" t="s">
        <v>198</v>
      </c>
      <c r="C11" s="669">
        <f>[19]d3!B16</f>
        <v>1522035957.1099999</v>
      </c>
      <c r="D11" s="813"/>
      <c r="E11" s="669">
        <f>[19]d3!C16</f>
        <v>1537241985.6800001</v>
      </c>
      <c r="F11" s="813"/>
      <c r="G11" s="669">
        <f>C11-E11</f>
        <v>-15206028.570000172</v>
      </c>
      <c r="H11" s="813"/>
      <c r="I11" s="814">
        <f>ROUND(G11/E11*100,4)</f>
        <v>-0.98919999999999997</v>
      </c>
    </row>
    <row r="12" spans="1:10" ht="15.75" customHeight="1" x14ac:dyDescent="0.25">
      <c r="A12" s="811" t="s">
        <v>632</v>
      </c>
      <c r="B12" s="812" t="s">
        <v>198</v>
      </c>
      <c r="C12" s="815">
        <f>[19]d3!B17</f>
        <v>0</v>
      </c>
      <c r="E12" s="815">
        <f>[19]d3!C17</f>
        <v>355385.29</v>
      </c>
      <c r="G12" s="815">
        <f>C12-E12</f>
        <v>-355385.29</v>
      </c>
      <c r="I12" s="816">
        <f>ROUND(G12/E12*100,4)</f>
        <v>-100</v>
      </c>
    </row>
    <row r="13" spans="1:10" ht="15.75" customHeight="1" x14ac:dyDescent="0.25">
      <c r="B13" s="812" t="s">
        <v>198</v>
      </c>
      <c r="I13" s="817"/>
    </row>
    <row r="14" spans="1:10" ht="15.75" customHeight="1" x14ac:dyDescent="0.25">
      <c r="A14" s="811" t="s">
        <v>633</v>
      </c>
      <c r="B14" s="812" t="s">
        <v>198</v>
      </c>
      <c r="C14" s="815">
        <f>SUM(C10:C13)</f>
        <v>1522035957.1099999</v>
      </c>
      <c r="E14" s="815">
        <f>SUM(E10:E13)</f>
        <v>1537597370.97</v>
      </c>
      <c r="G14" s="815">
        <f>C14-E14</f>
        <v>-15561413.860000134</v>
      </c>
      <c r="I14" s="816">
        <f>ROUND(G14/E14*100,4)</f>
        <v>-1.0121</v>
      </c>
    </row>
    <row r="15" spans="1:10" ht="15.75" customHeight="1" x14ac:dyDescent="0.2">
      <c r="A15" s="818" t="s">
        <v>198</v>
      </c>
      <c r="B15" s="818"/>
      <c r="C15" s="818"/>
      <c r="D15" s="818"/>
      <c r="E15" s="818"/>
      <c r="F15" s="818"/>
      <c r="G15" s="818"/>
      <c r="H15" s="818"/>
      <c r="I15" s="818"/>
      <c r="J15" s="818"/>
    </row>
    <row r="16" spans="1:10" ht="15.75" customHeight="1" x14ac:dyDescent="0.25">
      <c r="A16" s="811" t="s">
        <v>634</v>
      </c>
      <c r="B16" s="812" t="s">
        <v>198</v>
      </c>
      <c r="C16" s="819">
        <f>[19]d3!B22</f>
        <v>516817356.17000002</v>
      </c>
      <c r="E16" s="800">
        <f>[19]d3!C22</f>
        <v>501144494.76999998</v>
      </c>
      <c r="G16" s="800">
        <f t="shared" ref="G16:G27" si="0">C16-E16</f>
        <v>15672861.400000036</v>
      </c>
      <c r="I16" s="819">
        <f>ROUND(G16/E16*100,4)</f>
        <v>3.1274000000000002</v>
      </c>
    </row>
    <row r="17" spans="1:11" ht="15.75" customHeight="1" x14ac:dyDescent="0.25">
      <c r="A17" s="811" t="s">
        <v>635</v>
      </c>
      <c r="B17" s="812" t="s">
        <v>198</v>
      </c>
      <c r="C17" s="819">
        <f>[19]d3!B23</f>
        <v>103829269.81</v>
      </c>
      <c r="E17" s="800">
        <f>[19]d3!C23</f>
        <v>154190992.53</v>
      </c>
      <c r="G17" s="800">
        <f t="shared" si="0"/>
        <v>-50361722.719999999</v>
      </c>
      <c r="I17" s="819">
        <f>ROUND(G17/E17*100,4)</f>
        <v>-32.661900000000003</v>
      </c>
      <c r="K17" s="820"/>
    </row>
    <row r="18" spans="1:11" ht="15.75" customHeight="1" x14ac:dyDescent="0.25">
      <c r="A18" s="811" t="s">
        <v>636</v>
      </c>
      <c r="B18" s="812" t="s">
        <v>198</v>
      </c>
      <c r="C18" s="819">
        <f>[19]d3!B24</f>
        <v>234009083.63999999</v>
      </c>
      <c r="E18" s="800">
        <f>[19]d3!C24</f>
        <v>223494400.63</v>
      </c>
      <c r="G18" s="800">
        <f t="shared" si="0"/>
        <v>10514683.00999999</v>
      </c>
      <c r="I18" s="819">
        <f>ROUND(G18/E18*100,4)</f>
        <v>4.7046999999999999</v>
      </c>
    </row>
    <row r="19" spans="1:11" ht="15.75" customHeight="1" x14ac:dyDescent="0.25">
      <c r="A19" s="811" t="s">
        <v>637</v>
      </c>
      <c r="B19" s="812" t="s">
        <v>198</v>
      </c>
      <c r="C19" s="819">
        <f>[19]d3!B25</f>
        <v>126205679.78</v>
      </c>
      <c r="E19" s="800">
        <f>[19]d3!C25</f>
        <v>109746892.70999999</v>
      </c>
      <c r="G19" s="800">
        <f t="shared" si="0"/>
        <v>16458787.070000008</v>
      </c>
      <c r="I19" s="819">
        <f>ROUND(G19/E19*100,4)</f>
        <v>14.997</v>
      </c>
    </row>
    <row r="20" spans="1:11" ht="15.75" customHeight="1" x14ac:dyDescent="0.25">
      <c r="A20" s="811" t="s">
        <v>638</v>
      </c>
      <c r="B20" s="812" t="s">
        <v>198</v>
      </c>
      <c r="C20" s="819">
        <f>[19]d3!B26</f>
        <v>184687593.56</v>
      </c>
      <c r="E20" s="800">
        <f>[19]d3!C26</f>
        <v>151138300.72</v>
      </c>
      <c r="G20" s="800">
        <f t="shared" si="0"/>
        <v>33549292.840000004</v>
      </c>
      <c r="I20" s="819">
        <f>ROUND(G20/E20*100,4)</f>
        <v>22.197700000000001</v>
      </c>
    </row>
    <row r="21" spans="1:11" ht="15.75" customHeight="1" x14ac:dyDescent="0.25">
      <c r="A21" s="811" t="s">
        <v>639</v>
      </c>
      <c r="B21" s="812" t="s">
        <v>198</v>
      </c>
      <c r="C21" s="819">
        <f>[19]d3!B27</f>
        <v>7505149.4400000004</v>
      </c>
      <c r="E21" s="800">
        <f>[19]d3!C27</f>
        <v>6594409.4800000004</v>
      </c>
      <c r="G21" s="800">
        <f t="shared" si="0"/>
        <v>910739.96</v>
      </c>
      <c r="I21" s="819">
        <f>IF((G21/E21*100)&gt;1000,0,ROUND(G21/E21*100,4))</f>
        <v>13.8108</v>
      </c>
    </row>
    <row r="22" spans="1:11" ht="15.75" customHeight="1" x14ac:dyDescent="0.25">
      <c r="A22" s="811" t="s">
        <v>640</v>
      </c>
      <c r="B22" s="812" t="s">
        <v>198</v>
      </c>
      <c r="C22" s="819">
        <f>[19]d3!B28</f>
        <v>-6011854.4199999999</v>
      </c>
      <c r="E22" s="800">
        <f>[19]d3!C28</f>
        <v>-5940201.1799999997</v>
      </c>
      <c r="G22" s="800">
        <f t="shared" si="0"/>
        <v>-71653.240000000224</v>
      </c>
      <c r="I22" s="819">
        <f>-IF((G22/E22*100)&gt;1000,0,ROUND(G22/E22*100,4))</f>
        <v>-1.2061999999999999</v>
      </c>
    </row>
    <row r="23" spans="1:11" ht="15.75" customHeight="1" x14ac:dyDescent="0.25">
      <c r="A23" t="s">
        <v>208</v>
      </c>
      <c r="B23" s="812" t="s">
        <v>198</v>
      </c>
      <c r="C23" s="819"/>
      <c r="I23" s="819"/>
    </row>
    <row r="24" spans="1:11" ht="15.75" customHeight="1" x14ac:dyDescent="0.25">
      <c r="A24" s="811" t="s">
        <v>641</v>
      </c>
      <c r="B24" s="812" t="s">
        <v>198</v>
      </c>
      <c r="C24" s="819">
        <f>[19]d3!B30</f>
        <v>-17247753.460000001</v>
      </c>
      <c r="E24" s="800">
        <f>[19]d3!C30</f>
        <v>53938279.200000003</v>
      </c>
      <c r="G24" s="800">
        <f t="shared" si="0"/>
        <v>-71186032.659999996</v>
      </c>
      <c r="I24" s="819">
        <f>IF(C24-E24=C24,0,ROUND(G24/E24*100,4))</f>
        <v>-131.9768</v>
      </c>
    </row>
    <row r="25" spans="1:11" ht="15.75" customHeight="1" x14ac:dyDescent="0.25">
      <c r="A25" s="811" t="s">
        <v>642</v>
      </c>
      <c r="B25" s="812" t="s">
        <v>198</v>
      </c>
      <c r="C25" s="819">
        <f>[19]d3!B31</f>
        <v>1899319.18</v>
      </c>
      <c r="E25" s="800">
        <f>[19]d3!C31</f>
        <v>13031186.26</v>
      </c>
      <c r="G25" s="800">
        <f t="shared" si="0"/>
        <v>-11131867.08</v>
      </c>
      <c r="I25" s="819">
        <f>IF(C25-E25=C25,0,ROUND(G25/E25*100,4))</f>
        <v>-85.424800000000005</v>
      </c>
    </row>
    <row r="26" spans="1:11" ht="15.75" customHeight="1" x14ac:dyDescent="0.25">
      <c r="A26" s="811" t="s">
        <v>643</v>
      </c>
      <c r="B26" s="812" t="s">
        <v>198</v>
      </c>
      <c r="C26" s="819">
        <f>[19]d3!B32</f>
        <v>102811975.59</v>
      </c>
      <c r="E26" s="800">
        <f>[19]d3!C32</f>
        <v>37796519.119999997</v>
      </c>
      <c r="G26" s="800">
        <f t="shared" si="0"/>
        <v>65015456.470000006</v>
      </c>
      <c r="I26" s="819">
        <f>IF(C26-E26=C26,0,ROUND(G26/E26*100,4))</f>
        <v>172.01439999999999</v>
      </c>
    </row>
    <row r="27" spans="1:11" ht="15.75" customHeight="1" x14ac:dyDescent="0.25">
      <c r="A27" s="811" t="s">
        <v>644</v>
      </c>
      <c r="B27" s="812" t="s">
        <v>198</v>
      </c>
      <c r="C27" s="819">
        <f>[19]d3!B33</f>
        <v>11097503.08</v>
      </c>
      <c r="E27" s="800">
        <f>[19]d3!C33</f>
        <v>3780387.88</v>
      </c>
      <c r="G27" s="800">
        <f t="shared" si="0"/>
        <v>7317115.2000000002</v>
      </c>
      <c r="I27" s="819">
        <f>IF(C27-E27=C27,0,ROUND(G27/E27*100,4))</f>
        <v>193.55459999999999</v>
      </c>
    </row>
    <row r="28" spans="1:11" ht="15.75" customHeight="1" x14ac:dyDescent="0.25">
      <c r="A28" s="811" t="s">
        <v>645</v>
      </c>
      <c r="B28" s="812" t="s">
        <v>198</v>
      </c>
      <c r="C28" s="814">
        <f>[19]d3!B34</f>
        <v>29144074.489999998</v>
      </c>
      <c r="D28" s="813"/>
      <c r="E28" s="800">
        <f>[19]d3!C34</f>
        <v>21337850.460000001</v>
      </c>
      <c r="F28" s="813"/>
      <c r="G28" s="813">
        <f>C28-E28</f>
        <v>7806224.0299999975</v>
      </c>
      <c r="H28" s="813"/>
      <c r="I28" s="819">
        <f>ROUND(G28/E28*100,4)</f>
        <v>36.5839</v>
      </c>
      <c r="J28" s="801"/>
    </row>
    <row r="29" spans="1:11" ht="15.75" customHeight="1" x14ac:dyDescent="0.25">
      <c r="A29" s="811" t="s">
        <v>646</v>
      </c>
      <c r="B29" s="812" t="s">
        <v>198</v>
      </c>
      <c r="C29" s="814">
        <f>[19]d3!B35</f>
        <v>0</v>
      </c>
      <c r="D29" s="813"/>
      <c r="E29" s="800">
        <f>[19]d3!C35</f>
        <v>0</v>
      </c>
      <c r="F29" s="813"/>
      <c r="G29" s="813">
        <f>C29-E29</f>
        <v>0</v>
      </c>
      <c r="H29" s="813"/>
      <c r="I29" s="819">
        <v>0</v>
      </c>
      <c r="J29" s="801" t="s">
        <v>215</v>
      </c>
    </row>
    <row r="30" spans="1:11" ht="15.75" customHeight="1" x14ac:dyDescent="0.25">
      <c r="A30" s="811" t="s">
        <v>647</v>
      </c>
      <c r="B30" s="812" t="s">
        <v>198</v>
      </c>
      <c r="C30" s="814">
        <f>[19]d3!B37</f>
        <v>-886.52</v>
      </c>
      <c r="D30" s="813"/>
      <c r="E30" s="800">
        <f>[19]d3!C37</f>
        <v>-16020.32</v>
      </c>
      <c r="F30" s="813"/>
      <c r="G30" s="813">
        <f>C30-E30</f>
        <v>15133.8</v>
      </c>
      <c r="H30" s="813"/>
      <c r="I30" s="819">
        <f>-IF(C30-E30=C30,0,ROUND(G30/E30*100,4))</f>
        <v>94.466300000000004</v>
      </c>
    </row>
    <row r="31" spans="1:11" ht="15.75" customHeight="1" x14ac:dyDescent="0.25">
      <c r="A31" s="811" t="s">
        <v>648</v>
      </c>
      <c r="B31" s="812" t="s">
        <v>198</v>
      </c>
      <c r="C31" s="816">
        <f>[19]d3!B38</f>
        <v>2934108.65</v>
      </c>
      <c r="D31" s="813"/>
      <c r="E31" s="815">
        <f>[19]d3!C38</f>
        <v>3631503.93</v>
      </c>
      <c r="F31" s="813"/>
      <c r="G31" s="815">
        <f>C31-E31</f>
        <v>-697395.28000000026</v>
      </c>
      <c r="H31" s="813"/>
      <c r="I31" s="816">
        <f>IF(C31-E31=C31,0,ROUND(G31/E31*100,4))</f>
        <v>-19.204000000000001</v>
      </c>
    </row>
    <row r="32" spans="1:11" ht="15.75" customHeight="1" x14ac:dyDescent="0.25">
      <c r="B32" s="812" t="s">
        <v>198</v>
      </c>
      <c r="I32" s="817"/>
    </row>
    <row r="33" spans="1:9" ht="15.75" customHeight="1" x14ac:dyDescent="0.25">
      <c r="A33" s="811" t="s">
        <v>649</v>
      </c>
      <c r="B33" s="812" t="s">
        <v>198</v>
      </c>
      <c r="C33" s="815">
        <f>SUM(C16:C32)</f>
        <v>1297680618.99</v>
      </c>
      <c r="E33" s="815">
        <f>SUM(E16:E32)</f>
        <v>1273868996.1900001</v>
      </c>
      <c r="G33" s="815">
        <f>C33-E33</f>
        <v>23811622.799999952</v>
      </c>
      <c r="I33" s="816">
        <f>ROUND(G33/E33*100,4)</f>
        <v>1.8692</v>
      </c>
    </row>
    <row r="34" spans="1:9" ht="15.75" customHeight="1" x14ac:dyDescent="0.25">
      <c r="B34" s="812" t="s">
        <v>198</v>
      </c>
      <c r="I34" s="817"/>
    </row>
    <row r="35" spans="1:9" ht="15.75" customHeight="1" x14ac:dyDescent="0.25">
      <c r="A35" s="811" t="s">
        <v>650</v>
      </c>
      <c r="B35" s="812" t="s">
        <v>198</v>
      </c>
      <c r="C35" s="113">
        <f>C14-C33</f>
        <v>224355338.11999989</v>
      </c>
      <c r="E35" s="800">
        <f>E14-E33</f>
        <v>263728374.77999997</v>
      </c>
      <c r="G35" s="800">
        <f>C35-E35</f>
        <v>-39373036.660000086</v>
      </c>
      <c r="I35" s="819">
        <f>ROUND(G35/E35*100,4)</f>
        <v>-14.929399999999999</v>
      </c>
    </row>
    <row r="36" spans="1:9" ht="15.75" customHeight="1" x14ac:dyDescent="0.25">
      <c r="B36" s="812"/>
      <c r="I36" s="819"/>
    </row>
    <row r="37" spans="1:9" ht="15.6" customHeight="1" x14ac:dyDescent="0.25">
      <c r="A37" t="s">
        <v>220</v>
      </c>
      <c r="B37" s="812" t="s">
        <v>198</v>
      </c>
      <c r="I37" s="821"/>
    </row>
    <row r="38" spans="1:9" ht="15.6" customHeight="1" x14ac:dyDescent="0.25">
      <c r="A38" s="811" t="s">
        <v>714</v>
      </c>
      <c r="B38" s="812"/>
      <c r="C38" s="800">
        <f>[19]d3!B45</f>
        <v>2800110.74</v>
      </c>
      <c r="E38" s="800">
        <f>[19]d3!C45</f>
        <v>639643</v>
      </c>
      <c r="G38" s="819">
        <f>C38-E38</f>
        <v>2160467.7400000002</v>
      </c>
      <c r="I38" s="819">
        <f>ROUND(G38/E38*100,4)</f>
        <v>337.76150000000001</v>
      </c>
    </row>
    <row r="39" spans="1:9" ht="15.75" customHeight="1" x14ac:dyDescent="0.25">
      <c r="A39" s="811" t="s">
        <v>651</v>
      </c>
      <c r="B39" s="812" t="s">
        <v>198</v>
      </c>
      <c r="C39" s="800">
        <f>[19]d3!B46</f>
        <v>533585.56999999995</v>
      </c>
      <c r="E39" s="800">
        <f>[19]d3!C46</f>
        <v>-471889.3</v>
      </c>
      <c r="G39" s="819">
        <f>C39-E39</f>
        <v>1005474.8699999999</v>
      </c>
      <c r="I39" s="819">
        <f>-ROUND(G39/E39*100,4)</f>
        <v>213.07429999999999</v>
      </c>
    </row>
    <row r="40" spans="1:9" ht="15.75" customHeight="1" x14ac:dyDescent="0.25">
      <c r="A40" s="811" t="s">
        <v>652</v>
      </c>
      <c r="B40" s="812" t="s">
        <v>198</v>
      </c>
      <c r="C40" s="815">
        <f>[19]d3!B47</f>
        <v>47125.06</v>
      </c>
      <c r="E40" s="815">
        <f>[19]d3!C47</f>
        <v>562455.71</v>
      </c>
      <c r="G40" s="816">
        <f>C40-E40</f>
        <v>-515330.64999999997</v>
      </c>
      <c r="I40" s="816">
        <f>ROUND(G40/E40*100,4)</f>
        <v>-91.621600000000001</v>
      </c>
    </row>
    <row r="41" spans="1:9" ht="15.75" customHeight="1" x14ac:dyDescent="0.25">
      <c r="B41" s="812" t="s">
        <v>198</v>
      </c>
      <c r="I41" s="817"/>
    </row>
    <row r="42" spans="1:9" ht="15.75" customHeight="1" x14ac:dyDescent="0.25">
      <c r="A42" s="811" t="s">
        <v>653</v>
      </c>
      <c r="B42" s="812" t="s">
        <v>198</v>
      </c>
      <c r="C42" s="815">
        <f>C39+C40+C38</f>
        <v>3380821.37</v>
      </c>
      <c r="E42" s="815">
        <f>E39+E40+E38</f>
        <v>730209.40999999992</v>
      </c>
      <c r="G42" s="815">
        <f>G39+G40+G38</f>
        <v>2650611.96</v>
      </c>
      <c r="I42" s="816">
        <f>ROUND(G42/E42*100,4)</f>
        <v>362.99340000000001</v>
      </c>
    </row>
    <row r="43" spans="1:9" ht="15.75" customHeight="1" x14ac:dyDescent="0.25">
      <c r="B43" s="812" t="s">
        <v>198</v>
      </c>
      <c r="I43" s="817"/>
    </row>
    <row r="44" spans="1:9" ht="15.75" customHeight="1" x14ac:dyDescent="0.25">
      <c r="A44" s="811" t="s">
        <v>654</v>
      </c>
      <c r="B44" s="812" t="s">
        <v>198</v>
      </c>
      <c r="C44" s="815">
        <f>C35+C42</f>
        <v>227736159.48999989</v>
      </c>
      <c r="E44" s="815">
        <f>E35+E42</f>
        <v>264458584.18999997</v>
      </c>
      <c r="G44" s="815">
        <f>C44-E44</f>
        <v>-36722424.700000077</v>
      </c>
      <c r="I44" s="816">
        <f>ROUND(G44/E44*100,4)</f>
        <v>-13.885899999999999</v>
      </c>
    </row>
    <row r="45" spans="1:9" ht="15.75" customHeight="1" x14ac:dyDescent="0.25">
      <c r="B45" s="812" t="s">
        <v>198</v>
      </c>
      <c r="I45" s="817"/>
    </row>
    <row r="46" spans="1:9" ht="15.75" customHeight="1" x14ac:dyDescent="0.25">
      <c r="A46" s="811" t="s">
        <v>655</v>
      </c>
      <c r="B46" s="812" t="s">
        <v>198</v>
      </c>
      <c r="C46" s="800">
        <f>[19]d3!B53</f>
        <v>61076334.119999997</v>
      </c>
      <c r="E46" s="800">
        <f>[19]d3!C53</f>
        <v>70677065.640000001</v>
      </c>
      <c r="G46" s="800">
        <f>C46-E46</f>
        <v>-9600731.5200000033</v>
      </c>
      <c r="I46" s="819">
        <f>ROUND(G46/E46*100,4)</f>
        <v>-13.5839</v>
      </c>
    </row>
    <row r="47" spans="1:9" ht="15.75" customHeight="1" x14ac:dyDescent="0.25">
      <c r="A47" s="811" t="s">
        <v>656</v>
      </c>
      <c r="B47" s="812" t="s">
        <v>198</v>
      </c>
      <c r="C47" s="800">
        <f>[19]d3!B54</f>
        <v>3773938.89</v>
      </c>
      <c r="E47" s="800">
        <f>[19]d3!C54</f>
        <v>1855595.95</v>
      </c>
      <c r="G47" s="800">
        <f>C47-E47</f>
        <v>1918342.9400000002</v>
      </c>
      <c r="I47" s="819">
        <f>ROUND(G47/E47*100,4)</f>
        <v>103.3815</v>
      </c>
    </row>
    <row r="48" spans="1:9" ht="15.75" customHeight="1" x14ac:dyDescent="0.25">
      <c r="A48" s="811" t="s">
        <v>657</v>
      </c>
      <c r="B48" s="812" t="s">
        <v>198</v>
      </c>
      <c r="C48" s="800">
        <f>[19]d3!B55</f>
        <v>5107381.6399999997</v>
      </c>
      <c r="E48" s="800">
        <f>[19]d3!C55</f>
        <v>4496292.04</v>
      </c>
      <c r="G48" s="800">
        <f>C48-E48</f>
        <v>611089.59999999963</v>
      </c>
      <c r="I48" s="819">
        <f>ROUND(G48/E48*100,4)</f>
        <v>13.590999999999999</v>
      </c>
    </row>
    <row r="49" spans="1:9" ht="15.75" customHeight="1" x14ac:dyDescent="0.25">
      <c r="A49" s="811" t="s">
        <v>658</v>
      </c>
      <c r="B49" s="812" t="s">
        <v>198</v>
      </c>
      <c r="C49" s="815">
        <f>[19]d3!B56</f>
        <v>-13892.09</v>
      </c>
      <c r="E49" s="815">
        <f>[19]d3!C56</f>
        <v>-731782.42</v>
      </c>
      <c r="G49" s="815">
        <f>C49-E49</f>
        <v>717890.33000000007</v>
      </c>
      <c r="I49" s="822">
        <f>-ROUND(G49/E49*100,4)</f>
        <v>98.101600000000005</v>
      </c>
    </row>
    <row r="50" spans="1:9" ht="15.75" customHeight="1" x14ac:dyDescent="0.25">
      <c r="B50" s="812" t="s">
        <v>198</v>
      </c>
      <c r="I50" s="817"/>
    </row>
    <row r="51" spans="1:9" ht="15.75" customHeight="1" x14ac:dyDescent="0.25">
      <c r="A51" s="811" t="s">
        <v>659</v>
      </c>
      <c r="B51" s="812" t="s">
        <v>198</v>
      </c>
      <c r="C51" s="815">
        <f>SUM(C46:C50)</f>
        <v>69943762.559999987</v>
      </c>
      <c r="E51" s="815">
        <f>SUM(E46:E50)</f>
        <v>76297171.210000008</v>
      </c>
      <c r="G51" s="815">
        <f>C51-E51</f>
        <v>-6353408.6500000209</v>
      </c>
      <c r="I51" s="816">
        <f>ROUND(G51/E51*100,4)</f>
        <v>-8.3271999999999995</v>
      </c>
    </row>
    <row r="52" spans="1:9" ht="15.75" customHeight="1" x14ac:dyDescent="0.25">
      <c r="B52" s="812"/>
      <c r="I52" s="817"/>
    </row>
    <row r="53" spans="1:9" ht="15.75" customHeight="1" thickBot="1" x14ac:dyDescent="0.3">
      <c r="A53" s="811" t="s">
        <v>660</v>
      </c>
      <c r="B53" s="812" t="s">
        <v>198</v>
      </c>
      <c r="C53" s="670">
        <f>C44-C51</f>
        <v>157792396.92999989</v>
      </c>
      <c r="E53" s="670">
        <f>E44-E51</f>
        <v>188161412.97999996</v>
      </c>
      <c r="G53" s="670">
        <f>C53-E53</f>
        <v>-30369016.050000072</v>
      </c>
      <c r="I53" s="823">
        <f>ROUND(G53/E53*100,4)</f>
        <v>-16.139900000000001</v>
      </c>
    </row>
    <row r="54" spans="1:9" ht="15.75" customHeight="1" thickTop="1" x14ac:dyDescent="0.25">
      <c r="B54" t="s">
        <v>198</v>
      </c>
      <c r="I54" s="819"/>
    </row>
    <row r="55" spans="1:9" ht="15.75" customHeight="1" x14ac:dyDescent="0.25">
      <c r="B55" t="s">
        <v>198</v>
      </c>
      <c r="I55" s="821" t="str">
        <f>[19]Date!A2</f>
        <v>April 26, 2012</v>
      </c>
    </row>
    <row r="56" spans="1:9" ht="15.75" customHeight="1" x14ac:dyDescent="0.25">
      <c r="B56" t="s">
        <v>198</v>
      </c>
      <c r="I56" s="819"/>
    </row>
    <row r="57" spans="1:9" ht="15.75" customHeight="1" x14ac:dyDescent="0.25">
      <c r="B57" t="s">
        <v>198</v>
      </c>
      <c r="I57" s="819"/>
    </row>
    <row r="58" spans="1:9" ht="15.75" customHeight="1" x14ac:dyDescent="0.25">
      <c r="B58" t="s">
        <v>198</v>
      </c>
    </row>
    <row r="59" spans="1:9" ht="15.75" customHeight="1" x14ac:dyDescent="0.25">
      <c r="B59" t="s">
        <v>198</v>
      </c>
    </row>
  </sheetData>
  <mergeCells count="3">
    <mergeCell ref="A1:I1"/>
    <mergeCell ref="A2:I2"/>
    <mergeCell ref="A3:I3"/>
  </mergeCells>
  <printOptions horizontalCentered="1"/>
  <pageMargins left="0" right="0" top="0.5" bottom="0.4" header="0" footer="0.28000000000000003"/>
  <pageSetup scale="67" orientation="landscape" horizontalDpi="4294967292" verticalDpi="300" r:id="rId1"/>
  <headerFooter alignWithMargins="0">
    <oddFooter>&amp;C&amp;"Times New Roman,Bold"&amp;A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55"/>
  <sheetViews>
    <sheetView showGridLines="0" zoomScale="75" workbookViewId="0">
      <selection activeCell="C33" sqref="C33"/>
    </sheetView>
  </sheetViews>
  <sheetFormatPr defaultColWidth="10.28515625" defaultRowHeight="15.75" x14ac:dyDescent="0.25"/>
  <cols>
    <col min="1" max="1" width="3" style="477" customWidth="1"/>
    <col min="2" max="2" width="49.85546875" style="477" customWidth="1"/>
    <col min="3" max="3" width="1.85546875" style="477" customWidth="1"/>
    <col min="4" max="4" width="20.140625" style="107" customWidth="1"/>
    <col min="5" max="5" width="4.140625" style="108" customWidth="1"/>
    <col min="6" max="6" width="21.28515625" style="107" customWidth="1"/>
    <col min="7" max="7" width="5.140625" style="107" customWidth="1"/>
    <col min="8" max="8" width="3" style="107" customWidth="1"/>
    <col min="9" max="9" width="49.85546875" style="107" customWidth="1"/>
    <col min="10" max="10" width="1.85546875" style="107" customWidth="1"/>
    <col min="11" max="11" width="21.28515625" style="107" customWidth="1"/>
    <col min="12" max="12" width="4.140625" style="108" customWidth="1"/>
    <col min="13" max="13" width="21.28515625" style="107" customWidth="1"/>
    <col min="14" max="15" width="10.28515625" style="107" customWidth="1"/>
    <col min="16" max="16384" width="10.28515625" style="477"/>
  </cols>
  <sheetData>
    <row r="1" spans="1:15" x14ac:dyDescent="0.25">
      <c r="A1" s="857" t="s">
        <v>21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623"/>
      <c r="O1" s="623"/>
    </row>
    <row r="2" spans="1:15" s="480" customFormat="1" x14ac:dyDescent="0.25">
      <c r="A2" s="857" t="s">
        <v>720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653"/>
      <c r="O2" s="653"/>
    </row>
    <row r="3" spans="1:15" s="480" customFormat="1" x14ac:dyDescent="0.25">
      <c r="A3" s="674"/>
      <c r="B3" s="642"/>
      <c r="C3" s="642"/>
      <c r="D3" s="653"/>
      <c r="E3" s="664"/>
      <c r="F3" s="653"/>
      <c r="G3" s="653"/>
      <c r="H3" s="653"/>
      <c r="I3" s="653"/>
      <c r="J3" s="653"/>
      <c r="K3" s="653"/>
      <c r="L3" s="664"/>
      <c r="M3" s="653"/>
      <c r="N3" s="653"/>
      <c r="O3" s="653"/>
    </row>
    <row r="6" spans="1:15" x14ac:dyDescent="0.25">
      <c r="A6" s="860" t="s">
        <v>663</v>
      </c>
      <c r="B6" s="861"/>
      <c r="C6" s="623"/>
      <c r="D6" s="655" t="s">
        <v>192</v>
      </c>
      <c r="E6" s="666"/>
      <c r="F6" s="655" t="s">
        <v>193</v>
      </c>
      <c r="G6" s="862" t="s">
        <v>664</v>
      </c>
      <c r="H6" s="861"/>
      <c r="I6" s="861"/>
      <c r="J6" s="623"/>
      <c r="K6" s="655" t="s">
        <v>192</v>
      </c>
      <c r="L6" s="666"/>
      <c r="M6" s="655" t="s">
        <v>193</v>
      </c>
      <c r="N6" s="623"/>
      <c r="O6" s="623"/>
    </row>
    <row r="8" spans="1:15" x14ac:dyDescent="0.25">
      <c r="A8" s="623" t="s">
        <v>235</v>
      </c>
      <c r="B8" s="623"/>
      <c r="C8" s="623"/>
      <c r="D8" s="623"/>
      <c r="E8" s="623"/>
      <c r="F8" s="623"/>
      <c r="G8" s="623"/>
      <c r="H8" s="654" t="s">
        <v>665</v>
      </c>
      <c r="I8" s="623"/>
      <c r="J8" s="623"/>
      <c r="K8" s="623"/>
      <c r="L8" s="623"/>
      <c r="M8" s="623"/>
      <c r="N8" s="623"/>
      <c r="O8" s="623"/>
    </row>
    <row r="9" spans="1:15" x14ac:dyDescent="0.25">
      <c r="A9" s="623"/>
      <c r="B9" s="671" t="s">
        <v>129</v>
      </c>
      <c r="C9" s="633" t="s">
        <v>198</v>
      </c>
      <c r="D9" s="113">
        <v>6837808460.8400002</v>
      </c>
      <c r="E9" s="623"/>
      <c r="F9" s="676">
        <v>6535226485.1199999</v>
      </c>
      <c r="G9" s="623"/>
      <c r="H9" s="623"/>
      <c r="I9" s="680" t="s">
        <v>666</v>
      </c>
      <c r="J9" s="658" t="s">
        <v>198</v>
      </c>
      <c r="K9" s="677">
        <v>308139977.56</v>
      </c>
      <c r="L9" s="623"/>
      <c r="M9" s="677">
        <v>308139977.56</v>
      </c>
      <c r="N9" s="623"/>
      <c r="O9" s="623"/>
    </row>
    <row r="10" spans="1:15" x14ac:dyDescent="0.25">
      <c r="A10" s="623"/>
      <c r="B10" s="671" t="s">
        <v>717</v>
      </c>
      <c r="C10" s="633" t="s">
        <v>198</v>
      </c>
      <c r="D10" s="115">
        <v>2419286203.27</v>
      </c>
      <c r="E10" s="623"/>
      <c r="F10" s="656">
        <v>2294097036</v>
      </c>
      <c r="G10" s="623"/>
      <c r="H10" s="623"/>
      <c r="I10" s="680" t="s">
        <v>668</v>
      </c>
      <c r="J10" s="658" t="s">
        <v>198</v>
      </c>
      <c r="K10" s="660">
        <v>321288.87</v>
      </c>
      <c r="L10" s="623"/>
      <c r="M10" s="660">
        <v>321288.87</v>
      </c>
      <c r="N10" s="623"/>
      <c r="O10" s="623"/>
    </row>
    <row r="11" spans="1:15" x14ac:dyDescent="0.25">
      <c r="A11" s="623"/>
      <c r="B11" s="623"/>
      <c r="C11" s="633" t="s">
        <v>198</v>
      </c>
      <c r="D11" s="623"/>
      <c r="E11" s="623"/>
      <c r="F11" s="623"/>
      <c r="G11" s="623"/>
      <c r="H11" s="623"/>
      <c r="I11" s="680" t="s">
        <v>669</v>
      </c>
      <c r="J11" s="658" t="s">
        <v>198</v>
      </c>
      <c r="K11" s="660">
        <v>315858083</v>
      </c>
      <c r="L11" s="623"/>
      <c r="M11" s="660">
        <v>315858083</v>
      </c>
      <c r="N11" s="623"/>
      <c r="O11" s="623"/>
    </row>
    <row r="12" spans="1:15" ht="15.75" customHeight="1" x14ac:dyDescent="0.25">
      <c r="A12" s="623"/>
      <c r="B12" s="671" t="s">
        <v>16</v>
      </c>
      <c r="C12" s="633" t="s">
        <v>198</v>
      </c>
      <c r="D12" s="656">
        <v>4418522257.5699997</v>
      </c>
      <c r="E12" s="623"/>
      <c r="F12" s="656">
        <v>4241129449.1199999</v>
      </c>
      <c r="G12" s="623"/>
      <c r="H12" s="623"/>
      <c r="I12" s="680" t="s">
        <v>670</v>
      </c>
      <c r="J12" s="658" t="s">
        <v>198</v>
      </c>
      <c r="K12" s="660">
        <v>-5681776.4900000002</v>
      </c>
      <c r="L12" s="623"/>
      <c r="M12" s="660">
        <v>-2499968.9500000002</v>
      </c>
      <c r="N12" s="623"/>
      <c r="O12" s="623"/>
    </row>
    <row r="13" spans="1:15" x14ac:dyDescent="0.25">
      <c r="A13" s="623"/>
      <c r="B13" s="623"/>
      <c r="C13" s="623"/>
      <c r="D13" s="623"/>
      <c r="E13" s="623"/>
      <c r="F13" s="623"/>
      <c r="G13" s="623"/>
      <c r="H13" s="623"/>
      <c r="I13" s="680" t="s">
        <v>671</v>
      </c>
      <c r="J13" s="658" t="s">
        <v>198</v>
      </c>
      <c r="K13" s="660">
        <v>1506021217.3499999</v>
      </c>
      <c r="L13" s="623"/>
      <c r="M13" s="660">
        <v>1463485376.4200001</v>
      </c>
      <c r="N13" s="623"/>
      <c r="O13" s="623"/>
    </row>
    <row r="14" spans="1:15" x14ac:dyDescent="0.25">
      <c r="A14" s="623"/>
      <c r="B14" s="623"/>
      <c r="C14" s="623"/>
      <c r="D14" s="623"/>
      <c r="E14" s="623"/>
      <c r="F14" s="623"/>
      <c r="G14" s="623"/>
      <c r="H14" s="623"/>
      <c r="I14" s="680" t="s">
        <v>672</v>
      </c>
      <c r="J14" s="658" t="s">
        <v>198</v>
      </c>
      <c r="K14" s="656">
        <v>14468538.75</v>
      </c>
      <c r="L14" s="623"/>
      <c r="M14" s="656">
        <v>15711982.75</v>
      </c>
      <c r="N14" s="623"/>
      <c r="O14" s="623"/>
    </row>
    <row r="15" spans="1:15" x14ac:dyDescent="0.25">
      <c r="A15" s="623" t="s">
        <v>580</v>
      </c>
      <c r="B15" s="623"/>
      <c r="C15" s="633" t="s">
        <v>198</v>
      </c>
      <c r="D15" s="623"/>
      <c r="E15" s="623"/>
      <c r="F15" s="623"/>
      <c r="G15" s="623"/>
      <c r="H15" s="623"/>
      <c r="I15" s="623"/>
      <c r="J15" s="658"/>
      <c r="K15" s="623"/>
      <c r="L15" s="623"/>
      <c r="M15" s="623"/>
      <c r="N15" s="623"/>
      <c r="O15" s="623"/>
    </row>
    <row r="16" spans="1:15" x14ac:dyDescent="0.25">
      <c r="A16" s="623"/>
      <c r="B16" s="671" t="s">
        <v>674</v>
      </c>
      <c r="C16" s="633" t="s">
        <v>198</v>
      </c>
      <c r="D16" s="660">
        <v>6465195.5499999998</v>
      </c>
      <c r="E16" s="623"/>
      <c r="F16" s="660">
        <v>12916180.550000001</v>
      </c>
      <c r="G16" s="623"/>
      <c r="H16" s="623"/>
      <c r="I16" s="680" t="s">
        <v>673</v>
      </c>
      <c r="J16" s="658" t="s">
        <v>198</v>
      </c>
      <c r="K16" s="656">
        <v>2138484751.3</v>
      </c>
      <c r="L16" s="623"/>
      <c r="M16" s="656">
        <v>2100374161.9100001</v>
      </c>
      <c r="N16" s="623"/>
      <c r="O16" s="623"/>
    </row>
    <row r="17" spans="1:13" x14ac:dyDescent="0.25">
      <c r="A17" s="623"/>
      <c r="B17" s="671" t="s">
        <v>675</v>
      </c>
      <c r="C17" s="633" t="s">
        <v>198</v>
      </c>
      <c r="D17" s="660">
        <v>250000</v>
      </c>
      <c r="E17" s="623"/>
      <c r="F17" s="660">
        <v>250000</v>
      </c>
      <c r="G17" s="623"/>
      <c r="H17" s="623"/>
      <c r="I17" s="623"/>
      <c r="J17" s="658"/>
      <c r="K17" s="623"/>
      <c r="L17" s="623"/>
      <c r="M17" s="623"/>
    </row>
    <row r="18" spans="1:13" x14ac:dyDescent="0.25">
      <c r="A18" s="623"/>
      <c r="B18" s="671" t="s">
        <v>676</v>
      </c>
      <c r="C18" s="633" t="s">
        <v>198</v>
      </c>
      <c r="D18" s="656">
        <v>179120.94</v>
      </c>
      <c r="E18" s="623"/>
      <c r="F18" s="656">
        <v>179120.94</v>
      </c>
      <c r="G18" s="623"/>
      <c r="H18" s="623"/>
      <c r="I18" s="682" t="s">
        <v>677</v>
      </c>
      <c r="J18" s="658" t="s">
        <v>198</v>
      </c>
      <c r="K18" s="660">
        <v>350779405</v>
      </c>
      <c r="L18" s="623"/>
      <c r="M18" s="660">
        <v>350779405</v>
      </c>
    </row>
    <row r="19" spans="1:13" x14ac:dyDescent="0.25">
      <c r="A19" s="623"/>
      <c r="B19" s="623"/>
      <c r="C19" s="633"/>
      <c r="D19" s="660"/>
      <c r="E19" s="623"/>
      <c r="F19" s="660"/>
      <c r="G19" s="623"/>
      <c r="H19" s="623"/>
      <c r="I19" s="679" t="s">
        <v>678</v>
      </c>
      <c r="J19" s="658"/>
      <c r="K19" s="660">
        <v>1489970968.75</v>
      </c>
      <c r="L19" s="623"/>
      <c r="M19" s="660">
        <v>1489335718.75</v>
      </c>
    </row>
    <row r="20" spans="1:13" x14ac:dyDescent="0.25">
      <c r="A20" s="623"/>
      <c r="B20" s="671" t="s">
        <v>16</v>
      </c>
      <c r="C20" s="633" t="s">
        <v>198</v>
      </c>
      <c r="D20" s="656">
        <v>6894316.4900000002</v>
      </c>
      <c r="E20" s="623"/>
      <c r="F20" s="656">
        <v>13345301.49</v>
      </c>
      <c r="G20" s="623"/>
      <c r="H20" s="623"/>
      <c r="I20" s="680" t="s">
        <v>679</v>
      </c>
      <c r="J20" s="658" t="s">
        <v>198</v>
      </c>
      <c r="K20" s="656">
        <v>0</v>
      </c>
      <c r="L20" s="623"/>
      <c r="M20" s="656">
        <v>0</v>
      </c>
    </row>
    <row r="21" spans="1:13" x14ac:dyDescent="0.25">
      <c r="C21" s="481"/>
      <c r="D21" s="116"/>
      <c r="F21" s="116"/>
      <c r="J21" s="114"/>
      <c r="K21" s="108"/>
      <c r="M21" s="108"/>
    </row>
    <row r="22" spans="1:13" x14ac:dyDescent="0.25">
      <c r="A22" s="623"/>
      <c r="B22" s="623"/>
      <c r="C22" s="623"/>
      <c r="D22" s="623"/>
      <c r="E22" s="623"/>
      <c r="F22" s="623"/>
      <c r="G22" s="623"/>
      <c r="H22" s="623"/>
      <c r="I22" s="680" t="s">
        <v>680</v>
      </c>
      <c r="J22" s="658" t="s">
        <v>198</v>
      </c>
      <c r="K22" s="656">
        <v>1840750373.75</v>
      </c>
      <c r="L22" s="623"/>
      <c r="M22" s="656">
        <v>1840115123.75</v>
      </c>
    </row>
    <row r="23" spans="1:13" x14ac:dyDescent="0.25">
      <c r="A23" s="623" t="s">
        <v>256</v>
      </c>
      <c r="B23" s="623"/>
      <c r="C23" s="633" t="s">
        <v>198</v>
      </c>
      <c r="D23" s="623"/>
      <c r="E23" s="623"/>
      <c r="F23" s="623"/>
      <c r="G23" s="623"/>
      <c r="H23" s="623"/>
      <c r="I23" s="623"/>
      <c r="J23" s="658" t="s">
        <v>198</v>
      </c>
      <c r="K23" s="660"/>
      <c r="L23" s="623"/>
      <c r="M23" s="660"/>
    </row>
    <row r="24" spans="1:13" x14ac:dyDescent="0.25">
      <c r="A24" s="623"/>
      <c r="B24" s="671" t="s">
        <v>682</v>
      </c>
      <c r="C24" s="633" t="s">
        <v>198</v>
      </c>
      <c r="D24" s="654">
        <v>26696148.670000002</v>
      </c>
      <c r="E24" s="623"/>
      <c r="F24" s="654">
        <v>32533420.420000002</v>
      </c>
      <c r="G24" s="623"/>
      <c r="H24" s="623"/>
      <c r="I24" s="680" t="s">
        <v>681</v>
      </c>
      <c r="J24" s="658" t="s">
        <v>198</v>
      </c>
      <c r="K24" s="656">
        <v>3979235125.0500002</v>
      </c>
      <c r="L24" s="623"/>
      <c r="M24" s="656">
        <v>3940489285.6599998</v>
      </c>
    </row>
    <row r="25" spans="1:13" x14ac:dyDescent="0.25">
      <c r="A25" s="623"/>
      <c r="B25" s="671" t="s">
        <v>683</v>
      </c>
      <c r="C25" s="633" t="s">
        <v>198</v>
      </c>
      <c r="D25" s="654">
        <v>0</v>
      </c>
      <c r="E25" s="623"/>
      <c r="F25" s="654">
        <v>511450.27</v>
      </c>
      <c r="G25" s="623"/>
      <c r="H25" s="623"/>
      <c r="I25" s="623"/>
      <c r="J25" s="623"/>
      <c r="K25" s="623"/>
      <c r="L25" s="623"/>
      <c r="M25" s="623"/>
    </row>
    <row r="26" spans="1:13" x14ac:dyDescent="0.25">
      <c r="A26" s="623"/>
      <c r="B26" s="671" t="s">
        <v>684</v>
      </c>
      <c r="C26" s="633" t="s">
        <v>198</v>
      </c>
      <c r="D26" s="654">
        <v>19049263.399999999</v>
      </c>
      <c r="E26" s="623"/>
      <c r="F26" s="654">
        <v>24006082.890000001</v>
      </c>
      <c r="G26" s="623"/>
      <c r="H26" s="654" t="s">
        <v>258</v>
      </c>
      <c r="I26" s="623"/>
      <c r="J26" s="623"/>
      <c r="K26" s="623"/>
      <c r="L26" s="623"/>
      <c r="M26" s="623"/>
    </row>
    <row r="27" spans="1:13" x14ac:dyDescent="0.25">
      <c r="A27" s="623"/>
      <c r="B27" s="671" t="s">
        <v>685</v>
      </c>
      <c r="C27" s="633" t="s">
        <v>198</v>
      </c>
      <c r="D27" s="654">
        <v>153471798.55000001</v>
      </c>
      <c r="E27" s="623"/>
      <c r="F27" s="654">
        <v>158822646.61000001</v>
      </c>
      <c r="G27" s="623"/>
      <c r="H27" s="623"/>
      <c r="I27" s="681" t="s">
        <v>687</v>
      </c>
      <c r="J27" s="658" t="s">
        <v>198</v>
      </c>
      <c r="K27" s="654">
        <v>0</v>
      </c>
      <c r="L27" s="623"/>
      <c r="M27" s="660">
        <v>0</v>
      </c>
    </row>
    <row r="28" spans="1:13" x14ac:dyDescent="0.25">
      <c r="A28" s="623"/>
      <c r="B28" s="671" t="s">
        <v>686</v>
      </c>
      <c r="C28" s="633" t="s">
        <v>198</v>
      </c>
      <c r="D28" s="654">
        <v>3237051</v>
      </c>
      <c r="E28" s="623"/>
      <c r="F28" s="654">
        <v>2399.89</v>
      </c>
      <c r="G28" s="623"/>
      <c r="H28" s="623"/>
      <c r="I28" s="680" t="s">
        <v>688</v>
      </c>
      <c r="J28" s="658" t="s">
        <v>198</v>
      </c>
      <c r="K28" s="660">
        <v>89650512.280000001</v>
      </c>
      <c r="L28" s="623"/>
      <c r="M28" s="660">
        <v>76815641.099999994</v>
      </c>
    </row>
    <row r="29" spans="1:13" x14ac:dyDescent="0.25">
      <c r="A29" s="623"/>
      <c r="B29" s="623" t="s">
        <v>267</v>
      </c>
      <c r="C29" s="633" t="s">
        <v>198</v>
      </c>
      <c r="D29" s="623"/>
      <c r="E29" s="623"/>
      <c r="F29" s="623"/>
      <c r="G29" s="623"/>
      <c r="H29" s="623"/>
      <c r="I29" s="680" t="s">
        <v>690</v>
      </c>
      <c r="J29" s="658" t="s">
        <v>198</v>
      </c>
      <c r="K29" s="660">
        <v>35561724.969999999</v>
      </c>
      <c r="L29" s="623"/>
      <c r="M29" s="660">
        <v>38226572.219999999</v>
      </c>
    </row>
    <row r="30" spans="1:13" x14ac:dyDescent="0.25">
      <c r="A30" s="623"/>
      <c r="B30" s="671" t="s">
        <v>689</v>
      </c>
      <c r="C30" s="633" t="s">
        <v>198</v>
      </c>
      <c r="D30" s="654">
        <v>86500323.280000001</v>
      </c>
      <c r="E30" s="623"/>
      <c r="F30" s="654">
        <v>90317258.090000004</v>
      </c>
      <c r="G30" s="623"/>
      <c r="H30" s="623"/>
      <c r="I30" s="680" t="s">
        <v>692</v>
      </c>
      <c r="J30" s="658" t="s">
        <v>198</v>
      </c>
      <c r="K30" s="660">
        <v>23057677.960000001</v>
      </c>
      <c r="L30" s="623"/>
      <c r="M30" s="660">
        <v>22823008.760000002</v>
      </c>
    </row>
    <row r="31" spans="1:13" x14ac:dyDescent="0.25">
      <c r="A31" s="623"/>
      <c r="B31" s="671" t="s">
        <v>691</v>
      </c>
      <c r="C31" s="633" t="s">
        <v>198</v>
      </c>
      <c r="D31" s="654">
        <v>34275059.840000004</v>
      </c>
      <c r="E31" s="623"/>
      <c r="F31" s="654">
        <v>33292754.469999999</v>
      </c>
      <c r="G31" s="623"/>
      <c r="H31" s="623"/>
      <c r="I31" s="680" t="s">
        <v>694</v>
      </c>
      <c r="J31" s="658" t="s">
        <v>198</v>
      </c>
      <c r="K31" s="660">
        <v>15423195.66</v>
      </c>
      <c r="L31" s="623"/>
      <c r="M31" s="660">
        <v>23861888.469999999</v>
      </c>
    </row>
    <row r="32" spans="1:13" x14ac:dyDescent="0.25">
      <c r="A32" s="623"/>
      <c r="B32" s="671" t="s">
        <v>693</v>
      </c>
      <c r="C32" s="633" t="s">
        <v>198</v>
      </c>
      <c r="D32" s="654">
        <v>10207802.390000001</v>
      </c>
      <c r="E32" s="623"/>
      <c r="F32" s="654">
        <v>9353557.6300000008</v>
      </c>
      <c r="G32" s="623"/>
      <c r="H32" s="623"/>
      <c r="I32" s="680" t="s">
        <v>696</v>
      </c>
      <c r="J32" s="658" t="s">
        <v>198</v>
      </c>
      <c r="K32" s="660">
        <v>26028639.199999999</v>
      </c>
      <c r="L32" s="623"/>
      <c r="M32" s="660">
        <v>23475407.190000001</v>
      </c>
    </row>
    <row r="33" spans="1:13" x14ac:dyDescent="0.25">
      <c r="A33" s="623"/>
      <c r="B33" s="671" t="s">
        <v>695</v>
      </c>
      <c r="C33" s="623" t="s">
        <v>198</v>
      </c>
      <c r="D33" s="654">
        <v>415494.53</v>
      </c>
      <c r="E33" s="623"/>
      <c r="F33" s="654">
        <v>540133.80000000005</v>
      </c>
      <c r="G33" s="623"/>
      <c r="H33" s="623"/>
      <c r="I33" s="680" t="s">
        <v>718</v>
      </c>
      <c r="J33" s="658"/>
      <c r="K33" s="660">
        <v>0</v>
      </c>
      <c r="L33" s="623"/>
      <c r="M33" s="660">
        <v>0</v>
      </c>
    </row>
    <row r="34" spans="1:13" x14ac:dyDescent="0.25">
      <c r="A34" s="623"/>
      <c r="B34" s="671" t="s">
        <v>596</v>
      </c>
      <c r="C34" s="633" t="s">
        <v>198</v>
      </c>
      <c r="D34" s="654">
        <v>5995929.8600000003</v>
      </c>
      <c r="E34" s="623"/>
      <c r="F34" s="654">
        <v>7705071.0099999998</v>
      </c>
      <c r="G34" s="623"/>
      <c r="H34" s="623"/>
      <c r="I34" s="683" t="s">
        <v>697</v>
      </c>
      <c r="J34" s="684" t="s">
        <v>198</v>
      </c>
      <c r="K34" s="673">
        <v>20585090.84</v>
      </c>
      <c r="L34" s="675"/>
      <c r="M34" s="673">
        <v>20152328.399999999</v>
      </c>
    </row>
    <row r="35" spans="1:13" x14ac:dyDescent="0.25">
      <c r="A35" s="623"/>
      <c r="B35" s="671" t="s">
        <v>698</v>
      </c>
      <c r="C35" s="633" t="s">
        <v>198</v>
      </c>
      <c r="D35" s="656">
        <v>886.52</v>
      </c>
      <c r="E35" s="623"/>
      <c r="F35" s="656">
        <v>144469.29</v>
      </c>
      <c r="G35" s="623"/>
      <c r="H35" s="623"/>
      <c r="I35" s="623"/>
      <c r="J35" s="658"/>
      <c r="K35" s="623"/>
      <c r="L35" s="623"/>
      <c r="M35" s="623"/>
    </row>
    <row r="36" spans="1:13" x14ac:dyDescent="0.25">
      <c r="A36" s="623"/>
      <c r="B36" s="623"/>
      <c r="C36" s="623"/>
      <c r="D36" s="623"/>
      <c r="E36" s="623"/>
      <c r="F36" s="623"/>
      <c r="G36" s="623"/>
      <c r="H36" s="623"/>
      <c r="I36" s="680" t="s">
        <v>16</v>
      </c>
      <c r="J36" s="658" t="s">
        <v>198</v>
      </c>
      <c r="K36" s="656">
        <v>210306840.91</v>
      </c>
      <c r="L36" s="623"/>
      <c r="M36" s="656">
        <v>205354846.13999999</v>
      </c>
    </row>
    <row r="37" spans="1:13" x14ac:dyDescent="0.25">
      <c r="A37" s="623"/>
      <c r="B37" s="671" t="s">
        <v>16</v>
      </c>
      <c r="C37" s="633" t="s">
        <v>198</v>
      </c>
      <c r="D37" s="656">
        <v>339849758.03999996</v>
      </c>
      <c r="E37" s="623"/>
      <c r="F37" s="656">
        <v>357229244.37</v>
      </c>
      <c r="G37" s="623"/>
      <c r="H37" s="623"/>
      <c r="I37" s="680"/>
      <c r="J37" s="658"/>
      <c r="K37" s="660"/>
      <c r="L37" s="623"/>
      <c r="M37" s="660"/>
    </row>
    <row r="38" spans="1:13" x14ac:dyDescent="0.25">
      <c r="C38" s="481"/>
      <c r="D38" s="131"/>
      <c r="F38" s="116"/>
    </row>
    <row r="39" spans="1:13" x14ac:dyDescent="0.25">
      <c r="A39" s="623"/>
      <c r="B39" s="623"/>
      <c r="C39" s="623"/>
      <c r="D39" s="623"/>
      <c r="E39" s="623"/>
      <c r="F39" s="623"/>
      <c r="G39" s="623"/>
      <c r="H39" s="654" t="s">
        <v>281</v>
      </c>
      <c r="I39" s="623"/>
      <c r="J39" s="623"/>
      <c r="K39" s="623"/>
      <c r="L39" s="623"/>
      <c r="M39" s="623"/>
    </row>
    <row r="40" spans="1:13" x14ac:dyDescent="0.25">
      <c r="A40" s="623" t="s">
        <v>283</v>
      </c>
      <c r="B40" s="623"/>
      <c r="C40" s="623"/>
      <c r="D40" s="623"/>
      <c r="E40" s="623"/>
      <c r="F40" s="623"/>
      <c r="G40" s="623"/>
      <c r="H40" s="623"/>
      <c r="I40" s="680" t="s">
        <v>699</v>
      </c>
      <c r="J40" s="658" t="s">
        <v>198</v>
      </c>
      <c r="K40" s="654">
        <v>581925806.57000005</v>
      </c>
      <c r="L40" s="623"/>
      <c r="M40" s="654">
        <v>482369779.75999999</v>
      </c>
    </row>
    <row r="41" spans="1:13" x14ac:dyDescent="0.25">
      <c r="A41" s="623"/>
      <c r="B41" s="671" t="s">
        <v>701</v>
      </c>
      <c r="C41" s="633" t="s">
        <v>198</v>
      </c>
      <c r="D41" s="654">
        <v>20993395.719999999</v>
      </c>
      <c r="E41" s="623"/>
      <c r="F41" s="654">
        <v>20951061.010000002</v>
      </c>
      <c r="G41" s="623"/>
      <c r="H41" s="623"/>
      <c r="I41" s="680" t="s">
        <v>700</v>
      </c>
      <c r="J41" s="658" t="s">
        <v>198</v>
      </c>
      <c r="K41" s="654">
        <v>100707740.58</v>
      </c>
      <c r="L41" s="623"/>
      <c r="M41" s="654">
        <v>103507851.31999999</v>
      </c>
    </row>
    <row r="42" spans="1:13" x14ac:dyDescent="0.25">
      <c r="A42" s="623"/>
      <c r="B42" s="671" t="s">
        <v>703</v>
      </c>
      <c r="C42" s="633" t="s">
        <v>198</v>
      </c>
      <c r="D42" s="654">
        <v>11623874.199999999</v>
      </c>
      <c r="E42" s="623"/>
      <c r="F42" s="654">
        <v>12228846.880000001</v>
      </c>
      <c r="G42" s="623"/>
      <c r="H42" s="623"/>
      <c r="I42" s="680" t="s">
        <v>702</v>
      </c>
      <c r="J42" s="658" t="s">
        <v>198</v>
      </c>
      <c r="K42" s="654">
        <v>108999483.67</v>
      </c>
      <c r="L42" s="623"/>
      <c r="M42" s="654">
        <v>117393178.48999999</v>
      </c>
    </row>
    <row r="43" spans="1:13" x14ac:dyDescent="0.25">
      <c r="A43" s="623"/>
      <c r="B43" s="671" t="s">
        <v>699</v>
      </c>
      <c r="C43" s="633" t="s">
        <v>198</v>
      </c>
      <c r="D43" s="654">
        <v>85241359.670000002</v>
      </c>
      <c r="E43" s="623"/>
      <c r="F43" s="654">
        <v>95312656.150000006</v>
      </c>
      <c r="G43" s="623"/>
      <c r="H43" s="623"/>
      <c r="I43" s="680" t="s">
        <v>704</v>
      </c>
      <c r="J43" s="658" t="s">
        <v>198</v>
      </c>
      <c r="K43" s="654">
        <v>3147887.16</v>
      </c>
      <c r="L43" s="623"/>
      <c r="M43" s="654">
        <v>2874868.44</v>
      </c>
    </row>
    <row r="44" spans="1:13" x14ac:dyDescent="0.25">
      <c r="A44" s="623"/>
      <c r="B44" s="671" t="s">
        <v>706</v>
      </c>
      <c r="C44" s="633" t="s">
        <v>198</v>
      </c>
      <c r="D44" s="654">
        <v>267700866.00999999</v>
      </c>
      <c r="E44" s="623"/>
      <c r="F44" s="654">
        <v>278343042.89999998</v>
      </c>
      <c r="G44" s="623"/>
      <c r="H44" s="623"/>
      <c r="I44" s="683" t="s">
        <v>705</v>
      </c>
      <c r="J44" s="684" t="s">
        <v>198</v>
      </c>
      <c r="K44" s="672">
        <v>62573225.509999998</v>
      </c>
      <c r="L44" s="675"/>
      <c r="M44" s="672">
        <v>54658037.920000002</v>
      </c>
    </row>
    <row r="45" spans="1:13" x14ac:dyDescent="0.25">
      <c r="A45" s="623"/>
      <c r="B45" s="671" t="s">
        <v>708</v>
      </c>
      <c r="C45" s="633" t="s">
        <v>198</v>
      </c>
      <c r="D45" s="656">
        <v>45907397.340000004</v>
      </c>
      <c r="E45" s="623"/>
      <c r="F45" s="656">
        <v>43065248.509999998</v>
      </c>
      <c r="G45" s="623"/>
      <c r="H45" s="623"/>
      <c r="I45" s="680" t="s">
        <v>707</v>
      </c>
      <c r="J45" s="658" t="s">
        <v>198</v>
      </c>
      <c r="K45" s="654">
        <v>12482364.449999999</v>
      </c>
      <c r="L45" s="623"/>
      <c r="M45" s="654">
        <v>16560938.25</v>
      </c>
    </row>
    <row r="46" spans="1:13" x14ac:dyDescent="0.25">
      <c r="A46" s="623"/>
      <c r="B46" s="623"/>
      <c r="C46" s="633" t="s">
        <v>198</v>
      </c>
      <c r="D46" s="623"/>
      <c r="E46" s="623"/>
      <c r="F46" s="623"/>
      <c r="G46" s="623"/>
      <c r="H46" s="623"/>
      <c r="I46" s="680" t="s">
        <v>709</v>
      </c>
      <c r="J46" s="658" t="s">
        <v>198</v>
      </c>
      <c r="K46" s="654">
        <v>2630529.7799999998</v>
      </c>
      <c r="L46" s="623"/>
      <c r="M46" s="654">
        <v>2390659.63</v>
      </c>
    </row>
    <row r="47" spans="1:13" x14ac:dyDescent="0.25">
      <c r="A47" s="623"/>
      <c r="B47" s="671" t="s">
        <v>16</v>
      </c>
      <c r="C47" s="633" t="s">
        <v>198</v>
      </c>
      <c r="D47" s="656">
        <v>431466892.94000006</v>
      </c>
      <c r="E47" s="623"/>
      <c r="F47" s="656">
        <v>449900855.44999999</v>
      </c>
      <c r="G47" s="623"/>
      <c r="H47" s="623"/>
      <c r="I47" s="680" t="s">
        <v>710</v>
      </c>
      <c r="J47" s="658" t="s">
        <v>198</v>
      </c>
      <c r="K47" s="656">
        <v>134724221.36000001</v>
      </c>
      <c r="L47" s="623"/>
      <c r="M47" s="656">
        <v>136005404.81999999</v>
      </c>
    </row>
    <row r="48" spans="1:13" x14ac:dyDescent="0.25">
      <c r="A48" s="623"/>
      <c r="B48" s="623"/>
      <c r="C48" s="623"/>
      <c r="D48" s="623"/>
      <c r="E48" s="623"/>
      <c r="F48" s="623"/>
      <c r="G48" s="623"/>
      <c r="H48" s="623"/>
      <c r="I48" s="623"/>
      <c r="J48" s="658"/>
      <c r="K48" s="623"/>
      <c r="L48" s="623"/>
      <c r="M48" s="623"/>
    </row>
    <row r="49" spans="1:13" x14ac:dyDescent="0.25">
      <c r="A49" s="623"/>
      <c r="B49" s="623"/>
      <c r="C49" s="623"/>
      <c r="D49" s="623"/>
      <c r="E49" s="623"/>
      <c r="F49" s="623"/>
      <c r="G49" s="623"/>
      <c r="H49" s="623"/>
      <c r="I49" s="680" t="s">
        <v>16</v>
      </c>
      <c r="J49" s="658" t="s">
        <v>198</v>
      </c>
      <c r="K49" s="656">
        <v>1007191259.08</v>
      </c>
      <c r="L49" s="623"/>
      <c r="M49" s="656">
        <v>915760718.62999988</v>
      </c>
    </row>
    <row r="50" spans="1:13" ht="16.5" thickBot="1" x14ac:dyDescent="0.3">
      <c r="A50" s="858" t="s">
        <v>711</v>
      </c>
      <c r="B50" s="859"/>
      <c r="C50" s="633" t="s">
        <v>198</v>
      </c>
      <c r="D50" s="678">
        <v>5196733225.039999</v>
      </c>
      <c r="E50" s="623"/>
      <c r="F50" s="678">
        <v>5061604850.4299994</v>
      </c>
      <c r="G50" s="623"/>
      <c r="H50" s="623"/>
      <c r="I50" s="623"/>
      <c r="J50" s="623"/>
      <c r="K50" s="623"/>
      <c r="L50" s="623"/>
      <c r="M50" s="623"/>
    </row>
    <row r="51" spans="1:13" ht="17.25" thickTop="1" thickBot="1" x14ac:dyDescent="0.3">
      <c r="A51" s="623"/>
      <c r="B51" s="623"/>
      <c r="C51" s="623"/>
      <c r="D51" s="623"/>
      <c r="E51" s="623"/>
      <c r="F51" s="623"/>
      <c r="G51" s="623"/>
      <c r="H51" s="863" t="s">
        <v>712</v>
      </c>
      <c r="I51" s="863"/>
      <c r="J51" s="658" t="s">
        <v>198</v>
      </c>
      <c r="K51" s="678">
        <v>5196733225.04</v>
      </c>
      <c r="L51" s="623"/>
      <c r="M51" s="678">
        <v>5061604850.4299994</v>
      </c>
    </row>
    <row r="52" spans="1:13" ht="15.75" customHeight="1" thickTop="1" x14ac:dyDescent="0.25">
      <c r="A52" s="623"/>
      <c r="B52" s="623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</row>
    <row r="53" spans="1:13" x14ac:dyDescent="0.25">
      <c r="A53" s="623"/>
      <c r="B53" s="623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67" t="s">
        <v>719</v>
      </c>
    </row>
    <row r="55" spans="1:13" x14ac:dyDescent="0.25">
      <c r="M55" s="483" t="s">
        <v>582</v>
      </c>
    </row>
  </sheetData>
  <mergeCells count="6">
    <mergeCell ref="A1:M1"/>
    <mergeCell ref="A50:B50"/>
    <mergeCell ref="A6:B6"/>
    <mergeCell ref="G6:I6"/>
    <mergeCell ref="H51:I51"/>
    <mergeCell ref="A2:M2"/>
  </mergeCells>
  <printOptions horizontalCentered="1"/>
  <pageMargins left="0" right="0" top="0.5" bottom="0.4" header="0" footer="0.28000000000000003"/>
  <pageSetup scale="61" orientation="landscape" horizontalDpi="4294967292" verticalDpi="300" r:id="rId1"/>
  <headerFooter alignWithMargins="0">
    <oddFooter>&amp;C&amp;"Times New Roman,Bold"&amp;A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Normal="100" workbookViewId="0">
      <selection activeCell="E11" sqref="E11"/>
    </sheetView>
  </sheetViews>
  <sheetFormatPr defaultRowHeight="12.75" x14ac:dyDescent="0.2"/>
  <cols>
    <col min="1" max="1" width="22.140625" style="490" customWidth="1"/>
    <col min="2" max="2" width="21.85546875" style="490" customWidth="1"/>
    <col min="3" max="5" width="18.28515625" style="490" bestFit="1" customWidth="1"/>
    <col min="6" max="9" width="17.42578125" style="490" bestFit="1" customWidth="1"/>
    <col min="10" max="16384" width="9.140625" style="490"/>
  </cols>
  <sheetData>
    <row r="1" spans="1:9" x14ac:dyDescent="0.2">
      <c r="A1" s="832" t="s">
        <v>21</v>
      </c>
      <c r="B1" s="832"/>
      <c r="C1" s="832"/>
      <c r="D1" s="832"/>
      <c r="E1" s="832"/>
      <c r="F1" s="832"/>
      <c r="G1" s="832"/>
      <c r="H1" s="511"/>
      <c r="I1" s="511"/>
    </row>
    <row r="2" spans="1:9" x14ac:dyDescent="0.2">
      <c r="A2" s="832" t="s">
        <v>22</v>
      </c>
      <c r="B2" s="832"/>
      <c r="C2" s="832"/>
      <c r="D2" s="832"/>
      <c r="E2" s="832"/>
      <c r="F2" s="832"/>
      <c r="G2" s="832"/>
    </row>
    <row r="3" spans="1:9" x14ac:dyDescent="0.2">
      <c r="A3" s="832" t="s">
        <v>23</v>
      </c>
      <c r="B3" s="832"/>
      <c r="C3" s="832"/>
      <c r="D3" s="832"/>
      <c r="E3" s="832"/>
      <c r="F3" s="832"/>
      <c r="G3" s="832"/>
    </row>
    <row r="4" spans="1:9" x14ac:dyDescent="0.2">
      <c r="A4" s="832"/>
      <c r="B4" s="832"/>
      <c r="C4" s="832"/>
      <c r="D4" s="832"/>
      <c r="E4" s="832"/>
      <c r="F4" s="832"/>
      <c r="G4" s="832"/>
    </row>
    <row r="6" spans="1:9" ht="15" x14ac:dyDescent="0.35">
      <c r="A6" s="830" t="s">
        <v>722</v>
      </c>
      <c r="B6" s="830"/>
      <c r="C6" s="830"/>
      <c r="D6" s="831"/>
      <c r="E6" s="831"/>
      <c r="F6" s="831"/>
      <c r="G6" s="831"/>
    </row>
    <row r="7" spans="1:9" x14ac:dyDescent="0.2">
      <c r="B7" s="491"/>
      <c r="C7" s="492" t="s">
        <v>24</v>
      </c>
      <c r="D7" s="489"/>
      <c r="F7" s="489" t="s">
        <v>25</v>
      </c>
      <c r="G7" s="489" t="s">
        <v>26</v>
      </c>
    </row>
    <row r="8" spans="1:9" x14ac:dyDescent="0.2">
      <c r="B8" s="493" t="s">
        <v>27</v>
      </c>
      <c r="C8" s="492" t="s">
        <v>28</v>
      </c>
      <c r="D8" s="489" t="s">
        <v>29</v>
      </c>
      <c r="E8" s="493" t="s">
        <v>30</v>
      </c>
      <c r="F8" s="489" t="s">
        <v>31</v>
      </c>
      <c r="G8" s="489" t="s">
        <v>32</v>
      </c>
    </row>
    <row r="9" spans="1:9" x14ac:dyDescent="0.2">
      <c r="B9" s="494" t="s">
        <v>33</v>
      </c>
      <c r="C9" s="495" t="s">
        <v>34</v>
      </c>
      <c r="D9" s="494" t="s">
        <v>27</v>
      </c>
      <c r="E9" s="494" t="s">
        <v>35</v>
      </c>
      <c r="F9" s="494" t="s">
        <v>36</v>
      </c>
      <c r="G9" s="494" t="s">
        <v>37</v>
      </c>
    </row>
    <row r="10" spans="1:9" x14ac:dyDescent="0.2">
      <c r="A10" s="490" t="s">
        <v>38</v>
      </c>
      <c r="B10" s="716">
        <v>0</v>
      </c>
      <c r="C10" s="497">
        <f t="shared" ref="C10:D14" si="0">+C29+C48</f>
        <v>1</v>
      </c>
      <c r="D10" s="496">
        <f t="shared" si="0"/>
        <v>0</v>
      </c>
      <c r="E10" s="497">
        <f>ROUND(+D10/$D$15,4)</f>
        <v>0</v>
      </c>
      <c r="F10" s="510">
        <v>4.1000000000000003E-3</v>
      </c>
      <c r="G10" s="497">
        <f>ROUND(+E10*F10,4)</f>
        <v>0</v>
      </c>
      <c r="H10" s="498"/>
    </row>
    <row r="11" spans="1:9" x14ac:dyDescent="0.2">
      <c r="A11" s="490" t="s">
        <v>39</v>
      </c>
      <c r="B11" s="716">
        <v>0</v>
      </c>
      <c r="C11" s="497">
        <f t="shared" si="0"/>
        <v>1</v>
      </c>
      <c r="D11" s="496">
        <f t="shared" si="0"/>
        <v>0</v>
      </c>
      <c r="E11" s="497">
        <f>ROUND(+D11/$D$15,4)</f>
        <v>0</v>
      </c>
      <c r="F11" s="510">
        <v>0</v>
      </c>
      <c r="G11" s="497">
        <f>ROUND(+E11*F11,4)</f>
        <v>0</v>
      </c>
    </row>
    <row r="12" spans="1:9" x14ac:dyDescent="0.2">
      <c r="A12" s="490" t="s">
        <v>40</v>
      </c>
      <c r="B12" s="716">
        <v>1840750373.75</v>
      </c>
      <c r="C12" s="497">
        <f t="shared" si="0"/>
        <v>1</v>
      </c>
      <c r="D12" s="496">
        <f t="shared" si="0"/>
        <v>1840750374</v>
      </c>
      <c r="E12" s="497">
        <f>ROUND(+D12/$D$15,4)</f>
        <v>0.46260000000000001</v>
      </c>
      <c r="F12" s="510">
        <v>3.6889999999999999E-2</v>
      </c>
      <c r="G12" s="497">
        <f>ROUND(+E12*F12,4)</f>
        <v>1.7100000000000001E-2</v>
      </c>
    </row>
    <row r="13" spans="1:9" ht="13.5" thickBot="1" x14ac:dyDescent="0.25">
      <c r="A13" s="490" t="s">
        <v>41</v>
      </c>
      <c r="B13" s="716">
        <v>0</v>
      </c>
      <c r="C13" s="497">
        <f t="shared" si="0"/>
        <v>1</v>
      </c>
      <c r="D13" s="496">
        <f t="shared" si="0"/>
        <v>0</v>
      </c>
      <c r="E13" s="497">
        <f>ROUND(+D13/$D$15,4)</f>
        <v>0</v>
      </c>
      <c r="F13" s="510">
        <v>0</v>
      </c>
      <c r="G13" s="497">
        <f>ROUND(+E13*F13,4)</f>
        <v>0</v>
      </c>
    </row>
    <row r="14" spans="1:9" ht="13.5" thickBot="1" x14ac:dyDescent="0.25">
      <c r="A14" s="490" t="s">
        <v>42</v>
      </c>
      <c r="B14" s="716">
        <v>2138484751.3</v>
      </c>
      <c r="C14" s="497">
        <f t="shared" si="0"/>
        <v>1</v>
      </c>
      <c r="D14" s="496">
        <f t="shared" si="0"/>
        <v>2138484751</v>
      </c>
      <c r="E14" s="497">
        <f>ROUND(+D14/$D$15,4)</f>
        <v>0.53739999999999999</v>
      </c>
      <c r="F14" s="824">
        <f>ROUND(+G14/E14,4)</f>
        <v>7.3099999999999998E-2</v>
      </c>
      <c r="G14" s="499">
        <f>+G19-G10-G11-G12-G13</f>
        <v>3.9300000000000002E-2</v>
      </c>
    </row>
    <row r="15" spans="1:9" x14ac:dyDescent="0.2">
      <c r="B15" s="500">
        <f>SUM(B10:B14)</f>
        <v>3979235125.0500002</v>
      </c>
      <c r="D15" s="500">
        <f>SUM(D10:D14)</f>
        <v>3979235125</v>
      </c>
      <c r="E15" s="501">
        <f>SUM(E10:E14)</f>
        <v>1</v>
      </c>
      <c r="F15" s="496"/>
      <c r="G15" s="497">
        <f>SUM(G10:G14)</f>
        <v>5.6400000000000006E-2</v>
      </c>
    </row>
    <row r="16" spans="1:9" x14ac:dyDescent="0.2">
      <c r="B16" s="496"/>
      <c r="D16" s="496"/>
      <c r="E16" s="496"/>
      <c r="F16" s="496"/>
      <c r="G16" s="497"/>
    </row>
    <row r="17" spans="1:8" x14ac:dyDescent="0.2">
      <c r="D17" s="496"/>
      <c r="E17" s="496"/>
      <c r="F17" s="496"/>
      <c r="G17" s="496"/>
    </row>
    <row r="18" spans="1:8" x14ac:dyDescent="0.2">
      <c r="A18" s="715" t="s">
        <v>723</v>
      </c>
      <c r="D18" s="496"/>
      <c r="E18" s="496"/>
      <c r="F18" s="496"/>
      <c r="G18" s="720">
        <f>'2012 TY IS'!C35</f>
        <v>224355338.11999989</v>
      </c>
    </row>
    <row r="19" spans="1:8" x14ac:dyDescent="0.2">
      <c r="A19" s="490" t="s">
        <v>44</v>
      </c>
      <c r="D19" s="496"/>
      <c r="E19" s="496"/>
      <c r="F19" s="496"/>
      <c r="G19" s="497">
        <f>ROUND(+G18/D15,4)</f>
        <v>5.6399999999999999E-2</v>
      </c>
      <c r="H19" s="503">
        <f>+G15-G19</f>
        <v>0</v>
      </c>
    </row>
    <row r="20" spans="1:8" x14ac:dyDescent="0.2">
      <c r="D20" s="496"/>
      <c r="E20" s="496"/>
      <c r="F20" s="496"/>
      <c r="G20" s="496"/>
    </row>
    <row r="22" spans="1:8" ht="13.5" thickBot="1" x14ac:dyDescent="0.25">
      <c r="A22" s="504"/>
      <c r="B22" s="504"/>
      <c r="C22" s="504"/>
      <c r="D22" s="504"/>
      <c r="E22" s="504"/>
      <c r="F22" s="504"/>
      <c r="G22" s="505"/>
    </row>
    <row r="23" spans="1:8" x14ac:dyDescent="0.2">
      <c r="G23" s="496"/>
    </row>
    <row r="25" spans="1:8" ht="15" x14ac:dyDescent="0.35">
      <c r="A25" s="830" t="s">
        <v>725</v>
      </c>
      <c r="B25" s="830"/>
      <c r="C25" s="830"/>
      <c r="D25" s="831"/>
      <c r="E25" s="831"/>
      <c r="F25" s="831"/>
      <c r="G25" s="831"/>
    </row>
    <row r="26" spans="1:8" x14ac:dyDescent="0.2">
      <c r="B26" s="491"/>
      <c r="C26" s="492" t="s">
        <v>45</v>
      </c>
      <c r="D26" s="489"/>
      <c r="E26" s="618"/>
      <c r="F26" s="489" t="s">
        <v>25</v>
      </c>
      <c r="G26" s="489" t="s">
        <v>26</v>
      </c>
    </row>
    <row r="27" spans="1:8" x14ac:dyDescent="0.2">
      <c r="B27" s="493" t="s">
        <v>27</v>
      </c>
      <c r="C27" s="492" t="s">
        <v>28</v>
      </c>
      <c r="D27" s="489" t="s">
        <v>45</v>
      </c>
      <c r="E27" s="618" t="s">
        <v>30</v>
      </c>
      <c r="F27" s="618" t="s">
        <v>31</v>
      </c>
      <c r="G27" s="618" t="s">
        <v>32</v>
      </c>
    </row>
    <row r="28" spans="1:8" x14ac:dyDescent="0.2">
      <c r="B28" s="494" t="s">
        <v>33</v>
      </c>
      <c r="C28" s="495" t="s">
        <v>34</v>
      </c>
      <c r="D28" s="494" t="s">
        <v>27</v>
      </c>
      <c r="E28" s="620" t="s">
        <v>35</v>
      </c>
      <c r="F28" s="620" t="s">
        <v>36</v>
      </c>
      <c r="G28" s="620" t="s">
        <v>37</v>
      </c>
    </row>
    <row r="29" spans="1:8" x14ac:dyDescent="0.2">
      <c r="A29" s="490" t="s">
        <v>38</v>
      </c>
      <c r="B29" s="717">
        <f>+B10</f>
        <v>0</v>
      </c>
      <c r="C29" s="497">
        <f>+'Ex 3 - TY 2012'!D44</f>
        <v>0.87519999999999998</v>
      </c>
      <c r="D29" s="496">
        <f>ROUND(+B29*C29,0)</f>
        <v>0</v>
      </c>
      <c r="E29" s="497">
        <f>ROUND(+D29/$D$34,4)</f>
        <v>0</v>
      </c>
      <c r="F29" s="510">
        <f>+F10</f>
        <v>4.1000000000000003E-3</v>
      </c>
      <c r="G29" s="497">
        <f>ROUND(+E29*F29,4)</f>
        <v>0</v>
      </c>
    </row>
    <row r="30" spans="1:8" x14ac:dyDescent="0.2">
      <c r="A30" s="490" t="s">
        <v>39</v>
      </c>
      <c r="B30" s="717">
        <f>+B11</f>
        <v>0</v>
      </c>
      <c r="C30" s="498">
        <f>+C29</f>
        <v>0.87519999999999998</v>
      </c>
      <c r="D30" s="496">
        <f>ROUND(+B30*C30,0)</f>
        <v>0</v>
      </c>
      <c r="E30" s="497">
        <f>ROUND(+D30/$D$34,4)</f>
        <v>0</v>
      </c>
      <c r="F30" s="510">
        <f>+F11</f>
        <v>0</v>
      </c>
      <c r="G30" s="497">
        <f>ROUND(+E30*F30,4)</f>
        <v>0</v>
      </c>
    </row>
    <row r="31" spans="1:8" x14ac:dyDescent="0.2">
      <c r="A31" s="490" t="s">
        <v>40</v>
      </c>
      <c r="B31" s="717">
        <f>+B12</f>
        <v>1840750373.75</v>
      </c>
      <c r="C31" s="498">
        <f>+C30</f>
        <v>0.87519999999999998</v>
      </c>
      <c r="D31" s="496">
        <f>ROUND(+B31*C31,0)</f>
        <v>1611024727</v>
      </c>
      <c r="E31" s="497">
        <f>ROUND(+D31/$D$34,4)</f>
        <v>0.46260000000000001</v>
      </c>
      <c r="F31" s="510">
        <f>+F12</f>
        <v>3.6889999999999999E-2</v>
      </c>
      <c r="G31" s="497">
        <f>ROUND(+E31*F31,4)</f>
        <v>1.7100000000000001E-2</v>
      </c>
    </row>
    <row r="32" spans="1:8" ht="13.5" thickBot="1" x14ac:dyDescent="0.25">
      <c r="A32" s="490" t="s">
        <v>41</v>
      </c>
      <c r="B32" s="717">
        <f>+B13</f>
        <v>0</v>
      </c>
      <c r="C32" s="498">
        <f>+C31</f>
        <v>0.87519999999999998</v>
      </c>
      <c r="D32" s="496">
        <f>ROUND(+B32*C32,0)</f>
        <v>0</v>
      </c>
      <c r="E32" s="497">
        <f>ROUND(+D32/$D$34,4)</f>
        <v>0</v>
      </c>
      <c r="F32" s="510">
        <f>+F13</f>
        <v>0</v>
      </c>
      <c r="G32" s="497">
        <f>ROUND(+E32*F32,4)</f>
        <v>0</v>
      </c>
    </row>
    <row r="33" spans="1:8" ht="13.5" thickBot="1" x14ac:dyDescent="0.25">
      <c r="A33" s="490" t="s">
        <v>42</v>
      </c>
      <c r="B33" s="717">
        <f>+B14</f>
        <v>2138484751.3</v>
      </c>
      <c r="C33" s="498">
        <f>+C32</f>
        <v>0.87519999999999998</v>
      </c>
      <c r="D33" s="496">
        <f>ROUND(+B33*C33,0)</f>
        <v>1871601854</v>
      </c>
      <c r="E33" s="497">
        <f>ROUND(+D33/$D$34,4)</f>
        <v>0.53739999999999999</v>
      </c>
      <c r="F33" s="824">
        <f>ROUND(+G33/E33,4)</f>
        <v>7.6499999999999999E-2</v>
      </c>
      <c r="G33" s="499">
        <f>+G38-G29-G30-G31-G32</f>
        <v>4.1099999999999998E-2</v>
      </c>
    </row>
    <row r="34" spans="1:8" x14ac:dyDescent="0.2">
      <c r="B34" s="507">
        <f>SUM(B29:B33)</f>
        <v>3979235125.0500002</v>
      </c>
      <c r="D34" s="500">
        <f>SUM(D29:D33)</f>
        <v>3482626581</v>
      </c>
      <c r="E34" s="501">
        <v>1</v>
      </c>
      <c r="F34" s="496"/>
      <c r="G34" s="497">
        <f>SUM(G29:G33)</f>
        <v>5.8200000000000002E-2</v>
      </c>
    </row>
    <row r="35" spans="1:8" x14ac:dyDescent="0.2">
      <c r="D35" s="496"/>
      <c r="E35" s="496"/>
      <c r="F35" s="508"/>
      <c r="G35" s="497"/>
    </row>
    <row r="36" spans="1:8" x14ac:dyDescent="0.2">
      <c r="D36" s="496"/>
      <c r="E36" s="496"/>
      <c r="F36" s="496"/>
      <c r="G36" s="496"/>
    </row>
    <row r="37" spans="1:8" x14ac:dyDescent="0.2">
      <c r="A37" s="715" t="s">
        <v>723</v>
      </c>
      <c r="D37" s="496"/>
      <c r="E37" s="496"/>
      <c r="F37" s="496"/>
      <c r="G37" s="720">
        <f>'Ex 3 - TY 2012'!D46</f>
        <v>202748924</v>
      </c>
    </row>
    <row r="38" spans="1:8" x14ac:dyDescent="0.2">
      <c r="A38" s="490" t="s">
        <v>44</v>
      </c>
      <c r="D38" s="496"/>
      <c r="E38" s="496"/>
      <c r="F38" s="496"/>
      <c r="G38" s="497">
        <f>ROUND(+G37/D34,4)</f>
        <v>5.8200000000000002E-2</v>
      </c>
      <c r="H38" s="503">
        <f>+G34-G38</f>
        <v>0</v>
      </c>
    </row>
    <row r="39" spans="1:8" x14ac:dyDescent="0.2">
      <c r="D39" s="496"/>
      <c r="E39" s="496"/>
      <c r="F39" s="496"/>
      <c r="G39" s="496"/>
    </row>
    <row r="41" spans="1:8" ht="13.5" thickBot="1" x14ac:dyDescent="0.25">
      <c r="A41" s="504"/>
      <c r="B41" s="504"/>
      <c r="C41" s="504"/>
      <c r="D41" s="504"/>
      <c r="E41" s="504"/>
      <c r="F41" s="504"/>
      <c r="G41" s="504"/>
    </row>
    <row r="42" spans="1:8" x14ac:dyDescent="0.2">
      <c r="A42" s="491"/>
      <c r="B42" s="491"/>
      <c r="C42" s="491"/>
      <c r="D42" s="491"/>
      <c r="E42" s="491"/>
      <c r="F42" s="491"/>
      <c r="G42" s="491"/>
    </row>
    <row r="44" spans="1:8" ht="15" x14ac:dyDescent="0.35">
      <c r="A44" s="830" t="s">
        <v>724</v>
      </c>
      <c r="B44" s="830"/>
      <c r="C44" s="830"/>
      <c r="D44" s="831"/>
      <c r="E44" s="831"/>
      <c r="F44" s="831"/>
      <c r="G44" s="831"/>
    </row>
    <row r="45" spans="1:8" x14ac:dyDescent="0.2">
      <c r="B45" s="491"/>
      <c r="C45" s="492" t="s">
        <v>45</v>
      </c>
      <c r="D45" s="489"/>
      <c r="F45" s="489" t="s">
        <v>25</v>
      </c>
      <c r="G45" s="489" t="s">
        <v>26</v>
      </c>
    </row>
    <row r="46" spans="1:8" x14ac:dyDescent="0.2">
      <c r="B46" s="493" t="s">
        <v>27</v>
      </c>
      <c r="C46" s="492" t="s">
        <v>28</v>
      </c>
      <c r="D46" s="489" t="s">
        <v>45</v>
      </c>
      <c r="E46" s="489" t="s">
        <v>30</v>
      </c>
      <c r="F46" s="489" t="s">
        <v>31</v>
      </c>
      <c r="G46" s="489" t="s">
        <v>32</v>
      </c>
    </row>
    <row r="47" spans="1:8" x14ac:dyDescent="0.2">
      <c r="B47" s="494" t="s">
        <v>33</v>
      </c>
      <c r="C47" s="495" t="s">
        <v>34</v>
      </c>
      <c r="D47" s="494" t="s">
        <v>27</v>
      </c>
      <c r="E47" s="494" t="s">
        <v>35</v>
      </c>
      <c r="F47" s="494" t="s">
        <v>36</v>
      </c>
      <c r="G47" s="494" t="s">
        <v>37</v>
      </c>
    </row>
    <row r="48" spans="1:8" x14ac:dyDescent="0.2">
      <c r="A48" s="490" t="s">
        <v>38</v>
      </c>
      <c r="B48" s="717">
        <f>+B10</f>
        <v>0</v>
      </c>
      <c r="C48" s="497">
        <f>+'Ex 3 - TY 2012'!F44</f>
        <v>0.12479999999999999</v>
      </c>
      <c r="D48" s="496">
        <f>ROUND(+B48*C48,0)</f>
        <v>0</v>
      </c>
      <c r="E48" s="497">
        <f>ROUND(+D48/$D$53,4)</f>
        <v>0</v>
      </c>
      <c r="F48" s="510">
        <f>+F29</f>
        <v>4.1000000000000003E-3</v>
      </c>
      <c r="G48" s="497">
        <f>ROUND(+E48*F48,4)</f>
        <v>0</v>
      </c>
    </row>
    <row r="49" spans="1:8" x14ac:dyDescent="0.2">
      <c r="A49" s="490" t="s">
        <v>39</v>
      </c>
      <c r="B49" s="717">
        <f>+B11</f>
        <v>0</v>
      </c>
      <c r="C49" s="498">
        <f>+C48</f>
        <v>0.12479999999999999</v>
      </c>
      <c r="D49" s="496">
        <f>ROUND(+B49*C49,0)</f>
        <v>0</v>
      </c>
      <c r="E49" s="497">
        <f>ROUND(+D49/$D$53,4)</f>
        <v>0</v>
      </c>
      <c r="F49" s="510">
        <f>+F30</f>
        <v>0</v>
      </c>
      <c r="G49" s="497">
        <f>ROUND(+E49*F49,4)</f>
        <v>0</v>
      </c>
    </row>
    <row r="50" spans="1:8" x14ac:dyDescent="0.2">
      <c r="A50" s="490" t="s">
        <v>40</v>
      </c>
      <c r="B50" s="717">
        <f>+B12</f>
        <v>1840750373.75</v>
      </c>
      <c r="C50" s="498">
        <f>+C49</f>
        <v>0.12479999999999999</v>
      </c>
      <c r="D50" s="496">
        <f>ROUND(+B50*C50,0)</f>
        <v>229725647</v>
      </c>
      <c r="E50" s="497">
        <f>ROUND(+D50/$D$53,4)</f>
        <v>0.46260000000000001</v>
      </c>
      <c r="F50" s="510">
        <f>+F31</f>
        <v>3.6889999999999999E-2</v>
      </c>
      <c r="G50" s="497">
        <f>ROUND(+E50*F50,4)</f>
        <v>1.7100000000000001E-2</v>
      </c>
    </row>
    <row r="51" spans="1:8" ht="13.5" thickBot="1" x14ac:dyDescent="0.25">
      <c r="A51" s="490" t="s">
        <v>41</v>
      </c>
      <c r="B51" s="717">
        <f>+B13</f>
        <v>0</v>
      </c>
      <c r="C51" s="498">
        <f>+C50</f>
        <v>0.12479999999999999</v>
      </c>
      <c r="D51" s="496">
        <f>ROUND(+B51*C51,0)</f>
        <v>0</v>
      </c>
      <c r="E51" s="497">
        <f>ROUND(+D51/$D$53,4)</f>
        <v>0</v>
      </c>
      <c r="F51" s="510">
        <f>+F32</f>
        <v>0</v>
      </c>
      <c r="G51" s="497">
        <f>ROUND(+E51*F51,4)</f>
        <v>0</v>
      </c>
    </row>
    <row r="52" spans="1:8" ht="13.5" thickBot="1" x14ac:dyDescent="0.25">
      <c r="A52" s="490" t="s">
        <v>42</v>
      </c>
      <c r="B52" s="717">
        <f>+B14</f>
        <v>2138484751.3</v>
      </c>
      <c r="C52" s="498">
        <f>+C51</f>
        <v>0.12479999999999999</v>
      </c>
      <c r="D52" s="496">
        <f>ROUND(+B52*C52,0)</f>
        <v>266882897</v>
      </c>
      <c r="E52" s="497">
        <f>ROUND(+D52/$D$53,4)</f>
        <v>0.53739999999999999</v>
      </c>
      <c r="F52" s="824">
        <f>ROUND(+G52/E52,4)</f>
        <v>4.9099999999999998E-2</v>
      </c>
      <c r="G52" s="499">
        <f>+G57-G48-G49-G50-G51</f>
        <v>2.6399999999999996E-2</v>
      </c>
    </row>
    <row r="53" spans="1:8" x14ac:dyDescent="0.2">
      <c r="B53" s="507">
        <f>SUM(B48:B52)</f>
        <v>3979235125.0500002</v>
      </c>
      <c r="D53" s="500">
        <f>SUM(D48:D52)</f>
        <v>496608544</v>
      </c>
      <c r="E53" s="501">
        <v>1</v>
      </c>
      <c r="F53" s="496"/>
      <c r="G53" s="497">
        <f>SUM(G48:G52)</f>
        <v>4.3499999999999997E-2</v>
      </c>
    </row>
    <row r="54" spans="1:8" x14ac:dyDescent="0.2">
      <c r="D54" s="496"/>
      <c r="E54" s="496"/>
      <c r="F54" s="508"/>
      <c r="G54" s="497"/>
    </row>
    <row r="55" spans="1:8" x14ac:dyDescent="0.2">
      <c r="D55" s="496"/>
      <c r="E55" s="496"/>
      <c r="F55" s="496"/>
      <c r="G55" s="496"/>
    </row>
    <row r="56" spans="1:8" x14ac:dyDescent="0.2">
      <c r="A56" s="715" t="s">
        <v>723</v>
      </c>
      <c r="D56" s="496"/>
      <c r="E56" s="496"/>
      <c r="F56" s="496"/>
      <c r="G56" s="720">
        <f>'Ex 3 - TY 2012'!F46</f>
        <v>21606414.119999886</v>
      </c>
      <c r="H56" s="509"/>
    </row>
    <row r="57" spans="1:8" x14ac:dyDescent="0.2">
      <c r="A57" s="490" t="s">
        <v>44</v>
      </c>
      <c r="D57" s="496"/>
      <c r="E57" s="496"/>
      <c r="F57" s="496"/>
      <c r="G57" s="497">
        <f>ROUND(+G56/D53,4)</f>
        <v>4.3499999999999997E-2</v>
      </c>
      <c r="H57" s="503">
        <f>+G53-G57</f>
        <v>0</v>
      </c>
    </row>
    <row r="58" spans="1:8" x14ac:dyDescent="0.2">
      <c r="D58" s="496"/>
      <c r="E58" s="496"/>
      <c r="F58" s="496"/>
      <c r="G58" s="496"/>
    </row>
    <row r="60" spans="1:8" ht="13.5" thickBot="1" x14ac:dyDescent="0.25">
      <c r="A60" s="504"/>
      <c r="B60" s="504"/>
      <c r="C60" s="504"/>
      <c r="D60" s="504"/>
      <c r="E60" s="504"/>
      <c r="F60" s="504"/>
      <c r="G60" s="504"/>
    </row>
  </sheetData>
  <mergeCells count="7">
    <mergeCell ref="A44:G44"/>
    <mergeCell ref="A1:G1"/>
    <mergeCell ref="A2:G2"/>
    <mergeCell ref="A3:G3"/>
    <mergeCell ref="A4:G4"/>
    <mergeCell ref="A6:G6"/>
    <mergeCell ref="A25:G25"/>
  </mergeCells>
  <printOptions horizontalCentered="1"/>
  <pageMargins left="0.75" right="0.75" top="1" bottom="1" header="0.25" footer="0.5"/>
  <pageSetup scale="68" orientation="portrait" blackAndWhite="1" r:id="rId1"/>
  <headerFooter alignWithMargins="0">
    <oddHeader xml:space="preserve">&amp;R&amp;"Times New Roman,Bold"&amp;14Attachment to Response to Question No. 38
Page &amp;P of &amp;N
Blake&amp;12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59"/>
  <sheetViews>
    <sheetView showGridLines="0" zoomScale="75" workbookViewId="0">
      <selection activeCell="C33" sqref="C33"/>
    </sheetView>
  </sheetViews>
  <sheetFormatPr defaultColWidth="10.28515625" defaultRowHeight="15.75" customHeight="1" x14ac:dyDescent="0.25"/>
  <cols>
    <col min="1" max="1" width="48.7109375" style="477" customWidth="1"/>
    <col min="2" max="2" width="6.42578125" style="477" customWidth="1"/>
    <col min="3" max="3" width="20.28515625" style="92" bestFit="1" customWidth="1"/>
    <col min="4" max="4" width="9.85546875" style="92" customWidth="1"/>
    <col min="5" max="5" width="21.5703125" style="92" customWidth="1"/>
    <col min="6" max="6" width="9.85546875" style="92" customWidth="1"/>
    <col min="7" max="7" width="19" style="92" customWidth="1"/>
    <col min="8" max="8" width="6.42578125" style="92" customWidth="1"/>
    <col min="9" max="9" width="14.42578125" style="92" customWidth="1"/>
    <col min="10" max="10" width="10.28515625" style="477" hidden="1" customWidth="1"/>
    <col min="11" max="16384" width="10.28515625" style="477"/>
  </cols>
  <sheetData>
    <row r="1" spans="1:10" ht="15.75" customHeight="1" x14ac:dyDescent="0.25">
      <c r="A1" s="857" t="s">
        <v>21</v>
      </c>
      <c r="B1" s="857"/>
      <c r="C1" s="857"/>
      <c r="D1" s="857"/>
      <c r="E1" s="857"/>
      <c r="F1" s="857"/>
      <c r="G1" s="857"/>
      <c r="H1" s="857"/>
      <c r="I1" s="857"/>
      <c r="J1" s="639"/>
    </row>
    <row r="2" spans="1:10" ht="15.75" customHeight="1" x14ac:dyDescent="0.25">
      <c r="A2" s="857" t="s">
        <v>190</v>
      </c>
      <c r="B2" s="857"/>
      <c r="C2" s="857"/>
      <c r="D2" s="857"/>
      <c r="E2" s="857"/>
      <c r="F2" s="857"/>
      <c r="G2" s="857"/>
      <c r="H2" s="857"/>
      <c r="I2" s="857"/>
      <c r="J2" s="639"/>
    </row>
    <row r="3" spans="1:10" s="480" customFormat="1" ht="15.75" customHeight="1" x14ac:dyDescent="0.25">
      <c r="A3" s="864" t="s">
        <v>713</v>
      </c>
      <c r="B3" s="864"/>
      <c r="C3" s="864"/>
      <c r="D3" s="864"/>
      <c r="E3" s="864"/>
      <c r="F3" s="864"/>
      <c r="G3" s="864"/>
      <c r="H3" s="864"/>
      <c r="I3" s="864"/>
      <c r="J3" s="642"/>
    </row>
    <row r="6" spans="1:10" ht="15.75" customHeight="1" x14ac:dyDescent="0.25">
      <c r="A6" s="626"/>
      <c r="B6" s="623"/>
      <c r="C6" s="627" t="s">
        <v>191</v>
      </c>
      <c r="D6" s="628"/>
      <c r="E6" s="628"/>
      <c r="F6" s="628"/>
      <c r="G6" s="628"/>
      <c r="H6" s="628"/>
      <c r="I6" s="628"/>
      <c r="J6" s="623"/>
    </row>
    <row r="8" spans="1:10" ht="15.75" customHeight="1" x14ac:dyDescent="0.25">
      <c r="A8" s="623"/>
      <c r="B8" s="623"/>
      <c r="C8" s="650" t="s">
        <v>192</v>
      </c>
      <c r="D8" s="629"/>
      <c r="E8" s="650" t="s">
        <v>193</v>
      </c>
      <c r="F8" s="629"/>
      <c r="G8" s="630" t="s">
        <v>194</v>
      </c>
      <c r="H8" s="631"/>
      <c r="I8" s="625"/>
      <c r="J8" s="623"/>
    </row>
    <row r="9" spans="1:10" ht="15.75" customHeight="1" x14ac:dyDescent="0.25">
      <c r="A9" s="623"/>
      <c r="B9" s="623"/>
      <c r="C9" s="647" t="s">
        <v>195</v>
      </c>
      <c r="D9" s="629"/>
      <c r="E9" s="647" t="s">
        <v>195</v>
      </c>
      <c r="F9" s="629"/>
      <c r="G9" s="647" t="s">
        <v>195</v>
      </c>
      <c r="H9" s="629"/>
      <c r="I9" s="632" t="s">
        <v>196</v>
      </c>
      <c r="J9" s="623"/>
    </row>
    <row r="11" spans="1:10" ht="15.75" customHeight="1" x14ac:dyDescent="0.25">
      <c r="A11" s="671" t="s">
        <v>631</v>
      </c>
      <c r="B11" s="633" t="s">
        <v>198</v>
      </c>
      <c r="C11" s="669">
        <v>1547516986.0999999</v>
      </c>
      <c r="D11" s="635"/>
      <c r="E11" s="669">
        <v>1512342095.9200001</v>
      </c>
      <c r="F11" s="635"/>
      <c r="G11" s="669">
        <v>35174890.179999828</v>
      </c>
      <c r="H11" s="635"/>
      <c r="I11" s="651">
        <v>2.3258999999999999</v>
      </c>
      <c r="J11" s="623"/>
    </row>
    <row r="12" spans="1:10" ht="15.75" customHeight="1" x14ac:dyDescent="0.25">
      <c r="A12" s="671" t="s">
        <v>632</v>
      </c>
      <c r="B12" s="633" t="s">
        <v>198</v>
      </c>
      <c r="C12" s="634">
        <v>0</v>
      </c>
      <c r="D12" s="623"/>
      <c r="E12" s="634">
        <v>-632383.92000000004</v>
      </c>
      <c r="F12" s="623"/>
      <c r="G12" s="634">
        <v>632383.92000000004</v>
      </c>
      <c r="H12" s="623"/>
      <c r="I12" s="648">
        <v>100</v>
      </c>
      <c r="J12" s="623"/>
    </row>
    <row r="13" spans="1:10" ht="15.75" customHeight="1" x14ac:dyDescent="0.25">
      <c r="A13" s="623"/>
      <c r="B13" s="633" t="s">
        <v>198</v>
      </c>
      <c r="C13" s="623"/>
      <c r="D13" s="623"/>
      <c r="E13" s="623"/>
      <c r="F13" s="623"/>
      <c r="G13" s="623"/>
      <c r="H13" s="623"/>
      <c r="I13" s="641"/>
      <c r="J13" s="623"/>
    </row>
    <row r="14" spans="1:10" ht="15.75" customHeight="1" x14ac:dyDescent="0.25">
      <c r="A14" s="671" t="s">
        <v>633</v>
      </c>
      <c r="B14" s="633" t="s">
        <v>198</v>
      </c>
      <c r="C14" s="634">
        <v>1547516986.0999999</v>
      </c>
      <c r="D14" s="623"/>
      <c r="E14" s="634">
        <v>1511709712</v>
      </c>
      <c r="F14" s="623"/>
      <c r="G14" s="634">
        <v>35807274.099999905</v>
      </c>
      <c r="H14" s="623"/>
      <c r="I14" s="648">
        <v>2.3687</v>
      </c>
      <c r="J14" s="623"/>
    </row>
    <row r="15" spans="1:10" ht="15.75" customHeight="1" x14ac:dyDescent="0.25">
      <c r="A15" s="622" t="s">
        <v>198</v>
      </c>
      <c r="B15" s="622"/>
      <c r="C15" s="622"/>
      <c r="D15" s="622"/>
      <c r="E15" s="622"/>
      <c r="F15" s="622"/>
      <c r="G15" s="622"/>
      <c r="H15" s="622"/>
      <c r="I15" s="622"/>
      <c r="J15" s="622"/>
    </row>
    <row r="16" spans="1:10" ht="15.75" customHeight="1" x14ac:dyDescent="0.25">
      <c r="A16" s="671" t="s">
        <v>634</v>
      </c>
      <c r="B16" s="633" t="s">
        <v>198</v>
      </c>
      <c r="C16" s="645">
        <v>522648642.11000001</v>
      </c>
      <c r="D16" s="623"/>
      <c r="E16" s="624">
        <v>496084188.13</v>
      </c>
      <c r="F16" s="623"/>
      <c r="G16" s="624">
        <v>26564453.980000019</v>
      </c>
      <c r="H16" s="623"/>
      <c r="I16" s="645">
        <v>5.3548</v>
      </c>
      <c r="J16" s="623"/>
    </row>
    <row r="17" spans="1:11" ht="15.75" customHeight="1" x14ac:dyDescent="0.25">
      <c r="A17" s="671" t="s">
        <v>635</v>
      </c>
      <c r="B17" s="633" t="s">
        <v>198</v>
      </c>
      <c r="C17" s="645">
        <v>109114947.73999999</v>
      </c>
      <c r="D17" s="623"/>
      <c r="E17" s="624">
        <v>174621937.27000001</v>
      </c>
      <c r="F17" s="623"/>
      <c r="G17" s="624">
        <v>-65506989.530000016</v>
      </c>
      <c r="H17" s="623"/>
      <c r="I17" s="645">
        <v>-37.513599999999997</v>
      </c>
      <c r="J17" s="623"/>
      <c r="K17" s="668"/>
    </row>
    <row r="18" spans="1:11" ht="15.75" customHeight="1" x14ac:dyDescent="0.25">
      <c r="A18" s="671" t="s">
        <v>636</v>
      </c>
      <c r="B18" s="633" t="s">
        <v>198</v>
      </c>
      <c r="C18" s="645">
        <v>233508690.94</v>
      </c>
      <c r="D18" s="623"/>
      <c r="E18" s="624">
        <v>216647227.77000001</v>
      </c>
      <c r="F18" s="623"/>
      <c r="G18" s="624">
        <v>16861463.169999987</v>
      </c>
      <c r="H18" s="623"/>
      <c r="I18" s="645">
        <v>7.7828999999999997</v>
      </c>
      <c r="J18" s="623"/>
      <c r="K18" s="623"/>
    </row>
    <row r="19" spans="1:11" ht="15.75" customHeight="1" x14ac:dyDescent="0.25">
      <c r="A19" s="671" t="s">
        <v>637</v>
      </c>
      <c r="B19" s="633" t="s">
        <v>198</v>
      </c>
      <c r="C19" s="645">
        <v>116303368.69</v>
      </c>
      <c r="D19" s="623"/>
      <c r="E19" s="624">
        <v>107813984.8</v>
      </c>
      <c r="F19" s="623"/>
      <c r="G19" s="624">
        <v>8489383.8900000006</v>
      </c>
      <c r="H19" s="623"/>
      <c r="I19" s="645">
        <v>7.8741000000000003</v>
      </c>
      <c r="J19" s="623"/>
      <c r="K19" s="623"/>
    </row>
    <row r="20" spans="1:11" ht="15.75" customHeight="1" x14ac:dyDescent="0.25">
      <c r="A20" s="671" t="s">
        <v>638</v>
      </c>
      <c r="B20" s="633" t="s">
        <v>198</v>
      </c>
      <c r="C20" s="645">
        <v>181926788.12</v>
      </c>
      <c r="D20" s="623"/>
      <c r="E20" s="624">
        <v>139282040.69</v>
      </c>
      <c r="F20" s="623"/>
      <c r="G20" s="624">
        <v>42644747.430000007</v>
      </c>
      <c r="H20" s="623"/>
      <c r="I20" s="645">
        <v>30.6175</v>
      </c>
      <c r="J20" s="623"/>
      <c r="K20" s="623"/>
    </row>
    <row r="21" spans="1:11" ht="15.75" customHeight="1" x14ac:dyDescent="0.25">
      <c r="A21" s="671" t="s">
        <v>639</v>
      </c>
      <c r="B21" s="633" t="s">
        <v>198</v>
      </c>
      <c r="C21" s="645">
        <v>7263444.4100000001</v>
      </c>
      <c r="D21" s="623"/>
      <c r="E21" s="624">
        <v>6603463.9199999999</v>
      </c>
      <c r="F21" s="623"/>
      <c r="G21" s="624">
        <v>659980.49000000022</v>
      </c>
      <c r="H21" s="623"/>
      <c r="I21" s="645">
        <v>9.9945000000000004</v>
      </c>
      <c r="J21" s="623"/>
      <c r="K21" s="623"/>
    </row>
    <row r="22" spans="1:11" ht="15.75" customHeight="1" x14ac:dyDescent="0.25">
      <c r="A22" s="671" t="s">
        <v>640</v>
      </c>
      <c r="B22" s="633" t="s">
        <v>198</v>
      </c>
      <c r="C22" s="645">
        <v>-5855639.9299999997</v>
      </c>
      <c r="D22" s="623"/>
      <c r="E22" s="624">
        <v>-5149557.3499999996</v>
      </c>
      <c r="F22" s="623"/>
      <c r="G22" s="624">
        <v>-706082.58000000007</v>
      </c>
      <c r="H22" s="623"/>
      <c r="I22" s="645">
        <v>-13.711499999999999</v>
      </c>
      <c r="J22" s="623"/>
      <c r="K22" s="623"/>
    </row>
    <row r="23" spans="1:11" ht="15.75" customHeight="1" x14ac:dyDescent="0.25">
      <c r="A23" s="623" t="s">
        <v>208</v>
      </c>
      <c r="B23" s="633" t="s">
        <v>198</v>
      </c>
      <c r="C23" s="645"/>
      <c r="D23" s="623"/>
      <c r="E23" s="623"/>
      <c r="F23" s="623"/>
      <c r="G23" s="623"/>
      <c r="H23" s="623"/>
      <c r="I23" s="645"/>
      <c r="J23" s="623"/>
      <c r="K23" s="623"/>
    </row>
    <row r="24" spans="1:11" ht="15.75" customHeight="1" x14ac:dyDescent="0.25">
      <c r="A24" s="671" t="s">
        <v>641</v>
      </c>
      <c r="B24" s="633" t="s">
        <v>198</v>
      </c>
      <c r="C24" s="645">
        <v>-6941452.1100000003</v>
      </c>
      <c r="D24" s="623"/>
      <c r="E24" s="624">
        <v>61659449.280000001</v>
      </c>
      <c r="F24" s="623"/>
      <c r="G24" s="624">
        <v>-68600901.390000001</v>
      </c>
      <c r="H24" s="623"/>
      <c r="I24" s="645">
        <v>-111.2577</v>
      </c>
      <c r="J24" s="623"/>
      <c r="K24" s="623"/>
    </row>
    <row r="25" spans="1:11" ht="15.75" customHeight="1" x14ac:dyDescent="0.25">
      <c r="A25" s="671" t="s">
        <v>642</v>
      </c>
      <c r="B25" s="633" t="s">
        <v>198</v>
      </c>
      <c r="C25" s="645">
        <v>4455179.1500000004</v>
      </c>
      <c r="D25" s="623"/>
      <c r="E25" s="624">
        <v>12756392.51</v>
      </c>
      <c r="F25" s="623"/>
      <c r="G25" s="624">
        <v>-8301213.3599999994</v>
      </c>
      <c r="H25" s="623"/>
      <c r="I25" s="645">
        <v>-65.0749</v>
      </c>
      <c r="J25" s="623"/>
      <c r="K25" s="623"/>
    </row>
    <row r="26" spans="1:11" ht="15.75" customHeight="1" x14ac:dyDescent="0.25">
      <c r="A26" s="671" t="s">
        <v>643</v>
      </c>
      <c r="B26" s="633" t="s">
        <v>198</v>
      </c>
      <c r="C26" s="645">
        <v>101588779.03</v>
      </c>
      <c r="D26" s="623"/>
      <c r="E26" s="624">
        <v>22275451.75</v>
      </c>
      <c r="F26" s="623"/>
      <c r="G26" s="624">
        <v>79313327.280000001</v>
      </c>
      <c r="H26" s="623"/>
      <c r="I26" s="645">
        <v>356.05709999999999</v>
      </c>
      <c r="J26" s="623"/>
      <c r="K26" s="623"/>
    </row>
    <row r="27" spans="1:11" ht="15.75" customHeight="1" x14ac:dyDescent="0.25">
      <c r="A27" s="671" t="s">
        <v>644</v>
      </c>
      <c r="B27" s="633" t="s">
        <v>198</v>
      </c>
      <c r="C27" s="645">
        <v>9974459.7899999991</v>
      </c>
      <c r="D27" s="623"/>
      <c r="E27" s="624">
        <v>3311038.18</v>
      </c>
      <c r="F27" s="623"/>
      <c r="G27" s="624">
        <v>6663421.6099999994</v>
      </c>
      <c r="H27" s="623"/>
      <c r="I27" s="645">
        <v>201.24870000000001</v>
      </c>
      <c r="J27" s="623"/>
      <c r="K27" s="623"/>
    </row>
    <row r="28" spans="1:11" ht="15.75" customHeight="1" x14ac:dyDescent="0.25">
      <c r="A28" s="671" t="s">
        <v>645</v>
      </c>
      <c r="B28" s="633" t="s">
        <v>198</v>
      </c>
      <c r="C28" s="651">
        <v>28115766.460000001</v>
      </c>
      <c r="D28" s="635"/>
      <c r="E28" s="624">
        <v>19893478.969999999</v>
      </c>
      <c r="F28" s="635"/>
      <c r="G28" s="635">
        <v>8222287.4900000021</v>
      </c>
      <c r="H28" s="635"/>
      <c r="I28" s="645">
        <v>41.331600000000002</v>
      </c>
      <c r="J28" s="626"/>
      <c r="K28" s="623"/>
    </row>
    <row r="29" spans="1:11" ht="15.75" customHeight="1" x14ac:dyDescent="0.25">
      <c r="A29" s="671" t="s">
        <v>646</v>
      </c>
      <c r="B29" s="633" t="s">
        <v>198</v>
      </c>
      <c r="C29" s="651">
        <v>0</v>
      </c>
      <c r="D29" s="635"/>
      <c r="E29" s="624">
        <v>0</v>
      </c>
      <c r="F29" s="635"/>
      <c r="G29" s="635">
        <v>0</v>
      </c>
      <c r="H29" s="635"/>
      <c r="I29" s="645">
        <v>0</v>
      </c>
      <c r="J29" s="626" t="s">
        <v>215</v>
      </c>
      <c r="K29" s="623"/>
    </row>
    <row r="30" spans="1:11" ht="15.75" customHeight="1" x14ac:dyDescent="0.25">
      <c r="A30" s="671" t="s">
        <v>647</v>
      </c>
      <c r="B30" s="633" t="s">
        <v>198</v>
      </c>
      <c r="C30" s="651">
        <v>-3293.39</v>
      </c>
      <c r="D30" s="635"/>
      <c r="E30" s="624">
        <v>-56750.74</v>
      </c>
      <c r="F30" s="635"/>
      <c r="G30" s="635">
        <v>53457.35</v>
      </c>
      <c r="H30" s="635"/>
      <c r="I30" s="645">
        <v>94.196700000000007</v>
      </c>
      <c r="J30" s="623"/>
      <c r="K30" s="623"/>
    </row>
    <row r="31" spans="1:11" ht="15.75" customHeight="1" x14ac:dyDescent="0.25">
      <c r="A31" s="671" t="s">
        <v>648</v>
      </c>
      <c r="B31" s="633" t="s">
        <v>198</v>
      </c>
      <c r="C31" s="648">
        <v>2827116.86</v>
      </c>
      <c r="D31" s="635"/>
      <c r="E31" s="634">
        <v>3498904.94</v>
      </c>
      <c r="F31" s="635"/>
      <c r="G31" s="634">
        <v>-671788.08000000007</v>
      </c>
      <c r="H31" s="635"/>
      <c r="I31" s="648">
        <v>-19.2</v>
      </c>
      <c r="J31" s="623"/>
      <c r="K31" s="623"/>
    </row>
    <row r="32" spans="1:11" ht="15.75" customHeight="1" x14ac:dyDescent="0.25">
      <c r="A32" s="623"/>
      <c r="B32" s="633" t="s">
        <v>198</v>
      </c>
      <c r="C32" s="623"/>
      <c r="D32" s="623"/>
      <c r="E32" s="623"/>
      <c r="F32" s="623"/>
      <c r="G32" s="623"/>
      <c r="H32" s="623"/>
      <c r="I32" s="641"/>
      <c r="J32" s="623"/>
      <c r="K32" s="623"/>
    </row>
    <row r="33" spans="1:9" ht="15.75" customHeight="1" x14ac:dyDescent="0.25">
      <c r="A33" s="671" t="s">
        <v>649</v>
      </c>
      <c r="B33" s="633" t="s">
        <v>198</v>
      </c>
      <c r="C33" s="634">
        <v>1304926797.8699999</v>
      </c>
      <c r="D33" s="623"/>
      <c r="E33" s="634">
        <v>1259241250.1200001</v>
      </c>
      <c r="F33" s="623"/>
      <c r="G33" s="634">
        <v>45685547.749999762</v>
      </c>
      <c r="H33" s="623"/>
      <c r="I33" s="648">
        <v>3.6280000000000001</v>
      </c>
    </row>
    <row r="34" spans="1:9" ht="15.75" customHeight="1" x14ac:dyDescent="0.25">
      <c r="A34" s="623"/>
      <c r="B34" s="633" t="s">
        <v>198</v>
      </c>
      <c r="C34" s="623"/>
      <c r="D34" s="623"/>
      <c r="E34" s="623"/>
      <c r="F34" s="623"/>
      <c r="G34" s="623"/>
      <c r="H34" s="623"/>
      <c r="I34" s="641"/>
    </row>
    <row r="35" spans="1:9" ht="15.75" customHeight="1" x14ac:dyDescent="0.25">
      <c r="A35" s="671" t="s">
        <v>650</v>
      </c>
      <c r="B35" s="633" t="s">
        <v>198</v>
      </c>
      <c r="C35" s="103">
        <v>242590188.23000002</v>
      </c>
      <c r="D35" s="623"/>
      <c r="E35" s="624">
        <v>252468461.87999988</v>
      </c>
      <c r="F35" s="623"/>
      <c r="G35" s="624">
        <v>-9878273.6499998569</v>
      </c>
      <c r="H35" s="623"/>
      <c r="I35" s="645">
        <v>-3.9127000000000001</v>
      </c>
    </row>
    <row r="36" spans="1:9" ht="15.6" customHeight="1" x14ac:dyDescent="0.25">
      <c r="A36" s="623"/>
      <c r="B36" s="633"/>
      <c r="C36" s="623"/>
      <c r="D36" s="623"/>
      <c r="E36" s="623"/>
      <c r="F36" s="623"/>
      <c r="G36" s="623"/>
      <c r="H36" s="623"/>
      <c r="I36" s="645"/>
    </row>
    <row r="37" spans="1:9" ht="15.75" customHeight="1" x14ac:dyDescent="0.25">
      <c r="A37" s="623" t="s">
        <v>220</v>
      </c>
      <c r="B37" s="633" t="s">
        <v>198</v>
      </c>
      <c r="C37" s="623"/>
      <c r="D37" s="623"/>
      <c r="E37" s="623"/>
      <c r="F37" s="623"/>
      <c r="G37" s="623"/>
      <c r="H37" s="623"/>
      <c r="I37" s="640"/>
    </row>
    <row r="38" spans="1:9" ht="15.75" customHeight="1" x14ac:dyDescent="0.25">
      <c r="A38" s="671" t="s">
        <v>714</v>
      </c>
      <c r="B38" s="633"/>
      <c r="C38" s="624">
        <v>2686401</v>
      </c>
      <c r="D38" s="624"/>
      <c r="E38" s="624">
        <v>71100</v>
      </c>
      <c r="F38" s="624"/>
      <c r="G38" s="645">
        <v>2615301</v>
      </c>
      <c r="H38" s="624"/>
      <c r="I38" s="645">
        <v>3678.3418000000001</v>
      </c>
    </row>
    <row r="39" spans="1:9" ht="15.75" customHeight="1" x14ac:dyDescent="0.25">
      <c r="A39" s="671" t="s">
        <v>651</v>
      </c>
      <c r="B39" s="633" t="s">
        <v>198</v>
      </c>
      <c r="C39" s="624">
        <v>1749729.68</v>
      </c>
      <c r="D39" s="623"/>
      <c r="E39" s="624">
        <v>1057913.92</v>
      </c>
      <c r="F39" s="623"/>
      <c r="G39" s="645">
        <v>691815.76</v>
      </c>
      <c r="H39" s="623"/>
      <c r="I39" s="645">
        <v>65.394300000000001</v>
      </c>
    </row>
    <row r="40" spans="1:9" ht="15.75" customHeight="1" x14ac:dyDescent="0.25">
      <c r="A40" s="671" t="s">
        <v>652</v>
      </c>
      <c r="B40" s="633" t="s">
        <v>198</v>
      </c>
      <c r="C40" s="634">
        <v>42661.58</v>
      </c>
      <c r="D40" s="623"/>
      <c r="E40" s="634">
        <v>521152.04</v>
      </c>
      <c r="F40" s="623"/>
      <c r="G40" s="648">
        <v>-478490.45999999996</v>
      </c>
      <c r="H40" s="623"/>
      <c r="I40" s="648">
        <v>-91.813999999999993</v>
      </c>
    </row>
    <row r="41" spans="1:9" ht="15.75" customHeight="1" x14ac:dyDescent="0.25">
      <c r="A41" s="623"/>
      <c r="B41" s="633" t="s">
        <v>198</v>
      </c>
      <c r="C41" s="623"/>
      <c r="D41" s="623"/>
      <c r="E41" s="623"/>
      <c r="F41" s="623"/>
      <c r="G41" s="623"/>
      <c r="H41" s="623"/>
      <c r="I41" s="641"/>
    </row>
    <row r="42" spans="1:9" ht="15.75" customHeight="1" x14ac:dyDescent="0.25">
      <c r="A42" s="671" t="s">
        <v>653</v>
      </c>
      <c r="B42" s="633" t="s">
        <v>198</v>
      </c>
      <c r="C42" s="634">
        <v>4478792.26</v>
      </c>
      <c r="D42" s="623"/>
      <c r="E42" s="634">
        <v>1650165.96</v>
      </c>
      <c r="F42" s="623"/>
      <c r="G42" s="634">
        <v>2828626.3</v>
      </c>
      <c r="H42" s="623"/>
      <c r="I42" s="648">
        <v>171.41470000000001</v>
      </c>
    </row>
    <row r="43" spans="1:9" ht="15.75" customHeight="1" x14ac:dyDescent="0.25">
      <c r="A43" s="623"/>
      <c r="B43" s="633" t="s">
        <v>198</v>
      </c>
      <c r="C43" s="623"/>
      <c r="D43" s="623"/>
      <c r="E43" s="623"/>
      <c r="F43" s="623"/>
      <c r="G43" s="623"/>
      <c r="H43" s="623"/>
      <c r="I43" s="641"/>
    </row>
    <row r="44" spans="1:9" ht="15.75" customHeight="1" x14ac:dyDescent="0.25">
      <c r="A44" s="671" t="s">
        <v>654</v>
      </c>
      <c r="B44" s="633" t="s">
        <v>198</v>
      </c>
      <c r="C44" s="634">
        <v>247068980.49000001</v>
      </c>
      <c r="D44" s="623"/>
      <c r="E44" s="634">
        <v>254118627.83999988</v>
      </c>
      <c r="F44" s="623"/>
      <c r="G44" s="634">
        <v>-7049647.3499998748</v>
      </c>
      <c r="H44" s="623"/>
      <c r="I44" s="648">
        <v>-2.7742</v>
      </c>
    </row>
    <row r="45" spans="1:9" ht="15.75" customHeight="1" x14ac:dyDescent="0.25">
      <c r="A45" s="623"/>
      <c r="B45" s="633" t="s">
        <v>198</v>
      </c>
      <c r="C45" s="623"/>
      <c r="D45" s="623"/>
      <c r="E45" s="623"/>
      <c r="F45" s="623"/>
      <c r="G45" s="623"/>
      <c r="H45" s="623"/>
      <c r="I45" s="641"/>
    </row>
    <row r="46" spans="1:9" ht="15.75" customHeight="1" x14ac:dyDescent="0.25">
      <c r="A46" s="671" t="s">
        <v>655</v>
      </c>
      <c r="B46" s="633" t="s">
        <v>198</v>
      </c>
      <c r="C46" s="624">
        <v>61240550.420000002</v>
      </c>
      <c r="D46" s="623"/>
      <c r="E46" s="624">
        <v>74444442.219999999</v>
      </c>
      <c r="F46" s="623"/>
      <c r="G46" s="624">
        <v>-13203891.799999997</v>
      </c>
      <c r="H46" s="623"/>
      <c r="I46" s="645">
        <v>-17.736599999999999</v>
      </c>
    </row>
    <row r="47" spans="1:9" ht="15.75" customHeight="1" x14ac:dyDescent="0.25">
      <c r="A47" s="671" t="s">
        <v>656</v>
      </c>
      <c r="B47" s="633" t="s">
        <v>198</v>
      </c>
      <c r="C47" s="624">
        <v>3728206.39</v>
      </c>
      <c r="D47" s="623"/>
      <c r="E47" s="624">
        <v>1188941.9099999999</v>
      </c>
      <c r="F47" s="623"/>
      <c r="G47" s="624">
        <v>2539264.4800000004</v>
      </c>
      <c r="H47" s="623"/>
      <c r="I47" s="645">
        <v>213.5735</v>
      </c>
    </row>
    <row r="48" spans="1:9" ht="15.75" customHeight="1" x14ac:dyDescent="0.25">
      <c r="A48" s="671" t="s">
        <v>657</v>
      </c>
      <c r="B48" s="633" t="s">
        <v>198</v>
      </c>
      <c r="C48" s="624">
        <v>5377782.4800000004</v>
      </c>
      <c r="D48" s="623"/>
      <c r="E48" s="624">
        <v>3959422.97</v>
      </c>
      <c r="F48" s="623"/>
      <c r="G48" s="624">
        <v>1418359.5100000002</v>
      </c>
      <c r="H48" s="623"/>
      <c r="I48" s="645">
        <v>35.822400000000002</v>
      </c>
    </row>
    <row r="49" spans="1:9" ht="15.75" customHeight="1" x14ac:dyDescent="0.25">
      <c r="A49" s="671" t="s">
        <v>658</v>
      </c>
      <c r="B49" s="633" t="s">
        <v>198</v>
      </c>
      <c r="C49" s="634">
        <v>-12955.08</v>
      </c>
      <c r="D49" s="623"/>
      <c r="E49" s="634">
        <v>-968596.93</v>
      </c>
      <c r="F49" s="623"/>
      <c r="G49" s="634">
        <v>955641.85000000009</v>
      </c>
      <c r="H49" s="623"/>
      <c r="I49" s="646">
        <v>98.662499999999994</v>
      </c>
    </row>
    <row r="50" spans="1:9" ht="15.75" customHeight="1" x14ac:dyDescent="0.25">
      <c r="A50" s="623"/>
      <c r="B50" s="633" t="s">
        <v>198</v>
      </c>
      <c r="C50" s="623"/>
      <c r="D50" s="623"/>
      <c r="E50" s="623"/>
      <c r="F50" s="623"/>
      <c r="G50" s="623"/>
      <c r="H50" s="623"/>
      <c r="I50" s="641"/>
    </row>
    <row r="51" spans="1:9" ht="15.75" customHeight="1" x14ac:dyDescent="0.25">
      <c r="A51" s="671" t="s">
        <v>659</v>
      </c>
      <c r="B51" s="633" t="s">
        <v>198</v>
      </c>
      <c r="C51" s="634">
        <v>70333584.210000008</v>
      </c>
      <c r="D51" s="623"/>
      <c r="E51" s="634">
        <v>78624210.169999987</v>
      </c>
      <c r="F51" s="623"/>
      <c r="G51" s="634">
        <v>-8290625.9599999785</v>
      </c>
      <c r="H51" s="623"/>
      <c r="I51" s="648">
        <v>-10.544600000000001</v>
      </c>
    </row>
    <row r="52" spans="1:9" ht="15.75" customHeight="1" x14ac:dyDescent="0.25">
      <c r="A52" s="623"/>
      <c r="B52" s="633"/>
      <c r="C52" s="623"/>
      <c r="D52" s="623"/>
      <c r="E52" s="623"/>
      <c r="F52" s="623"/>
      <c r="G52" s="623"/>
      <c r="H52" s="623"/>
      <c r="I52" s="641"/>
    </row>
    <row r="53" spans="1:9" ht="15.75" customHeight="1" thickBot="1" x14ac:dyDescent="0.3">
      <c r="A53" s="671" t="s">
        <v>660</v>
      </c>
      <c r="B53" s="633" t="s">
        <v>198</v>
      </c>
      <c r="C53" s="670">
        <v>176735396.28</v>
      </c>
      <c r="D53" s="623"/>
      <c r="E53" s="670">
        <v>175494417.6699999</v>
      </c>
      <c r="F53" s="623"/>
      <c r="G53" s="670">
        <v>1240978.6100001037</v>
      </c>
      <c r="H53" s="623"/>
      <c r="I53" s="649">
        <v>0.70709999999999995</v>
      </c>
    </row>
    <row r="54" spans="1:9" ht="15.75" customHeight="1" thickTop="1" x14ac:dyDescent="0.25">
      <c r="A54" s="623"/>
      <c r="B54" s="623" t="s">
        <v>198</v>
      </c>
      <c r="C54" s="623"/>
      <c r="D54" s="623"/>
      <c r="E54" s="623"/>
      <c r="F54" s="623"/>
      <c r="G54" s="623"/>
      <c r="H54" s="623"/>
      <c r="I54" s="645"/>
    </row>
    <row r="55" spans="1:9" ht="15.75" customHeight="1" x14ac:dyDescent="0.25">
      <c r="A55" s="623"/>
      <c r="B55" s="623" t="s">
        <v>198</v>
      </c>
      <c r="C55" s="623"/>
      <c r="D55" s="623"/>
      <c r="E55" s="623"/>
      <c r="F55" s="623"/>
      <c r="G55" s="623"/>
      <c r="H55" s="623"/>
      <c r="I55" s="640" t="s">
        <v>715</v>
      </c>
    </row>
    <row r="56" spans="1:9" ht="15.75" customHeight="1" x14ac:dyDescent="0.25">
      <c r="A56" s="623"/>
      <c r="B56" s="623" t="s">
        <v>198</v>
      </c>
      <c r="C56" s="623"/>
      <c r="D56" s="623"/>
      <c r="E56" s="623"/>
      <c r="F56" s="623"/>
      <c r="G56" s="623"/>
      <c r="H56" s="623"/>
      <c r="I56" s="645"/>
    </row>
    <row r="57" spans="1:9" ht="15.75" customHeight="1" x14ac:dyDescent="0.25">
      <c r="A57" s="623"/>
      <c r="B57" s="623" t="s">
        <v>198</v>
      </c>
      <c r="C57" s="623"/>
      <c r="D57" s="623"/>
      <c r="E57" s="623"/>
      <c r="F57" s="623"/>
      <c r="G57" s="623"/>
      <c r="H57" s="623"/>
      <c r="I57" s="645"/>
    </row>
    <row r="58" spans="1:9" ht="15.75" customHeight="1" x14ac:dyDescent="0.25">
      <c r="A58" s="623"/>
      <c r="B58" s="623" t="s">
        <v>198</v>
      </c>
      <c r="C58" s="623"/>
      <c r="D58" s="623"/>
      <c r="E58" s="623"/>
      <c r="F58" s="623"/>
      <c r="G58" s="623"/>
      <c r="H58" s="623"/>
      <c r="I58" s="623"/>
    </row>
    <row r="59" spans="1:9" ht="15.75" customHeight="1" x14ac:dyDescent="0.25">
      <c r="A59" s="623"/>
      <c r="B59" s="623" t="s">
        <v>198</v>
      </c>
      <c r="C59" s="623"/>
      <c r="D59" s="623"/>
      <c r="E59" s="623"/>
      <c r="F59" s="623"/>
      <c r="G59" s="623"/>
      <c r="H59" s="623"/>
      <c r="I59" s="623"/>
    </row>
  </sheetData>
  <mergeCells count="3">
    <mergeCell ref="A1:I1"/>
    <mergeCell ref="A2:I2"/>
    <mergeCell ref="A3:I3"/>
  </mergeCells>
  <printOptions horizontalCentered="1"/>
  <pageMargins left="0" right="0" top="0.5" bottom="0.4" header="0" footer="0.28000000000000003"/>
  <pageSetup scale="67" orientation="landscape" horizontalDpi="4294967292" verticalDpi="300" r:id="rId1"/>
  <headerFooter alignWithMargins="0">
    <oddFooter>&amp;C&amp;"Times New Roman,Bold"&amp;A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55"/>
  <sheetViews>
    <sheetView showGridLines="0" zoomScale="75" workbookViewId="0">
      <selection activeCell="C33" sqref="C33"/>
    </sheetView>
  </sheetViews>
  <sheetFormatPr defaultColWidth="10.28515625" defaultRowHeight="15.75" x14ac:dyDescent="0.25"/>
  <cols>
    <col min="1" max="1" width="3" style="477" customWidth="1"/>
    <col min="2" max="2" width="49.85546875" style="477" customWidth="1"/>
    <col min="3" max="3" width="1.85546875" style="477" customWidth="1"/>
    <col min="4" max="4" width="20.140625" style="107" customWidth="1"/>
    <col min="5" max="5" width="4.140625" style="108" customWidth="1"/>
    <col min="6" max="6" width="21.28515625" style="107" customWidth="1"/>
    <col min="7" max="7" width="5.140625" style="107" customWidth="1"/>
    <col min="8" max="8" width="3" style="107" customWidth="1"/>
    <col min="9" max="9" width="49.85546875" style="107" customWidth="1"/>
    <col min="10" max="10" width="1.85546875" style="107" customWidth="1"/>
    <col min="11" max="11" width="21.28515625" style="107" customWidth="1"/>
    <col min="12" max="12" width="4.140625" style="108" customWidth="1"/>
    <col min="13" max="13" width="21.28515625" style="107" customWidth="1"/>
    <col min="14" max="15" width="10.28515625" style="107" customWidth="1"/>
    <col min="16" max="16384" width="10.28515625" style="477"/>
  </cols>
  <sheetData>
    <row r="1" spans="1:15" x14ac:dyDescent="0.25">
      <c r="A1" s="857" t="s">
        <v>21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623"/>
      <c r="O1" s="623"/>
    </row>
    <row r="2" spans="1:15" s="480" customFormat="1" x14ac:dyDescent="0.25">
      <c r="A2" s="857" t="s">
        <v>716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653"/>
      <c r="O2" s="653"/>
    </row>
    <row r="3" spans="1:15" s="480" customFormat="1" x14ac:dyDescent="0.25">
      <c r="A3" s="674"/>
      <c r="B3" s="642"/>
      <c r="C3" s="642"/>
      <c r="D3" s="653"/>
      <c r="E3" s="664"/>
      <c r="F3" s="653"/>
      <c r="G3" s="653"/>
      <c r="H3" s="653"/>
      <c r="I3" s="653"/>
      <c r="J3" s="653"/>
      <c r="K3" s="653"/>
      <c r="L3" s="664"/>
      <c r="M3" s="653"/>
      <c r="N3" s="653"/>
      <c r="O3" s="653"/>
    </row>
    <row r="6" spans="1:15" x14ac:dyDescent="0.25">
      <c r="A6" s="860" t="s">
        <v>663</v>
      </c>
      <c r="B6" s="861"/>
      <c r="C6" s="623"/>
      <c r="D6" s="655" t="s">
        <v>192</v>
      </c>
      <c r="E6" s="666"/>
      <c r="F6" s="655" t="s">
        <v>193</v>
      </c>
      <c r="G6" s="862" t="s">
        <v>664</v>
      </c>
      <c r="H6" s="861"/>
      <c r="I6" s="861"/>
      <c r="J6" s="623"/>
      <c r="K6" s="655" t="s">
        <v>192</v>
      </c>
      <c r="L6" s="666"/>
      <c r="M6" s="655" t="s">
        <v>193</v>
      </c>
      <c r="N6" s="623"/>
      <c r="O6" s="623"/>
    </row>
    <row r="8" spans="1:15" x14ac:dyDescent="0.25">
      <c r="A8" s="623" t="s">
        <v>235</v>
      </c>
      <c r="B8" s="623"/>
      <c r="C8" s="623"/>
      <c r="D8" s="623"/>
      <c r="E8" s="623"/>
      <c r="F8" s="623"/>
      <c r="G8" s="623"/>
      <c r="H8" s="654" t="s">
        <v>665</v>
      </c>
      <c r="I8" s="623"/>
      <c r="J8" s="623"/>
      <c r="K8" s="623"/>
      <c r="L8" s="623"/>
      <c r="M8" s="623"/>
      <c r="N8" s="623"/>
      <c r="O8" s="623"/>
    </row>
    <row r="9" spans="1:15" x14ac:dyDescent="0.25">
      <c r="A9" s="623"/>
      <c r="B9" s="671" t="s">
        <v>129</v>
      </c>
      <c r="C9" s="633" t="s">
        <v>198</v>
      </c>
      <c r="D9" s="113">
        <v>6783199672.46</v>
      </c>
      <c r="E9" s="623"/>
      <c r="F9" s="676">
        <v>6496781295.3900003</v>
      </c>
      <c r="G9" s="623"/>
      <c r="H9" s="623"/>
      <c r="I9" s="680" t="s">
        <v>666</v>
      </c>
      <c r="J9" s="658" t="s">
        <v>198</v>
      </c>
      <c r="K9" s="677">
        <v>308139977.56</v>
      </c>
      <c r="L9" s="623"/>
      <c r="M9" s="677">
        <v>308139977.56</v>
      </c>
      <c r="N9" s="623"/>
      <c r="O9" s="623"/>
    </row>
    <row r="10" spans="1:15" x14ac:dyDescent="0.25">
      <c r="A10" s="623"/>
      <c r="B10" s="671" t="s">
        <v>717</v>
      </c>
      <c r="C10" s="633" t="s">
        <v>198</v>
      </c>
      <c r="D10" s="115">
        <v>2395037772.8299999</v>
      </c>
      <c r="E10" s="623"/>
      <c r="F10" s="656">
        <v>2261926782.3600001</v>
      </c>
      <c r="G10" s="623"/>
      <c r="H10" s="623"/>
      <c r="I10" s="680" t="s">
        <v>668</v>
      </c>
      <c r="J10" s="658" t="s">
        <v>198</v>
      </c>
      <c r="K10" s="660">
        <v>321288.87</v>
      </c>
      <c r="L10" s="623"/>
      <c r="M10" s="660">
        <v>321288.87</v>
      </c>
      <c r="N10" s="623"/>
      <c r="O10" s="623"/>
    </row>
    <row r="11" spans="1:15" x14ac:dyDescent="0.25">
      <c r="A11" s="623"/>
      <c r="B11" s="623"/>
      <c r="C11" s="633" t="s">
        <v>198</v>
      </c>
      <c r="D11" s="623"/>
      <c r="E11" s="623"/>
      <c r="F11" s="623"/>
      <c r="G11" s="623"/>
      <c r="H11" s="623"/>
      <c r="I11" s="680" t="s">
        <v>669</v>
      </c>
      <c r="J11" s="658" t="s">
        <v>198</v>
      </c>
      <c r="K11" s="660">
        <v>315858083</v>
      </c>
      <c r="L11" s="623"/>
      <c r="M11" s="660">
        <v>315858083</v>
      </c>
      <c r="N11" s="623"/>
      <c r="O11" s="623"/>
    </row>
    <row r="12" spans="1:15" ht="15.75" customHeight="1" x14ac:dyDescent="0.25">
      <c r="A12" s="623"/>
      <c r="B12" s="671" t="s">
        <v>16</v>
      </c>
      <c r="C12" s="633" t="s">
        <v>198</v>
      </c>
      <c r="D12" s="656">
        <v>4388161899.6300001</v>
      </c>
      <c r="E12" s="623"/>
      <c r="F12" s="656">
        <v>4234854513.0300002</v>
      </c>
      <c r="G12" s="623"/>
      <c r="H12" s="623"/>
      <c r="I12" s="680" t="s">
        <v>670</v>
      </c>
      <c r="J12" s="658" t="s">
        <v>198</v>
      </c>
      <c r="K12" s="660">
        <v>-2457900.37</v>
      </c>
      <c r="L12" s="623"/>
      <c r="M12" s="660">
        <v>-1993677.24</v>
      </c>
      <c r="N12" s="623"/>
      <c r="O12" s="623"/>
    </row>
    <row r="13" spans="1:15" x14ac:dyDescent="0.25">
      <c r="A13" s="623"/>
      <c r="B13" s="623"/>
      <c r="C13" s="623"/>
      <c r="D13" s="623"/>
      <c r="E13" s="623"/>
      <c r="F13" s="623"/>
      <c r="G13" s="623"/>
      <c r="H13" s="623"/>
      <c r="I13" s="680" t="s">
        <v>671</v>
      </c>
      <c r="J13" s="658" t="s">
        <v>198</v>
      </c>
      <c r="K13" s="660">
        <v>1490663791.0999999</v>
      </c>
      <c r="L13" s="623"/>
      <c r="M13" s="660">
        <v>1439351593.8199999</v>
      </c>
      <c r="N13" s="623"/>
      <c r="O13" s="623"/>
    </row>
    <row r="14" spans="1:15" x14ac:dyDescent="0.25">
      <c r="A14" s="623"/>
      <c r="B14" s="623"/>
      <c r="C14" s="623"/>
      <c r="D14" s="623"/>
      <c r="E14" s="623"/>
      <c r="F14" s="623"/>
      <c r="G14" s="623"/>
      <c r="H14" s="623"/>
      <c r="I14" s="680" t="s">
        <v>672</v>
      </c>
      <c r="J14" s="658" t="s">
        <v>198</v>
      </c>
      <c r="K14" s="656">
        <v>16355594.75</v>
      </c>
      <c r="L14" s="623"/>
      <c r="M14" s="656">
        <v>14432395.75</v>
      </c>
      <c r="N14" s="623"/>
      <c r="O14" s="623"/>
    </row>
    <row r="15" spans="1:15" x14ac:dyDescent="0.25">
      <c r="A15" s="623" t="s">
        <v>580</v>
      </c>
      <c r="B15" s="623"/>
      <c r="C15" s="633" t="s">
        <v>198</v>
      </c>
      <c r="D15" s="623"/>
      <c r="E15" s="623"/>
      <c r="F15" s="623"/>
      <c r="G15" s="623"/>
      <c r="H15" s="623"/>
      <c r="I15" s="623"/>
      <c r="J15" s="658"/>
      <c r="K15" s="623"/>
      <c r="L15" s="623"/>
      <c r="M15" s="623"/>
      <c r="N15" s="623"/>
      <c r="O15" s="623"/>
    </row>
    <row r="16" spans="1:15" x14ac:dyDescent="0.25">
      <c r="A16" s="623"/>
      <c r="B16" s="671" t="s">
        <v>674</v>
      </c>
      <c r="C16" s="633" t="s">
        <v>198</v>
      </c>
      <c r="D16" s="660">
        <v>13628644.550000001</v>
      </c>
      <c r="E16" s="623"/>
      <c r="F16" s="660">
        <v>12465221.550000001</v>
      </c>
      <c r="G16" s="623"/>
      <c r="H16" s="623"/>
      <c r="I16" s="680" t="s">
        <v>673</v>
      </c>
      <c r="J16" s="658" t="s">
        <v>198</v>
      </c>
      <c r="K16" s="656">
        <v>2128238257.1700001</v>
      </c>
      <c r="L16" s="623"/>
      <c r="M16" s="656">
        <v>2075467084.02</v>
      </c>
      <c r="N16" s="623"/>
      <c r="O16" s="623"/>
    </row>
    <row r="17" spans="1:13" x14ac:dyDescent="0.25">
      <c r="A17" s="623"/>
      <c r="B17" s="671" t="s">
        <v>675</v>
      </c>
      <c r="C17" s="633" t="s">
        <v>198</v>
      </c>
      <c r="D17" s="660">
        <v>250000</v>
      </c>
      <c r="E17" s="623"/>
      <c r="F17" s="660">
        <v>250000</v>
      </c>
      <c r="G17" s="623"/>
      <c r="H17" s="623"/>
      <c r="I17" s="623"/>
      <c r="J17" s="658"/>
      <c r="K17" s="623"/>
      <c r="L17" s="623"/>
      <c r="M17" s="623"/>
    </row>
    <row r="18" spans="1:13" x14ac:dyDescent="0.25">
      <c r="A18" s="623"/>
      <c r="B18" s="671" t="s">
        <v>676</v>
      </c>
      <c r="C18" s="633" t="s">
        <v>198</v>
      </c>
      <c r="D18" s="656">
        <v>179120.94</v>
      </c>
      <c r="E18" s="623"/>
      <c r="F18" s="656">
        <v>179120.94</v>
      </c>
      <c r="G18" s="623"/>
      <c r="H18" s="623"/>
      <c r="I18" s="682" t="s">
        <v>677</v>
      </c>
      <c r="J18" s="658" t="s">
        <v>198</v>
      </c>
      <c r="K18" s="660">
        <v>350779405</v>
      </c>
      <c r="L18" s="623"/>
      <c r="M18" s="660">
        <v>350779405</v>
      </c>
    </row>
    <row r="19" spans="1:13" x14ac:dyDescent="0.25">
      <c r="A19" s="623"/>
      <c r="B19" s="623"/>
      <c r="C19" s="633"/>
      <c r="D19" s="660"/>
      <c r="E19" s="623"/>
      <c r="F19" s="660"/>
      <c r="G19" s="623"/>
      <c r="H19" s="623"/>
      <c r="I19" s="679" t="s">
        <v>678</v>
      </c>
      <c r="J19" s="658"/>
      <c r="K19" s="660">
        <v>1489812156.25</v>
      </c>
      <c r="L19" s="623"/>
      <c r="M19" s="660">
        <v>1489176906.25</v>
      </c>
    </row>
    <row r="20" spans="1:13" x14ac:dyDescent="0.25">
      <c r="A20" s="623"/>
      <c r="B20" s="671" t="s">
        <v>16</v>
      </c>
      <c r="C20" s="633" t="s">
        <v>198</v>
      </c>
      <c r="D20" s="656">
        <v>14057765.49</v>
      </c>
      <c r="E20" s="623"/>
      <c r="F20" s="656">
        <v>12894342.49</v>
      </c>
      <c r="G20" s="623"/>
      <c r="H20" s="623"/>
      <c r="I20" s="680" t="s">
        <v>679</v>
      </c>
      <c r="J20" s="658" t="s">
        <v>198</v>
      </c>
      <c r="K20" s="656">
        <v>0</v>
      </c>
      <c r="L20" s="623"/>
      <c r="M20" s="656">
        <v>0</v>
      </c>
    </row>
    <row r="21" spans="1:13" x14ac:dyDescent="0.25">
      <c r="C21" s="481"/>
      <c r="D21" s="116"/>
      <c r="F21" s="116"/>
      <c r="J21" s="114"/>
      <c r="K21" s="108"/>
      <c r="M21" s="108"/>
    </row>
    <row r="22" spans="1:13" x14ac:dyDescent="0.25">
      <c r="A22" s="623"/>
      <c r="B22" s="623"/>
      <c r="C22" s="623"/>
      <c r="D22" s="623"/>
      <c r="E22" s="623"/>
      <c r="F22" s="623"/>
      <c r="G22" s="623"/>
      <c r="H22" s="623"/>
      <c r="I22" s="680" t="s">
        <v>680</v>
      </c>
      <c r="J22" s="658" t="s">
        <v>198</v>
      </c>
      <c r="K22" s="656">
        <v>1840591561.25</v>
      </c>
      <c r="L22" s="623"/>
      <c r="M22" s="656">
        <v>1839956311.25</v>
      </c>
    </row>
    <row r="23" spans="1:13" x14ac:dyDescent="0.25">
      <c r="A23" s="623" t="s">
        <v>256</v>
      </c>
      <c r="B23" s="623"/>
      <c r="C23" s="633" t="s">
        <v>198</v>
      </c>
      <c r="D23" s="623"/>
      <c r="E23" s="623"/>
      <c r="F23" s="623"/>
      <c r="G23" s="623"/>
      <c r="H23" s="623"/>
      <c r="I23" s="623"/>
      <c r="J23" s="658" t="s">
        <v>198</v>
      </c>
      <c r="K23" s="660"/>
      <c r="L23" s="623"/>
      <c r="M23" s="660"/>
    </row>
    <row r="24" spans="1:13" x14ac:dyDescent="0.25">
      <c r="A24" s="623"/>
      <c r="B24" s="671" t="s">
        <v>682</v>
      </c>
      <c r="C24" s="633" t="s">
        <v>198</v>
      </c>
      <c r="D24" s="654">
        <v>31096140.420000002</v>
      </c>
      <c r="E24" s="623"/>
      <c r="F24" s="654">
        <v>3132599.79</v>
      </c>
      <c r="G24" s="623"/>
      <c r="H24" s="623"/>
      <c r="I24" s="680" t="s">
        <v>681</v>
      </c>
      <c r="J24" s="658" t="s">
        <v>198</v>
      </c>
      <c r="K24" s="656">
        <v>3968829818.4200001</v>
      </c>
      <c r="L24" s="623"/>
      <c r="M24" s="656">
        <v>3915423395.27</v>
      </c>
    </row>
    <row r="25" spans="1:13" x14ac:dyDescent="0.25">
      <c r="A25" s="623"/>
      <c r="B25" s="671" t="s">
        <v>683</v>
      </c>
      <c r="C25" s="633" t="s">
        <v>198</v>
      </c>
      <c r="D25" s="654">
        <v>45500</v>
      </c>
      <c r="E25" s="623"/>
      <c r="F25" s="654">
        <v>418600.3</v>
      </c>
      <c r="G25" s="623"/>
      <c r="H25" s="623"/>
      <c r="I25" s="623"/>
      <c r="J25" s="623"/>
      <c r="K25" s="623"/>
      <c r="L25" s="623"/>
      <c r="M25" s="623"/>
    </row>
    <row r="26" spans="1:13" x14ac:dyDescent="0.25">
      <c r="A26" s="623"/>
      <c r="B26" s="671" t="s">
        <v>684</v>
      </c>
      <c r="C26" s="633" t="s">
        <v>198</v>
      </c>
      <c r="D26" s="654">
        <v>43674.49</v>
      </c>
      <c r="E26" s="623"/>
      <c r="F26" s="654">
        <v>200847.07</v>
      </c>
      <c r="G26" s="623"/>
      <c r="H26" s="654" t="s">
        <v>258</v>
      </c>
      <c r="I26" s="623"/>
      <c r="J26" s="623"/>
      <c r="K26" s="623"/>
      <c r="L26" s="623"/>
      <c r="M26" s="623"/>
    </row>
    <row r="27" spans="1:13" x14ac:dyDescent="0.25">
      <c r="A27" s="623"/>
      <c r="B27" s="671" t="s">
        <v>685</v>
      </c>
      <c r="C27" s="633" t="s">
        <v>198</v>
      </c>
      <c r="D27" s="654">
        <v>164311372.22999999</v>
      </c>
      <c r="E27" s="623"/>
      <c r="F27" s="654">
        <v>198513561.38999999</v>
      </c>
      <c r="G27" s="623"/>
      <c r="H27" s="623"/>
      <c r="I27" s="681" t="s">
        <v>687</v>
      </c>
      <c r="J27" s="658" t="s">
        <v>198</v>
      </c>
      <c r="K27" s="654">
        <v>0</v>
      </c>
      <c r="L27" s="623"/>
      <c r="M27" s="660">
        <v>10434000</v>
      </c>
    </row>
    <row r="28" spans="1:13" x14ac:dyDescent="0.25">
      <c r="A28" s="623"/>
      <c r="B28" s="671" t="s">
        <v>686</v>
      </c>
      <c r="C28" s="633" t="s">
        <v>198</v>
      </c>
      <c r="D28" s="654">
        <v>39615.589999999997</v>
      </c>
      <c r="E28" s="623"/>
      <c r="F28" s="654">
        <v>11996433.15</v>
      </c>
      <c r="G28" s="623"/>
      <c r="H28" s="623"/>
      <c r="I28" s="680" t="s">
        <v>688</v>
      </c>
      <c r="J28" s="658" t="s">
        <v>198</v>
      </c>
      <c r="K28" s="660">
        <v>119658898.66</v>
      </c>
      <c r="L28" s="623"/>
      <c r="M28" s="660">
        <v>76307786.670000002</v>
      </c>
    </row>
    <row r="29" spans="1:13" x14ac:dyDescent="0.25">
      <c r="A29" s="623"/>
      <c r="B29" s="623" t="s">
        <v>267</v>
      </c>
      <c r="C29" s="633" t="s">
        <v>198</v>
      </c>
      <c r="D29" s="623"/>
      <c r="E29" s="623"/>
      <c r="F29" s="623"/>
      <c r="G29" s="623"/>
      <c r="H29" s="623"/>
      <c r="I29" s="680" t="s">
        <v>690</v>
      </c>
      <c r="J29" s="658" t="s">
        <v>198</v>
      </c>
      <c r="K29" s="660">
        <v>33178775.210000001</v>
      </c>
      <c r="L29" s="623"/>
      <c r="M29" s="660">
        <v>45351361.740000002</v>
      </c>
    </row>
    <row r="30" spans="1:13" x14ac:dyDescent="0.25">
      <c r="A30" s="623"/>
      <c r="B30" s="671" t="s">
        <v>689</v>
      </c>
      <c r="C30" s="633" t="s">
        <v>198</v>
      </c>
      <c r="D30" s="654">
        <v>96745428.760000005</v>
      </c>
      <c r="E30" s="623"/>
      <c r="F30" s="654">
        <v>94898528.150000006</v>
      </c>
      <c r="G30" s="623"/>
      <c r="H30" s="623"/>
      <c r="I30" s="680" t="s">
        <v>692</v>
      </c>
      <c r="J30" s="658" t="s">
        <v>198</v>
      </c>
      <c r="K30" s="660">
        <v>22862411.920000002</v>
      </c>
      <c r="L30" s="623"/>
      <c r="M30" s="660">
        <v>22839133.25</v>
      </c>
    </row>
    <row r="31" spans="1:13" x14ac:dyDescent="0.25">
      <c r="A31" s="623"/>
      <c r="B31" s="671" t="s">
        <v>691</v>
      </c>
      <c r="C31" s="633" t="s">
        <v>198</v>
      </c>
      <c r="D31" s="654">
        <v>34036932.189999998</v>
      </c>
      <c r="E31" s="623"/>
      <c r="F31" s="654">
        <v>32560243.260000002</v>
      </c>
      <c r="G31" s="623"/>
      <c r="H31" s="623"/>
      <c r="I31" s="680" t="s">
        <v>694</v>
      </c>
      <c r="J31" s="658" t="s">
        <v>198</v>
      </c>
      <c r="K31" s="660">
        <v>10729937.99</v>
      </c>
      <c r="L31" s="623"/>
      <c r="M31" s="660">
        <v>24614782.98</v>
      </c>
    </row>
    <row r="32" spans="1:13" x14ac:dyDescent="0.25">
      <c r="A32" s="623"/>
      <c r="B32" s="671" t="s">
        <v>693</v>
      </c>
      <c r="C32" s="633" t="s">
        <v>198</v>
      </c>
      <c r="D32" s="654">
        <v>9914010.2699999996</v>
      </c>
      <c r="E32" s="623"/>
      <c r="F32" s="654">
        <v>8854899.4299999997</v>
      </c>
      <c r="G32" s="623"/>
      <c r="H32" s="623"/>
      <c r="I32" s="680" t="s">
        <v>696</v>
      </c>
      <c r="J32" s="658" t="s">
        <v>198</v>
      </c>
      <c r="K32" s="660">
        <v>10619839.16</v>
      </c>
      <c r="L32" s="623"/>
      <c r="M32" s="660">
        <v>8149642.0199999996</v>
      </c>
    </row>
    <row r="33" spans="1:13" x14ac:dyDescent="0.25">
      <c r="A33" s="623"/>
      <c r="B33" s="671" t="s">
        <v>695</v>
      </c>
      <c r="C33" s="623" t="s">
        <v>198</v>
      </c>
      <c r="D33" s="654">
        <v>450462.32</v>
      </c>
      <c r="E33" s="623"/>
      <c r="F33" s="654">
        <v>566579</v>
      </c>
      <c r="G33" s="623"/>
      <c r="H33" s="623"/>
      <c r="I33" s="680" t="s">
        <v>718</v>
      </c>
      <c r="J33" s="658"/>
      <c r="K33" s="660">
        <v>0</v>
      </c>
      <c r="L33" s="623"/>
      <c r="M33" s="660">
        <v>0</v>
      </c>
    </row>
    <row r="34" spans="1:13" x14ac:dyDescent="0.25">
      <c r="A34" s="623"/>
      <c r="B34" s="671" t="s">
        <v>596</v>
      </c>
      <c r="C34" s="633" t="s">
        <v>198</v>
      </c>
      <c r="D34" s="654">
        <v>7285320.3099999996</v>
      </c>
      <c r="E34" s="623"/>
      <c r="F34" s="654">
        <v>8173724</v>
      </c>
      <c r="G34" s="623"/>
      <c r="H34" s="623"/>
      <c r="I34" s="683" t="s">
        <v>697</v>
      </c>
      <c r="J34" s="684" t="s">
        <v>198</v>
      </c>
      <c r="K34" s="673">
        <v>19177240.609999999</v>
      </c>
      <c r="L34" s="675"/>
      <c r="M34" s="673">
        <v>19512357.41</v>
      </c>
    </row>
    <row r="35" spans="1:13" x14ac:dyDescent="0.25">
      <c r="A35" s="623"/>
      <c r="B35" s="671" t="s">
        <v>698</v>
      </c>
      <c r="C35" s="633" t="s">
        <v>198</v>
      </c>
      <c r="D35" s="656">
        <v>0</v>
      </c>
      <c r="E35" s="623"/>
      <c r="F35" s="656">
        <v>20501.2</v>
      </c>
      <c r="G35" s="623"/>
      <c r="H35" s="623"/>
      <c r="I35" s="623"/>
      <c r="J35" s="658"/>
      <c r="K35" s="623"/>
      <c r="L35" s="623"/>
      <c r="M35" s="623"/>
    </row>
    <row r="36" spans="1:13" x14ac:dyDescent="0.25">
      <c r="A36" s="623"/>
      <c r="B36" s="623"/>
      <c r="C36" s="623"/>
      <c r="D36" s="623"/>
      <c r="E36" s="623"/>
      <c r="F36" s="623"/>
      <c r="G36" s="623"/>
      <c r="H36" s="623"/>
      <c r="I36" s="680" t="s">
        <v>16</v>
      </c>
      <c r="J36" s="658" t="s">
        <v>198</v>
      </c>
      <c r="K36" s="656">
        <v>216227103.55000001</v>
      </c>
      <c r="L36" s="623"/>
      <c r="M36" s="656">
        <v>207209064.06999999</v>
      </c>
    </row>
    <row r="37" spans="1:13" x14ac:dyDescent="0.25">
      <c r="A37" s="623"/>
      <c r="B37" s="671" t="s">
        <v>16</v>
      </c>
      <c r="C37" s="633" t="s">
        <v>198</v>
      </c>
      <c r="D37" s="656">
        <v>343968456.57999998</v>
      </c>
      <c r="E37" s="623"/>
      <c r="F37" s="656">
        <v>359336516.74000001</v>
      </c>
      <c r="G37" s="623"/>
      <c r="H37" s="623"/>
      <c r="I37" s="680"/>
      <c r="J37" s="658"/>
      <c r="K37" s="660"/>
      <c r="L37" s="623"/>
      <c r="M37" s="660"/>
    </row>
    <row r="38" spans="1:13" x14ac:dyDescent="0.25">
      <c r="C38" s="481"/>
      <c r="D38" s="131"/>
      <c r="F38" s="116"/>
    </row>
    <row r="39" spans="1:13" x14ac:dyDescent="0.25">
      <c r="A39" s="623"/>
      <c r="B39" s="623"/>
      <c r="C39" s="623"/>
      <c r="D39" s="623"/>
      <c r="E39" s="623"/>
      <c r="F39" s="623"/>
      <c r="G39" s="623"/>
      <c r="H39" s="654" t="s">
        <v>281</v>
      </c>
      <c r="I39" s="623"/>
      <c r="J39" s="623"/>
      <c r="K39" s="623"/>
      <c r="L39" s="623"/>
      <c r="M39" s="623"/>
    </row>
    <row r="40" spans="1:13" x14ac:dyDescent="0.25">
      <c r="A40" s="623" t="s">
        <v>283</v>
      </c>
      <c r="B40" s="623"/>
      <c r="C40" s="623"/>
      <c r="D40" s="623"/>
      <c r="E40" s="623"/>
      <c r="F40" s="623"/>
      <c r="G40" s="623"/>
      <c r="H40" s="623"/>
      <c r="I40" s="680" t="s">
        <v>699</v>
      </c>
      <c r="J40" s="658" t="s">
        <v>198</v>
      </c>
      <c r="K40" s="654">
        <v>559462412.29999995</v>
      </c>
      <c r="L40" s="623"/>
      <c r="M40" s="654">
        <v>396607180.67000002</v>
      </c>
    </row>
    <row r="41" spans="1:13" x14ac:dyDescent="0.25">
      <c r="A41" s="623"/>
      <c r="B41" s="671" t="s">
        <v>701</v>
      </c>
      <c r="C41" s="633" t="s">
        <v>198</v>
      </c>
      <c r="D41" s="654">
        <v>21600912.969999999</v>
      </c>
      <c r="E41" s="623"/>
      <c r="F41" s="654">
        <v>21213642.719999999</v>
      </c>
      <c r="G41" s="623"/>
      <c r="H41" s="623"/>
      <c r="I41" s="680" t="s">
        <v>700</v>
      </c>
      <c r="J41" s="658" t="s">
        <v>198</v>
      </c>
      <c r="K41" s="654">
        <v>101407768.31999999</v>
      </c>
      <c r="L41" s="623"/>
      <c r="M41" s="654">
        <v>104094169.31999999</v>
      </c>
    </row>
    <row r="42" spans="1:13" x14ac:dyDescent="0.25">
      <c r="A42" s="623"/>
      <c r="B42" s="671" t="s">
        <v>703</v>
      </c>
      <c r="C42" s="633" t="s">
        <v>198</v>
      </c>
      <c r="D42" s="654">
        <v>11775117.369999999</v>
      </c>
      <c r="E42" s="623"/>
      <c r="F42" s="654">
        <v>12380090.050000001</v>
      </c>
      <c r="G42" s="623"/>
      <c r="H42" s="623"/>
      <c r="I42" s="680" t="s">
        <v>702</v>
      </c>
      <c r="J42" s="658" t="s">
        <v>198</v>
      </c>
      <c r="K42" s="654">
        <v>108313656.20999999</v>
      </c>
      <c r="L42" s="623"/>
      <c r="M42" s="654">
        <v>55112630.399999999</v>
      </c>
    </row>
    <row r="43" spans="1:13" x14ac:dyDescent="0.25">
      <c r="A43" s="623"/>
      <c r="B43" s="671" t="s">
        <v>699</v>
      </c>
      <c r="C43" s="633" t="s">
        <v>198</v>
      </c>
      <c r="D43" s="654">
        <v>86746693.049999997</v>
      </c>
      <c r="E43" s="623"/>
      <c r="F43" s="654">
        <v>34511064.100000001</v>
      </c>
      <c r="G43" s="623"/>
      <c r="H43" s="623"/>
      <c r="I43" s="680" t="s">
        <v>704</v>
      </c>
      <c r="J43" s="658" t="s">
        <v>198</v>
      </c>
      <c r="K43" s="654">
        <v>3155939.3</v>
      </c>
      <c r="L43" s="623"/>
      <c r="M43" s="654">
        <v>2869273.92</v>
      </c>
    </row>
    <row r="44" spans="1:13" x14ac:dyDescent="0.25">
      <c r="A44" s="623"/>
      <c r="B44" s="671" t="s">
        <v>706</v>
      </c>
      <c r="C44" s="633" t="s">
        <v>198</v>
      </c>
      <c r="D44" s="654">
        <v>268828295.76999998</v>
      </c>
      <c r="E44" s="623"/>
      <c r="F44" s="654">
        <v>208403355.44</v>
      </c>
      <c r="G44" s="623"/>
      <c r="H44" s="623"/>
      <c r="I44" s="683" t="s">
        <v>705</v>
      </c>
      <c r="J44" s="684" t="s">
        <v>198</v>
      </c>
      <c r="K44" s="672">
        <v>61789582.18</v>
      </c>
      <c r="L44" s="675"/>
      <c r="M44" s="672">
        <v>53981306.409999996</v>
      </c>
    </row>
    <row r="45" spans="1:13" x14ac:dyDescent="0.25">
      <c r="A45" s="623"/>
      <c r="B45" s="671" t="s">
        <v>708</v>
      </c>
      <c r="C45" s="633" t="s">
        <v>198</v>
      </c>
      <c r="D45" s="656">
        <v>45192019.670000002</v>
      </c>
      <c r="E45" s="623"/>
      <c r="F45" s="656">
        <v>42753151.340000004</v>
      </c>
      <c r="G45" s="623"/>
      <c r="H45" s="623"/>
      <c r="I45" s="680" t="s">
        <v>707</v>
      </c>
      <c r="J45" s="658" t="s">
        <v>198</v>
      </c>
      <c r="K45" s="654">
        <v>6945601.1500000004</v>
      </c>
      <c r="L45" s="623"/>
      <c r="M45" s="654">
        <v>8491442.4000000004</v>
      </c>
    </row>
    <row r="46" spans="1:13" x14ac:dyDescent="0.25">
      <c r="A46" s="623"/>
      <c r="B46" s="623"/>
      <c r="C46" s="633" t="s">
        <v>198</v>
      </c>
      <c r="D46" s="623"/>
      <c r="E46" s="623"/>
      <c r="F46" s="623"/>
      <c r="G46" s="623"/>
      <c r="H46" s="623"/>
      <c r="I46" s="680" t="s">
        <v>709</v>
      </c>
      <c r="J46" s="658" t="s">
        <v>198</v>
      </c>
      <c r="K46" s="654">
        <v>2695347.71</v>
      </c>
      <c r="L46" s="623"/>
      <c r="M46" s="654">
        <v>2423615.65</v>
      </c>
    </row>
    <row r="47" spans="1:13" x14ac:dyDescent="0.25">
      <c r="A47" s="623"/>
      <c r="B47" s="671" t="s">
        <v>16</v>
      </c>
      <c r="C47" s="633" t="s">
        <v>198</v>
      </c>
      <c r="D47" s="656">
        <v>434143038.82999998</v>
      </c>
      <c r="E47" s="623"/>
      <c r="F47" s="656">
        <v>319261303.64999998</v>
      </c>
      <c r="G47" s="623"/>
      <c r="H47" s="623"/>
      <c r="I47" s="680" t="s">
        <v>710</v>
      </c>
      <c r="J47" s="658" t="s">
        <v>198</v>
      </c>
      <c r="K47" s="656">
        <v>151503931.38999999</v>
      </c>
      <c r="L47" s="623"/>
      <c r="M47" s="656">
        <v>180134597.80000001</v>
      </c>
    </row>
    <row r="48" spans="1:13" x14ac:dyDescent="0.25">
      <c r="A48" s="623"/>
      <c r="B48" s="623"/>
      <c r="C48" s="623"/>
      <c r="D48" s="623"/>
      <c r="E48" s="623"/>
      <c r="F48" s="623"/>
      <c r="G48" s="623"/>
      <c r="H48" s="623"/>
      <c r="I48" s="623"/>
      <c r="J48" s="658"/>
      <c r="K48" s="623"/>
      <c r="L48" s="623"/>
      <c r="M48" s="623"/>
    </row>
    <row r="49" spans="1:13" x14ac:dyDescent="0.25">
      <c r="A49" s="623"/>
      <c r="B49" s="623"/>
      <c r="C49" s="623"/>
      <c r="D49" s="623"/>
      <c r="E49" s="623"/>
      <c r="F49" s="623"/>
      <c r="G49" s="623"/>
      <c r="H49" s="623"/>
      <c r="I49" s="680" t="s">
        <v>16</v>
      </c>
      <c r="J49" s="658" t="s">
        <v>198</v>
      </c>
      <c r="K49" s="656">
        <v>995274238.55999982</v>
      </c>
      <c r="L49" s="623"/>
      <c r="M49" s="656">
        <v>803714216.56999993</v>
      </c>
    </row>
    <row r="50" spans="1:13" ht="16.5" thickBot="1" x14ac:dyDescent="0.3">
      <c r="A50" s="858" t="s">
        <v>711</v>
      </c>
      <c r="B50" s="859"/>
      <c r="C50" s="633" t="s">
        <v>198</v>
      </c>
      <c r="D50" s="678">
        <v>5180331160.5299997</v>
      </c>
      <c r="E50" s="623"/>
      <c r="F50" s="678">
        <v>4926346675.9099998</v>
      </c>
      <c r="G50" s="623"/>
      <c r="H50" s="623"/>
      <c r="I50" s="623"/>
      <c r="J50" s="623"/>
      <c r="K50" s="623"/>
      <c r="L50" s="623"/>
      <c r="M50" s="623"/>
    </row>
    <row r="51" spans="1:13" ht="17.25" thickTop="1" thickBot="1" x14ac:dyDescent="0.3">
      <c r="A51" s="623"/>
      <c r="B51" s="623"/>
      <c r="C51" s="623"/>
      <c r="D51" s="623"/>
      <c r="E51" s="623"/>
      <c r="F51" s="623"/>
      <c r="G51" s="623"/>
      <c r="H51" s="863" t="s">
        <v>712</v>
      </c>
      <c r="I51" s="863"/>
      <c r="J51" s="658" t="s">
        <v>198</v>
      </c>
      <c r="K51" s="678">
        <v>5180331160.5299997</v>
      </c>
      <c r="L51" s="623"/>
      <c r="M51" s="678">
        <v>4926346675.9099998</v>
      </c>
    </row>
    <row r="52" spans="1:13" ht="15.75" customHeight="1" thickTop="1" x14ac:dyDescent="0.25">
      <c r="A52" s="623"/>
      <c r="B52" s="623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</row>
    <row r="53" spans="1:13" x14ac:dyDescent="0.25">
      <c r="A53" s="623"/>
      <c r="B53" s="623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67" t="s">
        <v>715</v>
      </c>
    </row>
    <row r="55" spans="1:13" x14ac:dyDescent="0.25">
      <c r="M55" s="483" t="s">
        <v>582</v>
      </c>
    </row>
  </sheetData>
  <mergeCells count="6">
    <mergeCell ref="A1:M1"/>
    <mergeCell ref="A50:B50"/>
    <mergeCell ref="A6:B6"/>
    <mergeCell ref="G6:I6"/>
    <mergeCell ref="H51:I51"/>
    <mergeCell ref="A2:M2"/>
  </mergeCells>
  <printOptions horizontalCentered="1"/>
  <pageMargins left="0" right="0" top="0.5" bottom="0.4" header="0" footer="0.28000000000000003"/>
  <pageSetup scale="61" orientation="landscape" horizontalDpi="4294967292" verticalDpi="300" r:id="rId1"/>
  <headerFooter alignWithMargins="0">
    <oddFooter>&amp;C&amp;"Times New Roman,Bold"&amp;A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58"/>
  <sheetViews>
    <sheetView showGridLines="0" zoomScale="75" workbookViewId="0">
      <selection activeCell="C33" sqref="C33"/>
    </sheetView>
  </sheetViews>
  <sheetFormatPr defaultColWidth="10.28515625" defaultRowHeight="15.75" customHeight="1" x14ac:dyDescent="0.25"/>
  <cols>
    <col min="1" max="1" width="48.7109375" style="477" customWidth="1"/>
    <col min="2" max="2" width="6.42578125" style="477" customWidth="1"/>
    <col min="3" max="3" width="20.28515625" style="92" bestFit="1" customWidth="1"/>
    <col min="4" max="4" width="9.85546875" style="92" customWidth="1"/>
    <col min="5" max="5" width="21.5703125" style="92" customWidth="1"/>
    <col min="6" max="6" width="9.85546875" style="92" customWidth="1"/>
    <col min="7" max="7" width="19" style="92" customWidth="1"/>
    <col min="8" max="8" width="6.42578125" style="92" customWidth="1"/>
    <col min="9" max="9" width="14.42578125" style="92" customWidth="1"/>
    <col min="10" max="10" width="10.28515625" style="477" hidden="1" customWidth="1"/>
    <col min="11" max="16384" width="10.28515625" style="477"/>
  </cols>
  <sheetData>
    <row r="1" spans="1:10" ht="15.75" customHeight="1" x14ac:dyDescent="0.25">
      <c r="A1" s="857" t="s">
        <v>21</v>
      </c>
      <c r="B1" s="857"/>
      <c r="C1" s="857"/>
      <c r="D1" s="857"/>
      <c r="E1" s="857"/>
      <c r="F1" s="857"/>
      <c r="G1" s="857"/>
      <c r="H1" s="857"/>
      <c r="I1" s="857"/>
      <c r="J1" s="639"/>
    </row>
    <row r="2" spans="1:10" ht="15.75" customHeight="1" x14ac:dyDescent="0.25">
      <c r="A2" s="857" t="s">
        <v>190</v>
      </c>
      <c r="B2" s="857"/>
      <c r="C2" s="857"/>
      <c r="D2" s="857"/>
      <c r="E2" s="857"/>
      <c r="F2" s="857"/>
      <c r="G2" s="857"/>
      <c r="H2" s="857"/>
      <c r="I2" s="857"/>
      <c r="J2" s="639"/>
    </row>
    <row r="3" spans="1:10" s="480" customFormat="1" ht="15.75" customHeight="1" x14ac:dyDescent="0.25">
      <c r="A3" s="864" t="s">
        <v>630</v>
      </c>
      <c r="B3" s="864"/>
      <c r="C3" s="864"/>
      <c r="D3" s="864"/>
      <c r="E3" s="864"/>
      <c r="F3" s="864"/>
      <c r="G3" s="864"/>
      <c r="H3" s="864"/>
      <c r="I3" s="864"/>
      <c r="J3" s="642"/>
    </row>
    <row r="6" spans="1:10" ht="15.75" customHeight="1" x14ac:dyDescent="0.25">
      <c r="A6" s="626"/>
      <c r="B6" s="623"/>
      <c r="C6" s="627" t="s">
        <v>191</v>
      </c>
      <c r="D6" s="628"/>
      <c r="E6" s="628"/>
      <c r="F6" s="628"/>
      <c r="G6" s="628"/>
      <c r="H6" s="628"/>
      <c r="I6" s="628"/>
      <c r="J6" s="623"/>
    </row>
    <row r="8" spans="1:10" ht="15.75" customHeight="1" x14ac:dyDescent="0.25">
      <c r="A8" s="623"/>
      <c r="B8" s="623"/>
      <c r="C8" s="650" t="s">
        <v>192</v>
      </c>
      <c r="D8" s="629"/>
      <c r="E8" s="650" t="s">
        <v>193</v>
      </c>
      <c r="F8" s="629"/>
      <c r="G8" s="630" t="s">
        <v>194</v>
      </c>
      <c r="H8" s="631"/>
      <c r="I8" s="625"/>
      <c r="J8" s="623"/>
    </row>
    <row r="9" spans="1:10" ht="15.75" customHeight="1" x14ac:dyDescent="0.25">
      <c r="A9" s="623"/>
      <c r="B9" s="623"/>
      <c r="C9" s="647" t="s">
        <v>195</v>
      </c>
      <c r="D9" s="629"/>
      <c r="E9" s="647" t="s">
        <v>195</v>
      </c>
      <c r="F9" s="629"/>
      <c r="G9" s="647" t="s">
        <v>195</v>
      </c>
      <c r="H9" s="629"/>
      <c r="I9" s="632" t="s">
        <v>196</v>
      </c>
      <c r="J9" s="623"/>
    </row>
    <row r="11" spans="1:10" ht="15.75" customHeight="1" x14ac:dyDescent="0.25">
      <c r="A11" s="671" t="s">
        <v>631</v>
      </c>
      <c r="B11" s="633" t="s">
        <v>198</v>
      </c>
      <c r="C11" s="669">
        <v>1512342095.9200001</v>
      </c>
      <c r="D11" s="635"/>
      <c r="E11" s="669">
        <v>1353404505.45</v>
      </c>
      <c r="F11" s="635"/>
      <c r="G11" s="669">
        <v>158937590.47000003</v>
      </c>
      <c r="H11" s="635"/>
      <c r="I11" s="651">
        <v>11.743499999999999</v>
      </c>
      <c r="J11" s="623"/>
    </row>
    <row r="12" spans="1:10" ht="15.75" customHeight="1" x14ac:dyDescent="0.25">
      <c r="A12" s="671" t="s">
        <v>632</v>
      </c>
      <c r="B12" s="633" t="s">
        <v>198</v>
      </c>
      <c r="C12" s="634">
        <v>-632383.92000000004</v>
      </c>
      <c r="D12" s="623"/>
      <c r="E12" s="634">
        <v>-469230.79</v>
      </c>
      <c r="F12" s="623"/>
      <c r="G12" s="634">
        <v>-163153.13000000006</v>
      </c>
      <c r="H12" s="623"/>
      <c r="I12" s="648">
        <v>-34.770299999999999</v>
      </c>
      <c r="J12" s="623"/>
    </row>
    <row r="13" spans="1:10" ht="15.75" customHeight="1" x14ac:dyDescent="0.25">
      <c r="A13" s="623"/>
      <c r="B13" s="633" t="s">
        <v>198</v>
      </c>
      <c r="C13" s="623"/>
      <c r="D13" s="623"/>
      <c r="E13" s="623"/>
      <c r="F13" s="623"/>
      <c r="G13" s="623"/>
      <c r="H13" s="623"/>
      <c r="I13" s="641"/>
      <c r="J13" s="623"/>
    </row>
    <row r="14" spans="1:10" ht="15.75" customHeight="1" x14ac:dyDescent="0.25">
      <c r="A14" s="671" t="s">
        <v>633</v>
      </c>
      <c r="B14" s="633" t="s">
        <v>198</v>
      </c>
      <c r="C14" s="634">
        <v>1511709712</v>
      </c>
      <c r="D14" s="623"/>
      <c r="E14" s="634">
        <v>1352935274.6600001</v>
      </c>
      <c r="F14" s="623"/>
      <c r="G14" s="634">
        <v>158774437.33999991</v>
      </c>
      <c r="H14" s="623"/>
      <c r="I14" s="648">
        <v>11.7356</v>
      </c>
      <c r="J14" s="623"/>
    </row>
    <row r="15" spans="1:10" ht="15.75" customHeight="1" x14ac:dyDescent="0.25">
      <c r="A15" s="622" t="s">
        <v>198</v>
      </c>
      <c r="B15" s="622"/>
      <c r="C15" s="622"/>
      <c r="D15" s="622"/>
      <c r="E15" s="622"/>
      <c r="F15" s="622"/>
      <c r="G15" s="622"/>
      <c r="H15" s="622"/>
      <c r="I15" s="622"/>
      <c r="J15" s="622"/>
    </row>
    <row r="16" spans="1:10" ht="15.75" customHeight="1" x14ac:dyDescent="0.25">
      <c r="A16" s="671" t="s">
        <v>634</v>
      </c>
      <c r="B16" s="633" t="s">
        <v>198</v>
      </c>
      <c r="C16" s="645">
        <v>496084188.13</v>
      </c>
      <c r="D16" s="623"/>
      <c r="E16" s="624">
        <v>433697313.94999999</v>
      </c>
      <c r="F16" s="623"/>
      <c r="G16" s="624">
        <v>62386874.180000007</v>
      </c>
      <c r="H16" s="623"/>
      <c r="I16" s="645">
        <v>14.3849</v>
      </c>
      <c r="J16" s="623"/>
    </row>
    <row r="17" spans="1:11" ht="15.75" customHeight="1" x14ac:dyDescent="0.25">
      <c r="A17" s="671" t="s">
        <v>635</v>
      </c>
      <c r="B17" s="633" t="s">
        <v>198</v>
      </c>
      <c r="C17" s="645">
        <v>174621937.27000001</v>
      </c>
      <c r="D17" s="623"/>
      <c r="E17" s="624">
        <v>198813398.72999999</v>
      </c>
      <c r="F17" s="623"/>
      <c r="G17" s="624">
        <v>-24191461.459999979</v>
      </c>
      <c r="H17" s="623"/>
      <c r="I17" s="645">
        <v>-12.167899999999999</v>
      </c>
      <c r="J17" s="623"/>
      <c r="K17" s="668"/>
    </row>
    <row r="18" spans="1:11" ht="15.75" customHeight="1" x14ac:dyDescent="0.25">
      <c r="A18" s="671" t="s">
        <v>636</v>
      </c>
      <c r="B18" s="633" t="s">
        <v>198</v>
      </c>
      <c r="C18" s="645">
        <v>216647227.77000001</v>
      </c>
      <c r="D18" s="623"/>
      <c r="E18" s="624">
        <v>193046913.41</v>
      </c>
      <c r="F18" s="623"/>
      <c r="G18" s="624">
        <v>23600314.360000014</v>
      </c>
      <c r="H18" s="623"/>
      <c r="I18" s="645">
        <v>12.225199999999999</v>
      </c>
      <c r="J18" s="623"/>
      <c r="K18" s="623"/>
    </row>
    <row r="19" spans="1:11" ht="15.75" customHeight="1" x14ac:dyDescent="0.25">
      <c r="A19" s="671" t="s">
        <v>637</v>
      </c>
      <c r="B19" s="633" t="s">
        <v>198</v>
      </c>
      <c r="C19" s="645">
        <v>107813984.8</v>
      </c>
      <c r="D19" s="623"/>
      <c r="E19" s="624">
        <v>103274107.56</v>
      </c>
      <c r="F19" s="623"/>
      <c r="G19" s="624">
        <v>4539877.2399999946</v>
      </c>
      <c r="H19" s="623"/>
      <c r="I19" s="645">
        <v>4.3959000000000001</v>
      </c>
      <c r="J19" s="623"/>
      <c r="K19" s="623"/>
    </row>
    <row r="20" spans="1:11" ht="15.75" customHeight="1" x14ac:dyDescent="0.25">
      <c r="A20" s="671" t="s">
        <v>638</v>
      </c>
      <c r="B20" s="633" t="s">
        <v>198</v>
      </c>
      <c r="C20" s="645">
        <v>139282040.69</v>
      </c>
      <c r="D20" s="623"/>
      <c r="E20" s="624">
        <v>127553738.27</v>
      </c>
      <c r="F20" s="623"/>
      <c r="G20" s="624">
        <v>11728302.420000002</v>
      </c>
      <c r="H20" s="623"/>
      <c r="I20" s="645">
        <v>9.1948000000000008</v>
      </c>
      <c r="J20" s="623"/>
      <c r="K20" s="623"/>
    </row>
    <row r="21" spans="1:11" ht="15.75" customHeight="1" x14ac:dyDescent="0.25">
      <c r="A21" s="671" t="s">
        <v>639</v>
      </c>
      <c r="B21" s="633" t="s">
        <v>198</v>
      </c>
      <c r="C21" s="645">
        <v>6603463.9199999999</v>
      </c>
      <c r="D21" s="623"/>
      <c r="E21" s="624">
        <v>6066868.1299999999</v>
      </c>
      <c r="F21" s="623"/>
      <c r="G21" s="624">
        <v>536595.79</v>
      </c>
      <c r="H21" s="623"/>
      <c r="I21" s="645">
        <v>8.8446999999999996</v>
      </c>
      <c r="J21" s="623"/>
      <c r="K21" s="623"/>
    </row>
    <row r="22" spans="1:11" ht="15.75" customHeight="1" x14ac:dyDescent="0.25">
      <c r="A22" s="671" t="s">
        <v>640</v>
      </c>
      <c r="B22" s="633" t="s">
        <v>198</v>
      </c>
      <c r="C22" s="645">
        <v>-5149557.3499999996</v>
      </c>
      <c r="D22" s="623"/>
      <c r="E22" s="624">
        <v>-2405939.64</v>
      </c>
      <c r="F22" s="623"/>
      <c r="G22" s="624">
        <v>-2743617.7099999995</v>
      </c>
      <c r="H22" s="623"/>
      <c r="I22" s="645">
        <v>-114.0352</v>
      </c>
      <c r="J22" s="623"/>
      <c r="K22" s="623"/>
    </row>
    <row r="23" spans="1:11" ht="15.75" customHeight="1" x14ac:dyDescent="0.25">
      <c r="A23" s="623" t="s">
        <v>208</v>
      </c>
      <c r="B23" s="633" t="s">
        <v>198</v>
      </c>
      <c r="C23" s="645"/>
      <c r="D23" s="623"/>
      <c r="E23" s="623"/>
      <c r="F23" s="623"/>
      <c r="G23" s="623"/>
      <c r="H23" s="623"/>
      <c r="I23" s="645"/>
      <c r="J23" s="623"/>
      <c r="K23" s="623"/>
    </row>
    <row r="24" spans="1:11" ht="15.75" customHeight="1" x14ac:dyDescent="0.25">
      <c r="A24" s="671" t="s">
        <v>641</v>
      </c>
      <c r="B24" s="633" t="s">
        <v>198</v>
      </c>
      <c r="C24" s="645">
        <v>61659449.280000001</v>
      </c>
      <c r="D24" s="623"/>
      <c r="E24" s="624">
        <v>-4766355.2300000004</v>
      </c>
      <c r="F24" s="623"/>
      <c r="G24" s="624">
        <v>66425804.510000005</v>
      </c>
      <c r="H24" s="623"/>
      <c r="I24" s="645">
        <v>1393.6394</v>
      </c>
      <c r="J24" s="623"/>
      <c r="K24" s="623"/>
    </row>
    <row r="25" spans="1:11" ht="15.75" customHeight="1" x14ac:dyDescent="0.25">
      <c r="A25" s="671" t="s">
        <v>642</v>
      </c>
      <c r="B25" s="633" t="s">
        <v>198</v>
      </c>
      <c r="C25" s="645">
        <v>12756392.51</v>
      </c>
      <c r="D25" s="623"/>
      <c r="E25" s="624">
        <v>1631507.14</v>
      </c>
      <c r="F25" s="623"/>
      <c r="G25" s="624">
        <v>11124885.369999999</v>
      </c>
      <c r="H25" s="623"/>
      <c r="I25" s="645">
        <v>681.87779999999998</v>
      </c>
      <c r="J25" s="623"/>
      <c r="K25" s="623"/>
    </row>
    <row r="26" spans="1:11" ht="15.75" customHeight="1" x14ac:dyDescent="0.25">
      <c r="A26" s="671" t="s">
        <v>643</v>
      </c>
      <c r="B26" s="633" t="s">
        <v>198</v>
      </c>
      <c r="C26" s="645">
        <v>22275451.75</v>
      </c>
      <c r="D26" s="623"/>
      <c r="E26" s="624">
        <v>45372009.899999999</v>
      </c>
      <c r="F26" s="623"/>
      <c r="G26" s="624">
        <v>-23096558.149999999</v>
      </c>
      <c r="H26" s="623"/>
      <c r="I26" s="645">
        <v>-50.904899999999998</v>
      </c>
      <c r="J26" s="623"/>
      <c r="K26" s="623"/>
    </row>
    <row r="27" spans="1:11" ht="15.75" customHeight="1" x14ac:dyDescent="0.25">
      <c r="A27" s="671" t="s">
        <v>644</v>
      </c>
      <c r="B27" s="633" t="s">
        <v>198</v>
      </c>
      <c r="C27" s="645">
        <v>3311038.18</v>
      </c>
      <c r="D27" s="623"/>
      <c r="E27" s="624">
        <v>7902649.6299999999</v>
      </c>
      <c r="F27" s="623"/>
      <c r="G27" s="624">
        <v>-4591611.4499999993</v>
      </c>
      <c r="H27" s="623"/>
      <c r="I27" s="645">
        <v>-58.102200000000003</v>
      </c>
      <c r="J27" s="623"/>
      <c r="K27" s="623"/>
    </row>
    <row r="28" spans="1:11" ht="15.75" customHeight="1" x14ac:dyDescent="0.25">
      <c r="A28" s="671" t="s">
        <v>645</v>
      </c>
      <c r="B28" s="633" t="s">
        <v>198</v>
      </c>
      <c r="C28" s="651">
        <v>19893478.969999999</v>
      </c>
      <c r="D28" s="635"/>
      <c r="E28" s="624">
        <v>20956612.82</v>
      </c>
      <c r="F28" s="635"/>
      <c r="G28" s="635">
        <v>-1063133.8500000015</v>
      </c>
      <c r="H28" s="635"/>
      <c r="I28" s="645">
        <v>-5.0730000000000004</v>
      </c>
      <c r="J28" s="626"/>
      <c r="K28" s="623"/>
    </row>
    <row r="29" spans="1:11" ht="15.75" customHeight="1" x14ac:dyDescent="0.25">
      <c r="A29" s="671" t="s">
        <v>646</v>
      </c>
      <c r="B29" s="633" t="s">
        <v>198</v>
      </c>
      <c r="C29" s="651">
        <v>0</v>
      </c>
      <c r="D29" s="635"/>
      <c r="E29" s="624">
        <v>21416455.030000001</v>
      </c>
      <c r="F29" s="635"/>
      <c r="G29" s="635">
        <v>-21416455.030000001</v>
      </c>
      <c r="H29" s="635"/>
      <c r="I29" s="645">
        <v>-100</v>
      </c>
      <c r="J29" s="626" t="s">
        <v>215</v>
      </c>
      <c r="K29" s="623"/>
    </row>
    <row r="30" spans="1:11" ht="15.75" customHeight="1" x14ac:dyDescent="0.25">
      <c r="A30" s="671" t="s">
        <v>647</v>
      </c>
      <c r="B30" s="633" t="s">
        <v>198</v>
      </c>
      <c r="C30" s="651">
        <v>-56750.74</v>
      </c>
      <c r="D30" s="635"/>
      <c r="E30" s="624">
        <v>-84707.76</v>
      </c>
      <c r="F30" s="635"/>
      <c r="G30" s="635">
        <v>27957.019999999997</v>
      </c>
      <c r="H30" s="635"/>
      <c r="I30" s="645">
        <v>33.004100000000001</v>
      </c>
      <c r="J30" s="623"/>
      <c r="K30" s="623"/>
    </row>
    <row r="31" spans="1:11" ht="15.75" customHeight="1" x14ac:dyDescent="0.25">
      <c r="A31" s="671" t="s">
        <v>648</v>
      </c>
      <c r="B31" s="633" t="s">
        <v>198</v>
      </c>
      <c r="C31" s="648">
        <v>3498904.94</v>
      </c>
      <c r="D31" s="635"/>
      <c r="E31" s="634">
        <v>2106194.69</v>
      </c>
      <c r="F31" s="635"/>
      <c r="G31" s="634">
        <v>1392710.25</v>
      </c>
      <c r="H31" s="635"/>
      <c r="I31" s="648">
        <v>66.124499999999998</v>
      </c>
      <c r="J31" s="623"/>
      <c r="K31" s="623"/>
    </row>
    <row r="32" spans="1:11" ht="15.75" customHeight="1" x14ac:dyDescent="0.25">
      <c r="A32" s="623"/>
      <c r="B32" s="633" t="s">
        <v>198</v>
      </c>
      <c r="C32" s="623"/>
      <c r="D32" s="623"/>
      <c r="E32" s="623"/>
      <c r="F32" s="623"/>
      <c r="G32" s="623"/>
      <c r="H32" s="623"/>
      <c r="I32" s="641"/>
      <c r="J32" s="623"/>
      <c r="K32" s="623"/>
    </row>
    <row r="33" spans="1:9" ht="15.75" customHeight="1" x14ac:dyDescent="0.25">
      <c r="A33" s="671" t="s">
        <v>649</v>
      </c>
      <c r="B33" s="633" t="s">
        <v>198</v>
      </c>
      <c r="C33" s="634">
        <v>1259241250.1200001</v>
      </c>
      <c r="D33" s="623"/>
      <c r="E33" s="634">
        <v>1154580766.6299999</v>
      </c>
      <c r="F33" s="623"/>
      <c r="G33" s="634">
        <v>104660483.49000025</v>
      </c>
      <c r="H33" s="623"/>
      <c r="I33" s="648">
        <v>9.0648</v>
      </c>
    </row>
    <row r="34" spans="1:9" ht="15.75" customHeight="1" x14ac:dyDescent="0.25">
      <c r="A34" s="623"/>
      <c r="B34" s="633" t="s">
        <v>198</v>
      </c>
      <c r="C34" s="623"/>
      <c r="D34" s="623"/>
      <c r="E34" s="623"/>
      <c r="F34" s="623"/>
      <c r="G34" s="623"/>
      <c r="H34" s="623"/>
      <c r="I34" s="641"/>
    </row>
    <row r="35" spans="1:9" ht="15.75" customHeight="1" x14ac:dyDescent="0.25">
      <c r="A35" s="671" t="s">
        <v>650</v>
      </c>
      <c r="B35" s="633" t="s">
        <v>198</v>
      </c>
      <c r="C35" s="103">
        <v>252468461.87999988</v>
      </c>
      <c r="D35" s="623"/>
      <c r="E35" s="624">
        <v>198354508.03000021</v>
      </c>
      <c r="F35" s="623"/>
      <c r="G35" s="624">
        <v>54113953.849999666</v>
      </c>
      <c r="H35" s="623"/>
      <c r="I35" s="645">
        <v>27.281400000000001</v>
      </c>
    </row>
    <row r="36" spans="1:9" ht="15.6" customHeight="1" x14ac:dyDescent="0.25">
      <c r="A36" s="623"/>
      <c r="B36" s="633"/>
      <c r="C36" s="623"/>
      <c r="D36" s="623"/>
      <c r="E36" s="623"/>
      <c r="F36" s="623"/>
      <c r="G36" s="623"/>
      <c r="H36" s="623"/>
      <c r="I36" s="645"/>
    </row>
    <row r="37" spans="1:9" ht="15.75" customHeight="1" x14ac:dyDescent="0.25">
      <c r="A37" s="623" t="s">
        <v>220</v>
      </c>
      <c r="B37" s="633" t="s">
        <v>198</v>
      </c>
      <c r="C37" s="623"/>
      <c r="D37" s="623"/>
      <c r="E37" s="623"/>
      <c r="F37" s="623"/>
      <c r="G37" s="623"/>
      <c r="H37" s="623"/>
      <c r="I37" s="640"/>
    </row>
    <row r="38" spans="1:9" ht="15.75" customHeight="1" x14ac:dyDescent="0.25">
      <c r="A38" s="671" t="s">
        <v>651</v>
      </c>
      <c r="B38" s="633" t="s">
        <v>198</v>
      </c>
      <c r="C38" s="624">
        <v>1129013.92</v>
      </c>
      <c r="D38" s="623"/>
      <c r="E38" s="624">
        <v>6133131.9900000002</v>
      </c>
      <c r="F38" s="623"/>
      <c r="G38" s="645">
        <v>-5004118.07</v>
      </c>
      <c r="H38" s="623"/>
      <c r="I38" s="645">
        <v>-81.5916</v>
      </c>
    </row>
    <row r="39" spans="1:9" ht="15.75" customHeight="1" x14ac:dyDescent="0.25">
      <c r="A39" s="671" t="s">
        <v>652</v>
      </c>
      <c r="B39" s="633" t="s">
        <v>198</v>
      </c>
      <c r="C39" s="634">
        <v>521152.04</v>
      </c>
      <c r="D39" s="623"/>
      <c r="E39" s="634">
        <v>3905897.01</v>
      </c>
      <c r="F39" s="623"/>
      <c r="G39" s="648">
        <v>-3384744.9699999997</v>
      </c>
      <c r="H39" s="623"/>
      <c r="I39" s="648">
        <v>-86.657300000000006</v>
      </c>
    </row>
    <row r="40" spans="1:9" ht="15.75" customHeight="1" x14ac:dyDescent="0.25">
      <c r="A40" s="623"/>
      <c r="B40" s="633" t="s">
        <v>198</v>
      </c>
      <c r="C40" s="623"/>
      <c r="D40" s="623"/>
      <c r="E40" s="623"/>
      <c r="F40" s="623"/>
      <c r="G40" s="623"/>
      <c r="H40" s="623"/>
      <c r="I40" s="641"/>
    </row>
    <row r="41" spans="1:9" ht="15.75" customHeight="1" x14ac:dyDescent="0.25">
      <c r="A41" s="671" t="s">
        <v>653</v>
      </c>
      <c r="B41" s="633" t="s">
        <v>198</v>
      </c>
      <c r="C41" s="634">
        <v>1650165.96</v>
      </c>
      <c r="D41" s="623"/>
      <c r="E41" s="634">
        <v>10039029</v>
      </c>
      <c r="F41" s="623"/>
      <c r="G41" s="634">
        <v>-8388863.0399999991</v>
      </c>
      <c r="H41" s="623"/>
      <c r="I41" s="648">
        <v>-83.5625</v>
      </c>
    </row>
    <row r="42" spans="1:9" ht="15.75" customHeight="1" x14ac:dyDescent="0.25">
      <c r="A42" s="623"/>
      <c r="B42" s="633" t="s">
        <v>198</v>
      </c>
      <c r="C42" s="623"/>
      <c r="D42" s="623"/>
      <c r="E42" s="623"/>
      <c r="F42" s="623"/>
      <c r="G42" s="623"/>
      <c r="H42" s="623"/>
      <c r="I42" s="641"/>
    </row>
    <row r="43" spans="1:9" ht="15.75" customHeight="1" x14ac:dyDescent="0.25">
      <c r="A43" s="671" t="s">
        <v>654</v>
      </c>
      <c r="B43" s="633" t="s">
        <v>198</v>
      </c>
      <c r="C43" s="634">
        <v>254118627.83999988</v>
      </c>
      <c r="D43" s="623"/>
      <c r="E43" s="634">
        <v>208393537.03000021</v>
      </c>
      <c r="F43" s="623"/>
      <c r="G43" s="634">
        <v>45725090.809999675</v>
      </c>
      <c r="H43" s="623"/>
      <c r="I43" s="648">
        <v>21.941700000000001</v>
      </c>
    </row>
    <row r="44" spans="1:9" ht="15.75" customHeight="1" x14ac:dyDescent="0.25">
      <c r="A44" s="623"/>
      <c r="B44" s="633" t="s">
        <v>198</v>
      </c>
      <c r="C44" s="623"/>
      <c r="D44" s="623"/>
      <c r="E44" s="623"/>
      <c r="F44" s="623"/>
      <c r="G44" s="623"/>
      <c r="H44" s="623"/>
      <c r="I44" s="641"/>
    </row>
    <row r="45" spans="1:9" ht="15.75" customHeight="1" x14ac:dyDescent="0.25">
      <c r="A45" s="671" t="s">
        <v>655</v>
      </c>
      <c r="B45" s="633" t="s">
        <v>198</v>
      </c>
      <c r="C45" s="624">
        <v>74444442.219999999</v>
      </c>
      <c r="D45" s="623"/>
      <c r="E45" s="624">
        <v>72299974.870000005</v>
      </c>
      <c r="F45" s="623"/>
      <c r="G45" s="624">
        <v>2144467.349999994</v>
      </c>
      <c r="H45" s="623"/>
      <c r="I45" s="645">
        <v>2.9661</v>
      </c>
    </row>
    <row r="46" spans="1:9" ht="15.75" customHeight="1" x14ac:dyDescent="0.25">
      <c r="A46" s="671" t="s">
        <v>656</v>
      </c>
      <c r="B46" s="633" t="s">
        <v>198</v>
      </c>
      <c r="C46" s="624">
        <v>1188941.9099999999</v>
      </c>
      <c r="D46" s="623"/>
      <c r="E46" s="624">
        <v>815138.34</v>
      </c>
      <c r="F46" s="623"/>
      <c r="G46" s="624">
        <v>373803.56999999995</v>
      </c>
      <c r="H46" s="623"/>
      <c r="I46" s="645">
        <v>45.857700000000001</v>
      </c>
    </row>
    <row r="47" spans="1:9" ht="15.75" customHeight="1" x14ac:dyDescent="0.25">
      <c r="A47" s="671" t="s">
        <v>657</v>
      </c>
      <c r="B47" s="633" t="s">
        <v>198</v>
      </c>
      <c r="C47" s="624">
        <v>3959422.97</v>
      </c>
      <c r="D47" s="623"/>
      <c r="E47" s="624">
        <v>3328985.33</v>
      </c>
      <c r="F47" s="623"/>
      <c r="G47" s="624">
        <v>630437.64000000013</v>
      </c>
      <c r="H47" s="623"/>
      <c r="I47" s="645">
        <v>18.937799999999999</v>
      </c>
    </row>
    <row r="48" spans="1:9" ht="15.75" customHeight="1" x14ac:dyDescent="0.25">
      <c r="A48" s="671" t="s">
        <v>658</v>
      </c>
      <c r="B48" s="633" t="s">
        <v>198</v>
      </c>
      <c r="C48" s="634">
        <v>-968596.93</v>
      </c>
      <c r="D48" s="623"/>
      <c r="E48" s="634">
        <v>-1377516.64</v>
      </c>
      <c r="F48" s="623"/>
      <c r="G48" s="634">
        <v>408919.70999999985</v>
      </c>
      <c r="H48" s="623"/>
      <c r="I48" s="646">
        <v>29.685300000000002</v>
      </c>
    </row>
    <row r="49" spans="1:9" ht="15.75" customHeight="1" x14ac:dyDescent="0.25">
      <c r="A49" s="623"/>
      <c r="B49" s="633" t="s">
        <v>198</v>
      </c>
      <c r="C49" s="623"/>
      <c r="D49" s="623"/>
      <c r="E49" s="623"/>
      <c r="F49" s="623"/>
      <c r="G49" s="623"/>
      <c r="H49" s="623"/>
      <c r="I49" s="641"/>
    </row>
    <row r="50" spans="1:9" ht="15.75" customHeight="1" x14ac:dyDescent="0.25">
      <c r="A50" s="671" t="s">
        <v>659</v>
      </c>
      <c r="B50" s="633" t="s">
        <v>198</v>
      </c>
      <c r="C50" s="634">
        <v>78624210.169999987</v>
      </c>
      <c r="D50" s="623"/>
      <c r="E50" s="634">
        <v>75066581.900000006</v>
      </c>
      <c r="F50" s="623"/>
      <c r="G50" s="634">
        <v>3557628.2699999809</v>
      </c>
      <c r="H50" s="623"/>
      <c r="I50" s="648">
        <v>4.7393000000000001</v>
      </c>
    </row>
    <row r="51" spans="1:9" ht="15.75" customHeight="1" x14ac:dyDescent="0.25">
      <c r="A51" s="623"/>
      <c r="B51" s="633"/>
      <c r="C51" s="623"/>
      <c r="D51" s="623"/>
      <c r="E51" s="623"/>
      <c r="F51" s="623"/>
      <c r="G51" s="623"/>
      <c r="H51" s="623"/>
      <c r="I51" s="641"/>
    </row>
    <row r="52" spans="1:9" ht="15.75" customHeight="1" thickBot="1" x14ac:dyDescent="0.3">
      <c r="A52" s="671" t="s">
        <v>660</v>
      </c>
      <c r="B52" s="633" t="s">
        <v>198</v>
      </c>
      <c r="C52" s="670">
        <v>175494417.6699999</v>
      </c>
      <c r="D52" s="623"/>
      <c r="E52" s="670">
        <v>133326955.1300002</v>
      </c>
      <c r="F52" s="623"/>
      <c r="G52" s="670">
        <v>42167462.539999694</v>
      </c>
      <c r="H52" s="623"/>
      <c r="I52" s="649">
        <v>31.627099999999999</v>
      </c>
    </row>
    <row r="53" spans="1:9" ht="15.75" customHeight="1" thickTop="1" x14ac:dyDescent="0.25">
      <c r="A53" s="623"/>
      <c r="B53" s="623" t="s">
        <v>198</v>
      </c>
      <c r="C53" s="623"/>
      <c r="D53" s="623"/>
      <c r="E53" s="623"/>
      <c r="F53" s="623"/>
      <c r="G53" s="623"/>
      <c r="H53" s="623"/>
      <c r="I53" s="645"/>
    </row>
    <row r="54" spans="1:9" ht="15.75" customHeight="1" x14ac:dyDescent="0.25">
      <c r="A54" s="623"/>
      <c r="B54" s="623" t="s">
        <v>198</v>
      </c>
      <c r="C54" s="623"/>
      <c r="D54" s="623"/>
      <c r="E54" s="623"/>
      <c r="F54" s="623"/>
      <c r="G54" s="623"/>
      <c r="H54" s="623"/>
      <c r="I54" s="640" t="s">
        <v>661</v>
      </c>
    </row>
    <row r="55" spans="1:9" ht="15.75" customHeight="1" x14ac:dyDescent="0.25">
      <c r="A55" s="623"/>
      <c r="B55" s="623" t="s">
        <v>198</v>
      </c>
      <c r="C55" s="623"/>
      <c r="D55" s="623"/>
      <c r="E55" s="623"/>
      <c r="F55" s="623"/>
      <c r="G55" s="623"/>
      <c r="H55" s="623"/>
      <c r="I55" s="645"/>
    </row>
    <row r="56" spans="1:9" ht="15.75" customHeight="1" x14ac:dyDescent="0.25">
      <c r="A56" s="623"/>
      <c r="B56" s="623" t="s">
        <v>198</v>
      </c>
      <c r="C56" s="623"/>
      <c r="D56" s="623"/>
      <c r="E56" s="623"/>
      <c r="F56" s="623"/>
      <c r="G56" s="623"/>
      <c r="H56" s="623"/>
      <c r="I56" s="645"/>
    </row>
    <row r="57" spans="1:9" ht="15.75" customHeight="1" x14ac:dyDescent="0.25">
      <c r="A57" s="623"/>
      <c r="B57" s="623" t="s">
        <v>198</v>
      </c>
      <c r="C57" s="623"/>
      <c r="D57" s="623"/>
      <c r="E57" s="623"/>
      <c r="F57" s="623"/>
      <c r="G57" s="623"/>
      <c r="H57" s="623"/>
      <c r="I57" s="623"/>
    </row>
    <row r="58" spans="1:9" ht="15.75" customHeight="1" x14ac:dyDescent="0.25">
      <c r="A58" s="623"/>
      <c r="B58" s="623" t="s">
        <v>198</v>
      </c>
      <c r="C58" s="623"/>
      <c r="D58" s="623"/>
      <c r="E58" s="623"/>
      <c r="F58" s="623"/>
      <c r="G58" s="623"/>
      <c r="H58" s="623"/>
      <c r="I58" s="623"/>
    </row>
  </sheetData>
  <mergeCells count="3">
    <mergeCell ref="A1:I1"/>
    <mergeCell ref="A2:I2"/>
    <mergeCell ref="A3:I3"/>
  </mergeCells>
  <printOptions horizontalCentered="1"/>
  <pageMargins left="0" right="0" top="0.5" bottom="0.4" header="0" footer="0.28000000000000003"/>
  <pageSetup scale="67" orientation="landscape" horizontalDpi="4294967292" verticalDpi="300" r:id="rId1"/>
  <headerFooter alignWithMargins="0">
    <oddFooter>&amp;C&amp;"Times New Roman,Bold"&amp;A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58"/>
  <sheetViews>
    <sheetView showGridLines="0" zoomScale="75" workbookViewId="0">
      <selection activeCell="C33" sqref="C33"/>
    </sheetView>
  </sheetViews>
  <sheetFormatPr defaultColWidth="10.28515625" defaultRowHeight="15.75" x14ac:dyDescent="0.25"/>
  <cols>
    <col min="1" max="1" width="3" style="119" customWidth="1"/>
    <col min="2" max="2" width="47.5703125" style="119" customWidth="1"/>
    <col min="3" max="3" width="1.85546875" style="119" customWidth="1"/>
    <col min="4" max="4" width="20.140625" style="107" customWidth="1"/>
    <col min="5" max="5" width="4.140625" style="107" customWidth="1"/>
    <col min="6" max="6" width="21.28515625" style="107" customWidth="1"/>
    <col min="7" max="7" width="5.140625" style="107" customWidth="1"/>
    <col min="8" max="8" width="3" style="107" customWidth="1"/>
    <col min="9" max="9" width="49" style="107" customWidth="1"/>
    <col min="10" max="10" width="1.85546875" style="107" customWidth="1"/>
    <col min="11" max="11" width="21.28515625" style="107" customWidth="1"/>
    <col min="12" max="12" width="4.140625" style="107" customWidth="1"/>
    <col min="13" max="13" width="21.28515625" style="107" customWidth="1"/>
    <col min="14" max="15" width="10.28515625" style="107" customWidth="1"/>
    <col min="16" max="16384" width="10.28515625" style="119"/>
  </cols>
  <sheetData>
    <row r="1" spans="1:15" x14ac:dyDescent="0.25">
      <c r="A1" s="857" t="s">
        <v>21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623"/>
      <c r="O1" s="623"/>
    </row>
    <row r="2" spans="1:15" x14ac:dyDescent="0.25">
      <c r="A2" s="857" t="s">
        <v>662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653"/>
      <c r="O2" s="653"/>
    </row>
    <row r="3" spans="1:15" s="125" customFormat="1" x14ac:dyDescent="0.25">
      <c r="A3" s="674"/>
      <c r="B3" s="642"/>
      <c r="C3" s="642"/>
      <c r="D3" s="653"/>
      <c r="E3" s="664"/>
      <c r="F3" s="653"/>
      <c r="G3" s="653"/>
      <c r="H3" s="653"/>
      <c r="I3" s="653"/>
      <c r="J3" s="653"/>
      <c r="K3" s="653"/>
      <c r="L3" s="664"/>
      <c r="M3" s="653"/>
      <c r="N3" s="653"/>
      <c r="O3" s="653"/>
    </row>
    <row r="4" spans="1:15" s="125" customFormat="1" x14ac:dyDescent="0.25"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6" spans="1:15" x14ac:dyDescent="0.25">
      <c r="A6" s="860" t="s">
        <v>663</v>
      </c>
      <c r="B6" s="861"/>
      <c r="C6" s="623"/>
      <c r="D6" s="655" t="s">
        <v>192</v>
      </c>
      <c r="E6" s="666"/>
      <c r="F6" s="655" t="s">
        <v>193</v>
      </c>
      <c r="G6" s="862" t="s">
        <v>664</v>
      </c>
      <c r="H6" s="861"/>
      <c r="I6" s="861"/>
      <c r="J6" s="623"/>
      <c r="K6" s="655" t="s">
        <v>192</v>
      </c>
      <c r="L6" s="666"/>
      <c r="M6" s="655" t="s">
        <v>193</v>
      </c>
      <c r="N6" s="623"/>
      <c r="O6" s="623"/>
    </row>
    <row r="7" spans="1:15" x14ac:dyDescent="0.25">
      <c r="D7" s="111"/>
      <c r="F7" s="111"/>
      <c r="K7" s="111"/>
      <c r="M7" s="111"/>
    </row>
    <row r="8" spans="1:15" x14ac:dyDescent="0.25">
      <c r="A8" s="623" t="s">
        <v>235</v>
      </c>
      <c r="B8" s="623"/>
      <c r="C8" s="623"/>
      <c r="D8" s="623"/>
      <c r="E8" s="623"/>
      <c r="F8" s="623"/>
      <c r="G8" s="623"/>
      <c r="H8" s="654" t="s">
        <v>665</v>
      </c>
      <c r="I8" s="623"/>
      <c r="J8" s="623"/>
      <c r="K8" s="623"/>
      <c r="L8" s="623"/>
      <c r="M8" s="623"/>
      <c r="N8" s="623"/>
      <c r="O8" s="623"/>
    </row>
    <row r="9" spans="1:15" x14ac:dyDescent="0.25">
      <c r="A9" s="623"/>
      <c r="B9" s="671" t="s">
        <v>129</v>
      </c>
      <c r="C9" s="633" t="s">
        <v>198</v>
      </c>
      <c r="D9" s="113">
        <v>6496781295.3900003</v>
      </c>
      <c r="E9" s="623"/>
      <c r="F9" s="676">
        <v>6149420917.21</v>
      </c>
      <c r="G9" s="623"/>
      <c r="H9" s="623"/>
      <c r="I9" s="680" t="s">
        <v>666</v>
      </c>
      <c r="J9" s="658" t="s">
        <v>198</v>
      </c>
      <c r="K9" s="677">
        <v>308139977.56</v>
      </c>
      <c r="L9" s="623"/>
      <c r="M9" s="677">
        <v>308139977.56</v>
      </c>
      <c r="N9" s="623"/>
      <c r="O9" s="623"/>
    </row>
    <row r="10" spans="1:15" x14ac:dyDescent="0.25">
      <c r="A10" s="623"/>
      <c r="B10" s="671" t="s">
        <v>667</v>
      </c>
      <c r="C10" s="633" t="s">
        <v>198</v>
      </c>
      <c r="D10" s="115">
        <v>2261926782.3600001</v>
      </c>
      <c r="E10" s="623"/>
      <c r="F10" s="656">
        <v>2168491125.9099998</v>
      </c>
      <c r="G10" s="623"/>
      <c r="H10" s="623"/>
      <c r="I10" s="680" t="s">
        <v>668</v>
      </c>
      <c r="J10" s="658" t="s">
        <v>198</v>
      </c>
      <c r="K10" s="660">
        <v>321288.87</v>
      </c>
      <c r="L10" s="623"/>
      <c r="M10" s="660">
        <v>321288.87</v>
      </c>
      <c r="N10" s="623"/>
      <c r="O10" s="623"/>
    </row>
    <row r="11" spans="1:15" x14ac:dyDescent="0.25">
      <c r="A11" s="623"/>
      <c r="B11" s="623"/>
      <c r="C11" s="633" t="s">
        <v>198</v>
      </c>
      <c r="D11" s="623"/>
      <c r="E11" s="623"/>
      <c r="F11" s="623"/>
      <c r="G11" s="623"/>
      <c r="H11" s="623"/>
      <c r="I11" s="680" t="s">
        <v>669</v>
      </c>
      <c r="J11" s="658" t="s">
        <v>198</v>
      </c>
      <c r="K11" s="660">
        <v>315858083</v>
      </c>
      <c r="L11" s="623"/>
      <c r="M11" s="660">
        <v>315858083</v>
      </c>
      <c r="N11" s="623"/>
      <c r="O11" s="623"/>
    </row>
    <row r="12" spans="1:15" x14ac:dyDescent="0.25">
      <c r="A12" s="623"/>
      <c r="B12" s="671" t="s">
        <v>16</v>
      </c>
      <c r="C12" s="633" t="s">
        <v>198</v>
      </c>
      <c r="D12" s="656">
        <v>4234854513.0300002</v>
      </c>
      <c r="E12" s="623"/>
      <c r="F12" s="656">
        <v>3980929791.3000002</v>
      </c>
      <c r="G12" s="623"/>
      <c r="H12" s="623"/>
      <c r="I12" s="680" t="s">
        <v>670</v>
      </c>
      <c r="J12" s="658" t="s">
        <v>198</v>
      </c>
      <c r="K12" s="660">
        <v>-1993677.24</v>
      </c>
      <c r="L12" s="623"/>
      <c r="M12" s="660">
        <v>0</v>
      </c>
      <c r="N12" s="623"/>
      <c r="O12" s="623"/>
    </row>
    <row r="13" spans="1:15" x14ac:dyDescent="0.25">
      <c r="A13" s="623"/>
      <c r="B13" s="623"/>
      <c r="C13" s="623"/>
      <c r="D13" s="623"/>
      <c r="E13" s="623"/>
      <c r="F13" s="623"/>
      <c r="G13" s="623"/>
      <c r="H13" s="623"/>
      <c r="I13" s="680" t="s">
        <v>671</v>
      </c>
      <c r="J13" s="658" t="s">
        <v>198</v>
      </c>
      <c r="K13" s="660">
        <v>1439351593.8199999</v>
      </c>
      <c r="L13" s="623"/>
      <c r="M13" s="660">
        <v>1317618203.1500001</v>
      </c>
      <c r="N13" s="623"/>
      <c r="O13" s="623"/>
    </row>
    <row r="14" spans="1:15" x14ac:dyDescent="0.25">
      <c r="A14" s="623"/>
      <c r="B14" s="623"/>
      <c r="C14" s="623"/>
      <c r="D14" s="660"/>
      <c r="E14" s="623"/>
      <c r="F14" s="660"/>
      <c r="G14" s="623"/>
      <c r="H14" s="623"/>
      <c r="I14" s="680" t="s">
        <v>672</v>
      </c>
      <c r="J14" s="658" t="s">
        <v>198</v>
      </c>
      <c r="K14" s="656">
        <v>14432395.75</v>
      </c>
      <c r="L14" s="623"/>
      <c r="M14" s="656">
        <v>10671368.75</v>
      </c>
      <c r="N14" s="623"/>
      <c r="O14" s="623"/>
    </row>
    <row r="15" spans="1:15" x14ac:dyDescent="0.25">
      <c r="A15" s="623"/>
      <c r="B15" s="623"/>
      <c r="C15" s="623"/>
      <c r="D15" s="623"/>
      <c r="E15" s="623"/>
      <c r="F15" s="623"/>
      <c r="G15" s="623"/>
      <c r="H15" s="623"/>
      <c r="I15" s="623"/>
      <c r="J15" s="658"/>
      <c r="K15" s="623"/>
      <c r="L15" s="623"/>
      <c r="M15" s="623"/>
      <c r="N15" s="623"/>
      <c r="O15" s="623"/>
    </row>
    <row r="16" spans="1:15" x14ac:dyDescent="0.25">
      <c r="A16" s="623" t="s">
        <v>580</v>
      </c>
      <c r="B16" s="623"/>
      <c r="C16" s="633" t="s">
        <v>198</v>
      </c>
      <c r="D16" s="623"/>
      <c r="E16" s="623"/>
      <c r="F16" s="623"/>
      <c r="G16" s="623"/>
      <c r="H16" s="623"/>
      <c r="I16" s="680" t="s">
        <v>673</v>
      </c>
      <c r="J16" s="658" t="s">
        <v>198</v>
      </c>
      <c r="K16" s="656">
        <v>2075467084.02</v>
      </c>
      <c r="L16" s="623"/>
      <c r="M16" s="656">
        <v>1951966343.5900002</v>
      </c>
      <c r="N16" s="623"/>
      <c r="O16" s="623"/>
    </row>
    <row r="17" spans="1:13" x14ac:dyDescent="0.25">
      <c r="A17" s="623"/>
      <c r="B17" s="671" t="s">
        <v>674</v>
      </c>
      <c r="C17" s="633" t="s">
        <v>198</v>
      </c>
      <c r="D17" s="660">
        <v>12465221.550000001</v>
      </c>
      <c r="E17" s="623"/>
      <c r="F17" s="660">
        <v>11967168.75</v>
      </c>
      <c r="G17" s="623"/>
      <c r="H17" s="623"/>
      <c r="I17" s="623"/>
      <c r="J17" s="658"/>
      <c r="K17" s="623"/>
      <c r="L17" s="623"/>
      <c r="M17" s="623"/>
    </row>
    <row r="18" spans="1:13" x14ac:dyDescent="0.25">
      <c r="A18" s="623"/>
      <c r="B18" s="671" t="s">
        <v>675</v>
      </c>
      <c r="C18" s="633" t="s">
        <v>198</v>
      </c>
      <c r="D18" s="660">
        <v>250000</v>
      </c>
      <c r="E18" s="623"/>
      <c r="F18" s="660">
        <v>250000</v>
      </c>
      <c r="G18" s="623"/>
      <c r="H18" s="623"/>
      <c r="I18" s="623"/>
      <c r="J18" s="658"/>
      <c r="K18" s="623"/>
      <c r="L18" s="623"/>
      <c r="M18" s="623"/>
    </row>
    <row r="19" spans="1:13" x14ac:dyDescent="0.25">
      <c r="A19" s="623"/>
      <c r="B19" s="671" t="s">
        <v>676</v>
      </c>
      <c r="C19" s="633" t="s">
        <v>198</v>
      </c>
      <c r="D19" s="656">
        <v>179120.94</v>
      </c>
      <c r="E19" s="623"/>
      <c r="F19" s="656">
        <v>179120.94</v>
      </c>
      <c r="G19" s="623"/>
      <c r="H19" s="623"/>
      <c r="I19" s="682" t="s">
        <v>677</v>
      </c>
      <c r="J19" s="658" t="s">
        <v>198</v>
      </c>
      <c r="K19" s="660">
        <v>350779405</v>
      </c>
      <c r="L19" s="623"/>
      <c r="M19" s="660">
        <v>350779405</v>
      </c>
    </row>
    <row r="20" spans="1:13" x14ac:dyDescent="0.25">
      <c r="A20" s="623"/>
      <c r="B20" s="623"/>
      <c r="C20" s="633"/>
      <c r="D20" s="660"/>
      <c r="E20" s="623"/>
      <c r="F20" s="660"/>
      <c r="G20" s="623"/>
      <c r="H20" s="623"/>
      <c r="I20" s="679" t="s">
        <v>678</v>
      </c>
      <c r="J20" s="658"/>
      <c r="K20" s="660">
        <v>1489176906.25</v>
      </c>
      <c r="L20" s="623"/>
      <c r="M20" s="660">
        <v>0</v>
      </c>
    </row>
    <row r="21" spans="1:13" x14ac:dyDescent="0.25">
      <c r="A21" s="623"/>
      <c r="B21" s="671" t="s">
        <v>16</v>
      </c>
      <c r="C21" s="633" t="s">
        <v>198</v>
      </c>
      <c r="D21" s="656">
        <v>12894342.49</v>
      </c>
      <c r="E21" s="623"/>
      <c r="F21" s="656">
        <v>12396289.689999999</v>
      </c>
      <c r="G21" s="623"/>
      <c r="H21" s="623"/>
      <c r="I21" s="680" t="s">
        <v>679</v>
      </c>
      <c r="J21" s="658" t="s">
        <v>198</v>
      </c>
      <c r="K21" s="656">
        <v>0</v>
      </c>
      <c r="L21" s="623"/>
      <c r="M21" s="656">
        <v>1298000000</v>
      </c>
    </row>
    <row r="22" spans="1:13" x14ac:dyDescent="0.25">
      <c r="C22" s="130"/>
      <c r="D22" s="116"/>
      <c r="F22" s="116"/>
      <c r="J22" s="114"/>
      <c r="K22" s="108"/>
      <c r="L22" s="108"/>
      <c r="M22" s="108"/>
    </row>
    <row r="23" spans="1:13" x14ac:dyDescent="0.25">
      <c r="A23" s="623"/>
      <c r="B23" s="623"/>
      <c r="C23" s="623"/>
      <c r="D23" s="623"/>
      <c r="E23" s="623"/>
      <c r="F23" s="623"/>
      <c r="G23" s="623"/>
      <c r="H23" s="623"/>
      <c r="I23" s="680" t="s">
        <v>680</v>
      </c>
      <c r="J23" s="658" t="s">
        <v>198</v>
      </c>
      <c r="K23" s="660">
        <v>1839956311.25</v>
      </c>
      <c r="L23" s="623"/>
      <c r="M23" s="660">
        <v>1648779405</v>
      </c>
    </row>
    <row r="24" spans="1:13" x14ac:dyDescent="0.25">
      <c r="A24" s="623"/>
      <c r="B24" s="623"/>
      <c r="C24" s="623"/>
      <c r="D24" s="623"/>
      <c r="E24" s="623"/>
      <c r="F24" s="623"/>
      <c r="G24" s="623"/>
      <c r="H24" s="623"/>
      <c r="I24" s="623"/>
      <c r="J24" s="658" t="s">
        <v>198</v>
      </c>
      <c r="K24" s="660"/>
      <c r="L24" s="623"/>
      <c r="M24" s="660"/>
    </row>
    <row r="25" spans="1:13" x14ac:dyDescent="0.25">
      <c r="A25" s="623" t="s">
        <v>256</v>
      </c>
      <c r="B25" s="623"/>
      <c r="C25" s="633" t="s">
        <v>198</v>
      </c>
      <c r="D25" s="623"/>
      <c r="E25" s="623"/>
      <c r="F25" s="623"/>
      <c r="G25" s="623"/>
      <c r="H25" s="623"/>
      <c r="I25" s="680" t="s">
        <v>681</v>
      </c>
      <c r="J25" s="658" t="s">
        <v>198</v>
      </c>
      <c r="K25" s="656">
        <v>3915423395.27</v>
      </c>
      <c r="L25" s="623"/>
      <c r="M25" s="656">
        <v>3600745748.5900002</v>
      </c>
    </row>
    <row r="26" spans="1:13" x14ac:dyDescent="0.25">
      <c r="A26" s="623"/>
      <c r="B26" s="671" t="s">
        <v>682</v>
      </c>
      <c r="C26" s="633" t="s">
        <v>198</v>
      </c>
      <c r="D26" s="654">
        <v>3132599.79</v>
      </c>
      <c r="E26" s="623"/>
      <c r="F26" s="654">
        <v>1672088.08</v>
      </c>
      <c r="G26" s="623"/>
      <c r="H26" s="623"/>
      <c r="I26" s="623"/>
      <c r="J26" s="623"/>
      <c r="K26" s="623"/>
      <c r="L26" s="623"/>
      <c r="M26" s="623"/>
    </row>
    <row r="27" spans="1:13" x14ac:dyDescent="0.25">
      <c r="A27" s="623"/>
      <c r="B27" s="671" t="s">
        <v>683</v>
      </c>
      <c r="C27" s="633" t="s">
        <v>198</v>
      </c>
      <c r="D27" s="654">
        <v>418600.3</v>
      </c>
      <c r="E27" s="623"/>
      <c r="F27" s="654">
        <v>0</v>
      </c>
      <c r="G27" s="623"/>
      <c r="H27" s="623"/>
      <c r="I27" s="623"/>
      <c r="J27" s="623"/>
      <c r="K27" s="623"/>
      <c r="L27" s="623"/>
      <c r="M27" s="623"/>
    </row>
    <row r="28" spans="1:13" x14ac:dyDescent="0.25">
      <c r="A28" s="623"/>
      <c r="B28" s="671" t="s">
        <v>684</v>
      </c>
      <c r="C28" s="633" t="s">
        <v>198</v>
      </c>
      <c r="D28" s="654">
        <v>200847.07</v>
      </c>
      <c r="E28" s="623"/>
      <c r="F28" s="654">
        <v>269.25</v>
      </c>
      <c r="G28" s="623"/>
      <c r="H28" s="654" t="s">
        <v>258</v>
      </c>
      <c r="I28" s="623"/>
      <c r="J28" s="623"/>
      <c r="K28" s="623"/>
      <c r="L28" s="623"/>
      <c r="M28" s="623"/>
    </row>
    <row r="29" spans="1:13" x14ac:dyDescent="0.25">
      <c r="A29" s="623"/>
      <c r="B29" s="671" t="s">
        <v>685</v>
      </c>
      <c r="C29" s="633" t="s">
        <v>198</v>
      </c>
      <c r="D29" s="654">
        <v>198513561.38999999</v>
      </c>
      <c r="E29" s="623"/>
      <c r="F29" s="654">
        <v>173526314.78</v>
      </c>
      <c r="G29" s="623"/>
      <c r="H29" s="623"/>
      <c r="I29" s="623"/>
      <c r="J29" s="623"/>
      <c r="K29" s="623"/>
      <c r="L29" s="623"/>
      <c r="M29" s="623"/>
    </row>
    <row r="30" spans="1:13" x14ac:dyDescent="0.25">
      <c r="A30" s="623"/>
      <c r="B30" s="671" t="s">
        <v>686</v>
      </c>
      <c r="C30" s="633" t="s">
        <v>198</v>
      </c>
      <c r="D30" s="654">
        <v>11996433.15</v>
      </c>
      <c r="E30" s="623"/>
      <c r="F30" s="654">
        <v>8621893.3100000005</v>
      </c>
      <c r="G30" s="623"/>
      <c r="H30" s="623"/>
      <c r="I30" s="681" t="s">
        <v>687</v>
      </c>
      <c r="J30" s="658" t="s">
        <v>198</v>
      </c>
      <c r="K30" s="654">
        <v>10434000</v>
      </c>
      <c r="L30" s="623"/>
      <c r="M30" s="660">
        <v>77974954</v>
      </c>
    </row>
    <row r="31" spans="1:13" x14ac:dyDescent="0.25">
      <c r="A31" s="623"/>
      <c r="B31" s="623" t="s">
        <v>267</v>
      </c>
      <c r="C31" s="633" t="s">
        <v>198</v>
      </c>
      <c r="D31" s="623"/>
      <c r="E31" s="623"/>
      <c r="F31" s="623"/>
      <c r="G31" s="623"/>
      <c r="H31" s="623"/>
      <c r="I31" s="680" t="s">
        <v>688</v>
      </c>
      <c r="J31" s="658" t="s">
        <v>198</v>
      </c>
      <c r="K31" s="660">
        <v>76307786.670000002</v>
      </c>
      <c r="L31" s="623"/>
      <c r="M31" s="660">
        <v>114498517.65000001</v>
      </c>
    </row>
    <row r="32" spans="1:13" x14ac:dyDescent="0.25">
      <c r="A32" s="623"/>
      <c r="B32" s="671" t="s">
        <v>689</v>
      </c>
      <c r="C32" s="633" t="s">
        <v>198</v>
      </c>
      <c r="D32" s="654">
        <v>94898528.150000006</v>
      </c>
      <c r="E32" s="623"/>
      <c r="F32" s="654">
        <v>97742424.549999997</v>
      </c>
      <c r="G32" s="623"/>
      <c r="H32" s="623"/>
      <c r="I32" s="680" t="s">
        <v>690</v>
      </c>
      <c r="J32" s="658" t="s">
        <v>198</v>
      </c>
      <c r="K32" s="660">
        <v>45351361.740000002</v>
      </c>
      <c r="L32" s="623"/>
      <c r="M32" s="660">
        <v>88034352.469999999</v>
      </c>
    </row>
    <row r="33" spans="1:13" x14ac:dyDescent="0.25">
      <c r="A33" s="623"/>
      <c r="B33" s="671" t="s">
        <v>691</v>
      </c>
      <c r="C33" s="633" t="s">
        <v>198</v>
      </c>
      <c r="D33" s="654">
        <v>32560243.260000002</v>
      </c>
      <c r="E33" s="623"/>
      <c r="F33" s="654">
        <v>30472278.120000001</v>
      </c>
      <c r="G33" s="623"/>
      <c r="H33" s="623"/>
      <c r="I33" s="680" t="s">
        <v>692</v>
      </c>
      <c r="J33" s="658" t="s">
        <v>198</v>
      </c>
      <c r="K33" s="660">
        <v>22839133.25</v>
      </c>
      <c r="L33" s="623"/>
      <c r="M33" s="660">
        <v>21975267.600000001</v>
      </c>
    </row>
    <row r="34" spans="1:13" x14ac:dyDescent="0.25">
      <c r="A34" s="623"/>
      <c r="B34" s="671" t="s">
        <v>693</v>
      </c>
      <c r="C34" s="633" t="s">
        <v>198</v>
      </c>
      <c r="D34" s="654">
        <v>8854899.4299999997</v>
      </c>
      <c r="E34" s="623"/>
      <c r="F34" s="654">
        <v>7480010.5499999998</v>
      </c>
      <c r="G34" s="623"/>
      <c r="H34" s="623"/>
      <c r="I34" s="680" t="s">
        <v>694</v>
      </c>
      <c r="J34" s="658" t="s">
        <v>198</v>
      </c>
      <c r="K34" s="660">
        <v>24614782.98</v>
      </c>
      <c r="L34" s="623"/>
      <c r="M34" s="660">
        <v>14176460.699999999</v>
      </c>
    </row>
    <row r="35" spans="1:13" x14ac:dyDescent="0.25">
      <c r="A35" s="623"/>
      <c r="B35" s="671" t="s">
        <v>695</v>
      </c>
      <c r="C35" s="623" t="s">
        <v>198</v>
      </c>
      <c r="D35" s="654">
        <v>566579</v>
      </c>
      <c r="E35" s="623"/>
      <c r="F35" s="654">
        <v>975075.9</v>
      </c>
      <c r="G35" s="623"/>
      <c r="H35" s="623"/>
      <c r="I35" s="680" t="s">
        <v>696</v>
      </c>
      <c r="J35" s="658" t="s">
        <v>198</v>
      </c>
      <c r="K35" s="660">
        <v>8149642.0199999996</v>
      </c>
      <c r="L35" s="623"/>
      <c r="M35" s="660">
        <v>1268054.1399999999</v>
      </c>
    </row>
    <row r="36" spans="1:13" x14ac:dyDescent="0.25">
      <c r="A36" s="623"/>
      <c r="B36" s="671" t="s">
        <v>596</v>
      </c>
      <c r="C36" s="633" t="s">
        <v>198</v>
      </c>
      <c r="D36" s="654">
        <v>8173724</v>
      </c>
      <c r="E36" s="623"/>
      <c r="F36" s="654">
        <v>8192917.29</v>
      </c>
      <c r="G36" s="623"/>
      <c r="H36" s="623"/>
      <c r="I36" s="683" t="s">
        <v>697</v>
      </c>
      <c r="J36" s="684" t="s">
        <v>198</v>
      </c>
      <c r="K36" s="673">
        <v>19512357.41</v>
      </c>
      <c r="L36" s="675"/>
      <c r="M36" s="673">
        <v>18817559.940000001</v>
      </c>
    </row>
    <row r="37" spans="1:13" x14ac:dyDescent="0.25">
      <c r="A37" s="623"/>
      <c r="B37" s="671" t="s">
        <v>698</v>
      </c>
      <c r="C37" s="633" t="s">
        <v>198</v>
      </c>
      <c r="D37" s="656">
        <v>20501.2</v>
      </c>
      <c r="E37" s="623"/>
      <c r="F37" s="656">
        <v>162412.23000000001</v>
      </c>
      <c r="G37" s="623"/>
      <c r="H37" s="623"/>
      <c r="I37" s="623"/>
      <c r="J37" s="658"/>
      <c r="K37" s="623"/>
      <c r="L37" s="623"/>
      <c r="M37" s="623"/>
    </row>
    <row r="38" spans="1:13" x14ac:dyDescent="0.25">
      <c r="A38" s="623"/>
      <c r="B38" s="623"/>
      <c r="C38" s="623"/>
      <c r="D38" s="623"/>
      <c r="E38" s="623"/>
      <c r="F38" s="623"/>
      <c r="G38" s="623"/>
      <c r="H38" s="623"/>
      <c r="I38" s="680" t="s">
        <v>16</v>
      </c>
      <c r="J38" s="658" t="s">
        <v>198</v>
      </c>
      <c r="K38" s="656">
        <v>207209064.06999999</v>
      </c>
      <c r="L38" s="623"/>
      <c r="M38" s="656">
        <v>336745166.5</v>
      </c>
    </row>
    <row r="39" spans="1:13" x14ac:dyDescent="0.25">
      <c r="A39" s="623"/>
      <c r="B39" s="671" t="s">
        <v>16</v>
      </c>
      <c r="C39" s="633" t="s">
        <v>198</v>
      </c>
      <c r="D39" s="656">
        <v>359336516.74000001</v>
      </c>
      <c r="E39" s="623"/>
      <c r="F39" s="656">
        <v>328845684.06000006</v>
      </c>
      <c r="G39" s="623"/>
      <c r="H39" s="623"/>
      <c r="I39" s="623"/>
      <c r="J39" s="623"/>
      <c r="K39" s="623"/>
      <c r="L39" s="623"/>
      <c r="M39" s="623"/>
    </row>
    <row r="40" spans="1:13" x14ac:dyDescent="0.25">
      <c r="A40" s="623"/>
      <c r="B40" s="623"/>
      <c r="C40" s="623"/>
      <c r="D40" s="623"/>
      <c r="E40" s="623"/>
      <c r="F40" s="623"/>
      <c r="G40" s="623"/>
      <c r="H40" s="654" t="s">
        <v>281</v>
      </c>
      <c r="I40" s="623"/>
      <c r="J40" s="623"/>
      <c r="K40" s="623"/>
      <c r="L40" s="623"/>
      <c r="M40" s="623"/>
    </row>
    <row r="41" spans="1:13" x14ac:dyDescent="0.25">
      <c r="A41" s="623"/>
      <c r="B41" s="623"/>
      <c r="C41" s="623"/>
      <c r="D41" s="623"/>
      <c r="E41" s="623"/>
      <c r="F41" s="623"/>
      <c r="G41" s="623"/>
      <c r="H41" s="623"/>
      <c r="I41" s="680" t="s">
        <v>699</v>
      </c>
      <c r="J41" s="658" t="s">
        <v>198</v>
      </c>
      <c r="K41" s="654">
        <v>396607180.67000002</v>
      </c>
      <c r="L41" s="623"/>
      <c r="M41" s="654">
        <v>377323901.73000002</v>
      </c>
    </row>
    <row r="42" spans="1:13" x14ac:dyDescent="0.25">
      <c r="A42" s="623" t="s">
        <v>283</v>
      </c>
      <c r="B42" s="623"/>
      <c r="C42" s="623"/>
      <c r="D42" s="623"/>
      <c r="E42" s="623"/>
      <c r="F42" s="623"/>
      <c r="G42" s="623"/>
      <c r="H42" s="623"/>
      <c r="I42" s="680" t="s">
        <v>700</v>
      </c>
      <c r="J42" s="658" t="s">
        <v>198</v>
      </c>
      <c r="K42" s="654">
        <v>104094169.31999999</v>
      </c>
      <c r="L42" s="623"/>
      <c r="M42" s="654">
        <v>104165269.31999999</v>
      </c>
    </row>
    <row r="43" spans="1:13" x14ac:dyDescent="0.25">
      <c r="A43" s="623"/>
      <c r="B43" s="671" t="s">
        <v>701</v>
      </c>
      <c r="C43" s="633" t="s">
        <v>198</v>
      </c>
      <c r="D43" s="654">
        <v>21213642.719999999</v>
      </c>
      <c r="E43" s="623"/>
      <c r="F43" s="654">
        <v>4842773.57</v>
      </c>
      <c r="G43" s="623"/>
      <c r="H43" s="623"/>
      <c r="I43" s="680" t="s">
        <v>702</v>
      </c>
      <c r="J43" s="658" t="s">
        <v>198</v>
      </c>
      <c r="K43" s="654">
        <v>55112630.399999999</v>
      </c>
      <c r="L43" s="623"/>
      <c r="M43" s="654">
        <v>44244443.399999999</v>
      </c>
    </row>
    <row r="44" spans="1:13" x14ac:dyDescent="0.25">
      <c r="A44" s="623"/>
      <c r="B44" s="671" t="s">
        <v>703</v>
      </c>
      <c r="C44" s="633" t="s">
        <v>198</v>
      </c>
      <c r="D44" s="654">
        <v>12380090.050000001</v>
      </c>
      <c r="E44" s="623"/>
      <c r="F44" s="654">
        <v>12984497.15</v>
      </c>
      <c r="G44" s="623"/>
      <c r="H44" s="623"/>
      <c r="I44" s="680" t="s">
        <v>704</v>
      </c>
      <c r="J44" s="658" t="s">
        <v>198</v>
      </c>
      <c r="K44" s="654">
        <v>2869273.92</v>
      </c>
      <c r="L44" s="623"/>
      <c r="M44" s="654">
        <v>2927921.94</v>
      </c>
    </row>
    <row r="45" spans="1:13" x14ac:dyDescent="0.25">
      <c r="A45" s="623"/>
      <c r="B45" s="671" t="s">
        <v>699</v>
      </c>
      <c r="C45" s="633" t="s">
        <v>198</v>
      </c>
      <c r="D45" s="654">
        <v>34511064.100000001</v>
      </c>
      <c r="E45" s="623"/>
      <c r="F45" s="654">
        <v>43961730.060000002</v>
      </c>
      <c r="G45" s="623"/>
      <c r="H45" s="623"/>
      <c r="I45" s="683" t="s">
        <v>705</v>
      </c>
      <c r="J45" s="684" t="s">
        <v>198</v>
      </c>
      <c r="K45" s="672">
        <v>53981306.409999996</v>
      </c>
      <c r="L45" s="675"/>
      <c r="M45" s="672">
        <v>34365307.649999999</v>
      </c>
    </row>
    <row r="46" spans="1:13" x14ac:dyDescent="0.25">
      <c r="A46" s="623"/>
      <c r="B46" s="671" t="s">
        <v>706</v>
      </c>
      <c r="C46" s="633" t="s">
        <v>198</v>
      </c>
      <c r="D46" s="654">
        <v>208403355.44</v>
      </c>
      <c r="E46" s="623"/>
      <c r="F46" s="654">
        <v>253671749.05000001</v>
      </c>
      <c r="G46" s="623"/>
      <c r="H46" s="623"/>
      <c r="I46" s="680" t="s">
        <v>707</v>
      </c>
      <c r="J46" s="658" t="s">
        <v>198</v>
      </c>
      <c r="K46" s="654">
        <v>8491442.4000000004</v>
      </c>
      <c r="L46" s="623"/>
      <c r="M46" s="654">
        <v>10173178.630000001</v>
      </c>
    </row>
    <row r="47" spans="1:13" x14ac:dyDescent="0.25">
      <c r="A47" s="623"/>
      <c r="B47" s="671" t="s">
        <v>708</v>
      </c>
      <c r="C47" s="633" t="s">
        <v>198</v>
      </c>
      <c r="D47" s="656">
        <v>42753151.340000004</v>
      </c>
      <c r="E47" s="623"/>
      <c r="F47" s="656">
        <v>41371913.630000003</v>
      </c>
      <c r="G47" s="623"/>
      <c r="H47" s="623"/>
      <c r="I47" s="680" t="s">
        <v>709</v>
      </c>
      <c r="J47" s="658" t="s">
        <v>198</v>
      </c>
      <c r="K47" s="654">
        <v>2423615.65</v>
      </c>
      <c r="L47" s="623"/>
      <c r="M47" s="654">
        <v>2545415.36</v>
      </c>
    </row>
    <row r="48" spans="1:13" x14ac:dyDescent="0.25">
      <c r="A48" s="623"/>
      <c r="B48" s="623"/>
      <c r="C48" s="633" t="s">
        <v>198</v>
      </c>
      <c r="D48" s="623"/>
      <c r="E48" s="623"/>
      <c r="F48" s="623"/>
      <c r="G48" s="623"/>
      <c r="H48" s="623"/>
      <c r="I48" s="680" t="s">
        <v>710</v>
      </c>
      <c r="J48" s="658" t="s">
        <v>198</v>
      </c>
      <c r="K48" s="656">
        <v>180134597.80000001</v>
      </c>
      <c r="L48" s="623"/>
      <c r="M48" s="656">
        <v>165768075.38999999</v>
      </c>
    </row>
    <row r="49" spans="1:13" x14ac:dyDescent="0.25">
      <c r="A49" s="623"/>
      <c r="B49" s="671" t="s">
        <v>16</v>
      </c>
      <c r="C49" s="633" t="s">
        <v>198</v>
      </c>
      <c r="D49" s="656">
        <v>319261303.64999998</v>
      </c>
      <c r="E49" s="623"/>
      <c r="F49" s="656">
        <v>356832663.46000004</v>
      </c>
      <c r="G49" s="623"/>
      <c r="H49" s="623"/>
      <c r="I49" s="623"/>
      <c r="J49" s="658"/>
      <c r="K49" s="623"/>
      <c r="L49" s="623"/>
      <c r="M49" s="623"/>
    </row>
    <row r="50" spans="1:13" x14ac:dyDescent="0.25">
      <c r="A50" s="623"/>
      <c r="B50" s="623"/>
      <c r="C50" s="623"/>
      <c r="D50" s="623"/>
      <c r="E50" s="623"/>
      <c r="F50" s="623"/>
      <c r="G50" s="623"/>
      <c r="H50" s="623"/>
      <c r="I50" s="680" t="s">
        <v>16</v>
      </c>
      <c r="J50" s="658" t="s">
        <v>198</v>
      </c>
      <c r="K50" s="656">
        <v>803714216.56999993</v>
      </c>
      <c r="L50" s="623"/>
      <c r="M50" s="656">
        <v>741513513.41999996</v>
      </c>
    </row>
    <row r="51" spans="1:13" x14ac:dyDescent="0.25">
      <c r="C51" s="130"/>
      <c r="J51" s="114"/>
    </row>
    <row r="52" spans="1:13" ht="16.5" thickBot="1" x14ac:dyDescent="0.3">
      <c r="A52" s="858" t="s">
        <v>711</v>
      </c>
      <c r="B52" s="859"/>
      <c r="C52" s="633" t="s">
        <v>198</v>
      </c>
      <c r="D52" s="678">
        <v>4926346675.9099998</v>
      </c>
      <c r="E52" s="623"/>
      <c r="F52" s="678">
        <v>4679004428.5100002</v>
      </c>
      <c r="G52" s="623"/>
      <c r="H52" s="863" t="s">
        <v>712</v>
      </c>
      <c r="I52" s="863"/>
      <c r="J52" s="658" t="s">
        <v>198</v>
      </c>
      <c r="K52" s="678">
        <v>4926346675.9099998</v>
      </c>
      <c r="L52" s="623"/>
      <c r="M52" s="678">
        <v>4679004428.5100002</v>
      </c>
    </row>
    <row r="53" spans="1:13" ht="15.75" customHeight="1" thickTop="1" x14ac:dyDescent="0.25">
      <c r="A53" s="623"/>
      <c r="B53" s="623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</row>
    <row r="54" spans="1:13" x14ac:dyDescent="0.25">
      <c r="A54" s="623"/>
      <c r="B54" s="623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67" t="s">
        <v>661</v>
      </c>
    </row>
    <row r="55" spans="1:13" x14ac:dyDescent="0.25">
      <c r="I55" s="107" t="s">
        <v>295</v>
      </c>
      <c r="J55" s="114" t="s">
        <v>198</v>
      </c>
      <c r="K55" s="116">
        <v>564050995.40999997</v>
      </c>
      <c r="M55" s="116">
        <v>552611188.97000003</v>
      </c>
    </row>
    <row r="57" spans="1:13" ht="16.5" thickBot="1" x14ac:dyDescent="0.3">
      <c r="B57" s="119" t="s">
        <v>296</v>
      </c>
      <c r="C57" s="130" t="s">
        <v>198</v>
      </c>
      <c r="D57" s="118">
        <v>3536004398.5999999</v>
      </c>
      <c r="F57" s="118">
        <v>2893557227.6399999</v>
      </c>
      <c r="I57" s="107" t="s">
        <v>297</v>
      </c>
      <c r="J57" s="114" t="s">
        <v>198</v>
      </c>
      <c r="K57" s="118">
        <v>3536004398.5999999</v>
      </c>
      <c r="M57" s="118">
        <v>2893557227.6399999</v>
      </c>
    </row>
    <row r="58" spans="1:13" ht="16.5" thickTop="1" x14ac:dyDescent="0.25"/>
  </sheetData>
  <mergeCells count="6">
    <mergeCell ref="A1:M1"/>
    <mergeCell ref="A52:B52"/>
    <mergeCell ref="A6:B6"/>
    <mergeCell ref="G6:I6"/>
    <mergeCell ref="H52:I52"/>
    <mergeCell ref="A2:M2"/>
  </mergeCells>
  <printOptions horizontalCentered="1"/>
  <pageMargins left="0" right="0" top="0.75" bottom="0.7" header="0" footer="0.55000000000000004"/>
  <pageSetup scale="57" orientation="landscape" horizontalDpi="4294967292" verticalDpi="300" r:id="rId1"/>
  <headerFooter alignWithMargins="0">
    <oddFooter>&amp;C&amp;"Times New Roman,Bold"5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8"/>
  <sheetViews>
    <sheetView showGridLines="0" zoomScale="75" workbookViewId="0">
      <selection activeCell="C33" sqref="C33"/>
    </sheetView>
  </sheetViews>
  <sheetFormatPr defaultColWidth="10.28515625" defaultRowHeight="15.75" customHeight="1" x14ac:dyDescent="0.25"/>
  <cols>
    <col min="1" max="1" width="48.7109375" style="477" customWidth="1"/>
    <col min="2" max="2" width="6.42578125" style="477" customWidth="1"/>
    <col min="3" max="3" width="19" style="92" customWidth="1"/>
    <col min="4" max="4" width="9.85546875" style="92" customWidth="1"/>
    <col min="5" max="5" width="21.5703125" style="92" customWidth="1"/>
    <col min="6" max="6" width="9.85546875" style="92" customWidth="1"/>
    <col min="7" max="7" width="19" style="92" customWidth="1"/>
    <col min="8" max="8" width="6.42578125" style="92" customWidth="1"/>
    <col min="9" max="9" width="14.42578125" style="92" customWidth="1"/>
    <col min="10" max="10" width="10.28515625" style="477" hidden="1" customWidth="1"/>
    <col min="11" max="16384" width="10.28515625" style="477"/>
  </cols>
  <sheetData>
    <row r="1" spans="1:10" ht="15.75" customHeight="1" x14ac:dyDescent="0.25">
      <c r="A1" s="639" t="s">
        <v>21</v>
      </c>
      <c r="B1" s="639"/>
      <c r="C1" s="639"/>
      <c r="D1" s="639"/>
      <c r="E1" s="639"/>
      <c r="F1" s="639"/>
      <c r="G1" s="639"/>
      <c r="H1" s="639"/>
      <c r="I1" s="639"/>
      <c r="J1" s="639"/>
    </row>
    <row r="2" spans="1:10" ht="15.75" customHeight="1" x14ac:dyDescent="0.25">
      <c r="A2" s="638" t="s">
        <v>190</v>
      </c>
      <c r="B2" s="638"/>
      <c r="C2" s="638"/>
      <c r="D2" s="638"/>
      <c r="E2" s="638"/>
      <c r="F2" s="638"/>
      <c r="G2" s="638"/>
      <c r="H2" s="638"/>
      <c r="I2" s="638"/>
      <c r="J2" s="638"/>
    </row>
    <row r="3" spans="1:10" s="480" customFormat="1" ht="15.75" customHeight="1" x14ac:dyDescent="0.25">
      <c r="A3" s="643" t="s">
        <v>626</v>
      </c>
      <c r="B3" s="644"/>
      <c r="C3" s="637"/>
      <c r="D3" s="637"/>
      <c r="E3" s="637"/>
      <c r="F3" s="637"/>
      <c r="G3" s="637"/>
      <c r="H3" s="637"/>
      <c r="I3" s="637"/>
      <c r="J3" s="642"/>
    </row>
    <row r="6" spans="1:10" ht="15.75" customHeight="1" x14ac:dyDescent="0.25">
      <c r="A6" s="626"/>
      <c r="B6" s="623"/>
      <c r="C6" s="627" t="s">
        <v>191</v>
      </c>
      <c r="D6" s="628"/>
      <c r="E6" s="628"/>
      <c r="F6" s="628"/>
      <c r="G6" s="628"/>
      <c r="H6" s="628"/>
      <c r="I6" s="628"/>
      <c r="J6" s="623"/>
    </row>
    <row r="8" spans="1:10" ht="15.75" customHeight="1" x14ac:dyDescent="0.25">
      <c r="A8" s="623"/>
      <c r="B8" s="623"/>
      <c r="C8" s="650" t="s">
        <v>192</v>
      </c>
      <c r="D8" s="629"/>
      <c r="E8" s="650" t="s">
        <v>193</v>
      </c>
      <c r="F8" s="629"/>
      <c r="G8" s="630" t="s">
        <v>194</v>
      </c>
      <c r="H8" s="631"/>
      <c r="I8" s="625"/>
      <c r="J8" s="623"/>
    </row>
    <row r="9" spans="1:10" ht="15.75" customHeight="1" x14ac:dyDescent="0.25">
      <c r="A9" s="623"/>
      <c r="B9" s="623"/>
      <c r="C9" s="647" t="s">
        <v>195</v>
      </c>
      <c r="D9" s="629"/>
      <c r="E9" s="647" t="s">
        <v>195</v>
      </c>
      <c r="F9" s="629"/>
      <c r="G9" s="647" t="s">
        <v>195</v>
      </c>
      <c r="H9" s="629"/>
      <c r="I9" s="632" t="s">
        <v>196</v>
      </c>
      <c r="J9" s="623"/>
    </row>
    <row r="11" spans="1:10" ht="15.75" customHeight="1" x14ac:dyDescent="0.25">
      <c r="A11" s="623" t="s">
        <v>197</v>
      </c>
      <c r="B11" s="633" t="s">
        <v>198</v>
      </c>
      <c r="C11" s="635">
        <v>1356658233.8699999</v>
      </c>
      <c r="D11" s="635"/>
      <c r="E11" s="635">
        <v>1404042053.25</v>
      </c>
      <c r="F11" s="635"/>
      <c r="G11" s="635">
        <v>-47383819.380000114</v>
      </c>
      <c r="H11" s="635"/>
      <c r="I11" s="651">
        <v>-3.3748</v>
      </c>
      <c r="J11" s="623"/>
    </row>
    <row r="12" spans="1:10" ht="15.75" customHeight="1" x14ac:dyDescent="0.25">
      <c r="A12" s="623" t="s">
        <v>627</v>
      </c>
      <c r="B12" s="633" t="s">
        <v>198</v>
      </c>
      <c r="C12" s="634">
        <v>-469230.79</v>
      </c>
      <c r="D12" s="623"/>
      <c r="E12" s="634">
        <v>0</v>
      </c>
      <c r="F12" s="623"/>
      <c r="G12" s="634">
        <v>-469230.79</v>
      </c>
      <c r="H12" s="623"/>
      <c r="I12" s="648">
        <v>-100</v>
      </c>
      <c r="J12" s="623"/>
    </row>
    <row r="13" spans="1:10" ht="15.75" customHeight="1" x14ac:dyDescent="0.25">
      <c r="A13" s="623"/>
      <c r="B13" s="633" t="s">
        <v>198</v>
      </c>
      <c r="C13" s="623"/>
      <c r="D13" s="623"/>
      <c r="E13" s="623"/>
      <c r="F13" s="623"/>
      <c r="G13" s="623"/>
      <c r="H13" s="623"/>
      <c r="I13" s="641"/>
      <c r="J13" s="623"/>
    </row>
    <row r="14" spans="1:10" ht="15.75" customHeight="1" x14ac:dyDescent="0.25">
      <c r="A14" s="623" t="s">
        <v>200</v>
      </c>
      <c r="B14" s="633" t="s">
        <v>198</v>
      </c>
      <c r="C14" s="634">
        <v>1356189003.0799999</v>
      </c>
      <c r="D14" s="623"/>
      <c r="E14" s="634">
        <v>1404042053.25</v>
      </c>
      <c r="F14" s="623"/>
      <c r="G14" s="634">
        <v>-47853050.170000076</v>
      </c>
      <c r="H14" s="623"/>
      <c r="I14" s="648">
        <v>-3.4081999999999999</v>
      </c>
      <c r="J14" s="623"/>
    </row>
    <row r="15" spans="1:10" ht="15.75" customHeight="1" x14ac:dyDescent="0.25">
      <c r="A15" s="860" t="s">
        <v>198</v>
      </c>
      <c r="B15" s="860"/>
      <c r="C15" s="860"/>
      <c r="D15" s="860"/>
      <c r="E15" s="860"/>
      <c r="F15" s="860"/>
      <c r="G15" s="860"/>
      <c r="H15" s="860"/>
      <c r="I15" s="860"/>
      <c r="J15" s="860"/>
    </row>
    <row r="16" spans="1:10" ht="15.75" customHeight="1" x14ac:dyDescent="0.25">
      <c r="A16" s="623" t="s">
        <v>583</v>
      </c>
      <c r="B16" s="633" t="s">
        <v>198</v>
      </c>
      <c r="C16" s="645">
        <v>433697313.94999999</v>
      </c>
      <c r="D16" s="623"/>
      <c r="E16" s="624">
        <v>512399470.74000001</v>
      </c>
      <c r="F16" s="623"/>
      <c r="G16" s="624">
        <v>-78702156.790000021</v>
      </c>
      <c r="H16" s="623"/>
      <c r="I16" s="645">
        <v>-15.359500000000001</v>
      </c>
      <c r="J16" s="623"/>
    </row>
    <row r="17" spans="1:10" ht="15.75" customHeight="1" x14ac:dyDescent="0.25">
      <c r="A17" s="623" t="s">
        <v>202</v>
      </c>
      <c r="B17" s="633" t="s">
        <v>198</v>
      </c>
      <c r="C17" s="645">
        <v>198813398.72999999</v>
      </c>
      <c r="D17" s="623"/>
      <c r="E17" s="624">
        <v>221176768.30000001</v>
      </c>
      <c r="F17" s="623"/>
      <c r="G17" s="624">
        <v>-22363369.570000023</v>
      </c>
      <c r="H17" s="623"/>
      <c r="I17" s="645">
        <v>-10.1111</v>
      </c>
      <c r="J17" s="623"/>
    </row>
    <row r="18" spans="1:10" ht="15.75" customHeight="1" x14ac:dyDescent="0.25">
      <c r="A18" s="623" t="s">
        <v>203</v>
      </c>
      <c r="B18" s="633" t="s">
        <v>198</v>
      </c>
      <c r="C18" s="645">
        <v>196300641.83000001</v>
      </c>
      <c r="D18" s="623"/>
      <c r="E18" s="624">
        <v>166912227.63999999</v>
      </c>
      <c r="F18" s="623"/>
      <c r="G18" s="624">
        <v>29388414.190000027</v>
      </c>
      <c r="H18" s="623"/>
      <c r="I18" s="645">
        <v>17.607099999999999</v>
      </c>
      <c r="J18" s="623"/>
    </row>
    <row r="19" spans="1:10" ht="15.75" customHeight="1" x14ac:dyDescent="0.25">
      <c r="A19" s="623" t="s">
        <v>204</v>
      </c>
      <c r="B19" s="633" t="s">
        <v>198</v>
      </c>
      <c r="C19" s="645">
        <v>103274107.56</v>
      </c>
      <c r="D19" s="623"/>
      <c r="E19" s="624">
        <v>88778792.480000004</v>
      </c>
      <c r="F19" s="623"/>
      <c r="G19" s="624">
        <v>14495315.079999998</v>
      </c>
      <c r="H19" s="623"/>
      <c r="I19" s="645">
        <v>16.327500000000001</v>
      </c>
      <c r="J19" s="623"/>
    </row>
    <row r="20" spans="1:10" ht="15.75" customHeight="1" x14ac:dyDescent="0.25">
      <c r="A20" s="623" t="s">
        <v>205</v>
      </c>
      <c r="B20" s="633" t="s">
        <v>198</v>
      </c>
      <c r="C20" s="645">
        <v>127553738.27</v>
      </c>
      <c r="D20" s="623"/>
      <c r="E20" s="624">
        <v>131115009.09</v>
      </c>
      <c r="F20" s="623"/>
      <c r="G20" s="624">
        <v>-3561270.8200000077</v>
      </c>
      <c r="H20" s="623"/>
      <c r="I20" s="645">
        <v>-2.7161</v>
      </c>
      <c r="J20" s="623"/>
    </row>
    <row r="21" spans="1:10" ht="15.75" customHeight="1" x14ac:dyDescent="0.25">
      <c r="A21" s="623" t="s">
        <v>206</v>
      </c>
      <c r="B21" s="633" t="s">
        <v>198</v>
      </c>
      <c r="C21" s="645">
        <v>6066868.1299999999</v>
      </c>
      <c r="D21" s="623"/>
      <c r="E21" s="624">
        <v>5229655.8499999996</v>
      </c>
      <c r="F21" s="623"/>
      <c r="G21" s="624">
        <v>837212.28000000026</v>
      </c>
      <c r="H21" s="623"/>
      <c r="I21" s="645">
        <v>16.008900000000001</v>
      </c>
      <c r="J21" s="623"/>
    </row>
    <row r="22" spans="1:10" ht="15.75" customHeight="1" x14ac:dyDescent="0.25">
      <c r="A22" s="623" t="s">
        <v>207</v>
      </c>
      <c r="B22" s="633" t="s">
        <v>198</v>
      </c>
      <c r="C22" s="645">
        <v>-2405939.64</v>
      </c>
      <c r="D22" s="623"/>
      <c r="E22" s="624">
        <v>-2276548.71</v>
      </c>
      <c r="F22" s="623"/>
      <c r="G22" s="624">
        <v>-129390.93000000017</v>
      </c>
      <c r="H22" s="623"/>
      <c r="I22" s="645">
        <v>-5.6836000000000002</v>
      </c>
      <c r="J22" s="623"/>
    </row>
    <row r="23" spans="1:10" ht="15.75" customHeight="1" x14ac:dyDescent="0.25">
      <c r="A23" s="623" t="s">
        <v>208</v>
      </c>
      <c r="B23" s="633" t="s">
        <v>198</v>
      </c>
      <c r="C23" s="645"/>
      <c r="D23" s="623"/>
      <c r="E23" s="623"/>
      <c r="F23" s="623"/>
      <c r="G23" s="623"/>
      <c r="H23" s="623"/>
      <c r="I23" s="645"/>
      <c r="J23" s="623"/>
    </row>
    <row r="24" spans="1:10" ht="15.75" customHeight="1" x14ac:dyDescent="0.25">
      <c r="A24" s="623" t="s">
        <v>209</v>
      </c>
      <c r="B24" s="633" t="s">
        <v>198</v>
      </c>
      <c r="C24" s="645">
        <v>-4766355.2300000004</v>
      </c>
      <c r="D24" s="623"/>
      <c r="E24" s="624">
        <v>43184628.810000002</v>
      </c>
      <c r="F24" s="623"/>
      <c r="G24" s="624">
        <v>-47950984.040000007</v>
      </c>
      <c r="H24" s="623"/>
      <c r="I24" s="645">
        <v>-111.0372</v>
      </c>
      <c r="J24" s="623"/>
    </row>
    <row r="25" spans="1:10" ht="15.75" customHeight="1" x14ac:dyDescent="0.25">
      <c r="A25" s="623" t="s">
        <v>210</v>
      </c>
      <c r="B25" s="633" t="s">
        <v>198</v>
      </c>
      <c r="C25" s="645">
        <v>1631507.14</v>
      </c>
      <c r="D25" s="623"/>
      <c r="E25" s="624">
        <v>10053733.93</v>
      </c>
      <c r="F25" s="623"/>
      <c r="G25" s="624">
        <v>-8422226.7899999991</v>
      </c>
      <c r="H25" s="623"/>
      <c r="I25" s="645">
        <v>-83.772099999999995</v>
      </c>
      <c r="J25" s="623"/>
    </row>
    <row r="26" spans="1:10" ht="15.75" customHeight="1" x14ac:dyDescent="0.25">
      <c r="A26" s="623" t="s">
        <v>211</v>
      </c>
      <c r="B26" s="633" t="s">
        <v>198</v>
      </c>
      <c r="C26" s="645">
        <v>45372009.899999999</v>
      </c>
      <c r="D26" s="623"/>
      <c r="E26" s="624">
        <v>-10193508.02</v>
      </c>
      <c r="F26" s="623"/>
      <c r="G26" s="624">
        <v>55565517.920000002</v>
      </c>
      <c r="H26" s="623"/>
      <c r="I26" s="645">
        <v>545.1069</v>
      </c>
      <c r="J26" s="623"/>
    </row>
    <row r="27" spans="1:10" ht="15.75" customHeight="1" x14ac:dyDescent="0.25">
      <c r="A27" s="623" t="s">
        <v>212</v>
      </c>
      <c r="B27" s="633" t="s">
        <v>198</v>
      </c>
      <c r="C27" s="645">
        <v>7902649.6299999999</v>
      </c>
      <c r="D27" s="623"/>
      <c r="E27" s="624">
        <v>-3158868.86</v>
      </c>
      <c r="F27" s="623"/>
      <c r="G27" s="624">
        <v>11061518.49</v>
      </c>
      <c r="H27" s="623"/>
      <c r="I27" s="645">
        <v>350.17340000000002</v>
      </c>
      <c r="J27" s="623"/>
    </row>
    <row r="28" spans="1:10" ht="15.75" customHeight="1" x14ac:dyDescent="0.25">
      <c r="A28" s="623" t="s">
        <v>213</v>
      </c>
      <c r="B28" s="633" t="s">
        <v>198</v>
      </c>
      <c r="C28" s="651">
        <v>20956612.82</v>
      </c>
      <c r="D28" s="635"/>
      <c r="E28" s="624">
        <v>20661094.32</v>
      </c>
      <c r="F28" s="635"/>
      <c r="G28" s="635">
        <v>295518.5</v>
      </c>
      <c r="H28" s="635"/>
      <c r="I28" s="645">
        <v>1.4302999999999999</v>
      </c>
      <c r="J28" s="626"/>
    </row>
    <row r="29" spans="1:10" ht="15.75" customHeight="1" x14ac:dyDescent="0.25">
      <c r="A29" s="623" t="s">
        <v>214</v>
      </c>
      <c r="B29" s="633" t="s">
        <v>198</v>
      </c>
      <c r="C29" s="651">
        <v>21416455.030000001</v>
      </c>
      <c r="D29" s="635"/>
      <c r="E29" s="624">
        <v>25266897.969999999</v>
      </c>
      <c r="F29" s="635"/>
      <c r="G29" s="635">
        <v>-3850442.9399999976</v>
      </c>
      <c r="H29" s="635"/>
      <c r="I29" s="645">
        <v>-15.239100000000001</v>
      </c>
      <c r="J29" s="626" t="s">
        <v>215</v>
      </c>
    </row>
    <row r="30" spans="1:10" ht="15.75" customHeight="1" x14ac:dyDescent="0.25">
      <c r="A30" s="623" t="s">
        <v>216</v>
      </c>
      <c r="B30" s="633" t="s">
        <v>198</v>
      </c>
      <c r="C30" s="651">
        <v>-84707.76</v>
      </c>
      <c r="D30" s="635"/>
      <c r="E30" s="624">
        <v>-583106.55000000005</v>
      </c>
      <c r="F30" s="635"/>
      <c r="G30" s="635">
        <v>498398.79000000004</v>
      </c>
      <c r="H30" s="635"/>
      <c r="I30" s="645">
        <v>85.472999999999999</v>
      </c>
      <c r="J30" s="623"/>
    </row>
    <row r="31" spans="1:10" ht="15.75" customHeight="1" x14ac:dyDescent="0.25">
      <c r="A31" s="623" t="s">
        <v>217</v>
      </c>
      <c r="B31" s="633" t="s">
        <v>198</v>
      </c>
      <c r="C31" s="648">
        <v>2106194.69</v>
      </c>
      <c r="D31" s="635"/>
      <c r="E31" s="634">
        <v>1981575.36</v>
      </c>
      <c r="F31" s="635"/>
      <c r="G31" s="634">
        <v>124619.32999999984</v>
      </c>
      <c r="H31" s="635"/>
      <c r="I31" s="648">
        <v>6.2888999999999999</v>
      </c>
      <c r="J31" s="623"/>
    </row>
    <row r="32" spans="1:10" ht="15.75" customHeight="1" x14ac:dyDescent="0.25">
      <c r="A32" s="623"/>
      <c r="B32" s="633" t="s">
        <v>198</v>
      </c>
      <c r="C32" s="623"/>
      <c r="D32" s="623"/>
      <c r="E32" s="623"/>
      <c r="F32" s="623"/>
      <c r="G32" s="623"/>
      <c r="H32" s="623"/>
      <c r="I32" s="641"/>
      <c r="J32" s="623"/>
    </row>
    <row r="33" spans="1:9" ht="15.75" customHeight="1" x14ac:dyDescent="0.25">
      <c r="A33" s="623" t="s">
        <v>218</v>
      </c>
      <c r="B33" s="633" t="s">
        <v>198</v>
      </c>
      <c r="C33" s="634">
        <v>1157834495.05</v>
      </c>
      <c r="D33" s="623"/>
      <c r="E33" s="634">
        <v>1210547822.3499999</v>
      </c>
      <c r="F33" s="623"/>
      <c r="G33" s="634">
        <v>-52713327.299999952</v>
      </c>
      <c r="H33" s="623"/>
      <c r="I33" s="648">
        <v>-4.3544999999999998</v>
      </c>
    </row>
    <row r="34" spans="1:9" ht="15.75" customHeight="1" x14ac:dyDescent="0.25">
      <c r="A34" s="623"/>
      <c r="B34" s="633" t="s">
        <v>198</v>
      </c>
      <c r="C34" s="623"/>
      <c r="D34" s="623"/>
      <c r="E34" s="623"/>
      <c r="F34" s="623"/>
      <c r="G34" s="623"/>
      <c r="H34" s="623"/>
      <c r="I34" s="641"/>
    </row>
    <row r="35" spans="1:9" ht="15.75" customHeight="1" x14ac:dyDescent="0.25">
      <c r="A35" s="623" t="s">
        <v>219</v>
      </c>
      <c r="B35" s="633" t="s">
        <v>198</v>
      </c>
      <c r="C35" s="103">
        <v>198354508.02999997</v>
      </c>
      <c r="D35" s="623"/>
      <c r="E35" s="624">
        <v>193494230.9000001</v>
      </c>
      <c r="F35" s="623"/>
      <c r="G35" s="624">
        <v>4860277.129999876</v>
      </c>
      <c r="H35" s="623"/>
      <c r="I35" s="645">
        <v>2.5118</v>
      </c>
    </row>
    <row r="36" spans="1:9" ht="15.6" customHeight="1" x14ac:dyDescent="0.25">
      <c r="A36" s="623"/>
      <c r="B36" s="633"/>
      <c r="C36" s="623"/>
      <c r="D36" s="623"/>
      <c r="E36" s="623"/>
      <c r="F36" s="623"/>
      <c r="G36" s="623"/>
      <c r="H36" s="623"/>
      <c r="I36" s="645"/>
    </row>
    <row r="37" spans="1:9" ht="15.75" customHeight="1" x14ac:dyDescent="0.25">
      <c r="A37" s="623" t="s">
        <v>220</v>
      </c>
      <c r="B37" s="633" t="s">
        <v>198</v>
      </c>
      <c r="C37" s="623"/>
      <c r="D37" s="623"/>
      <c r="E37" s="623"/>
      <c r="F37" s="623"/>
      <c r="G37" s="623"/>
      <c r="H37" s="623"/>
      <c r="I37" s="640"/>
    </row>
    <row r="38" spans="1:9" ht="15.75" customHeight="1" x14ac:dyDescent="0.25">
      <c r="A38" s="623" t="s">
        <v>221</v>
      </c>
      <c r="B38" s="633" t="s">
        <v>198</v>
      </c>
      <c r="C38" s="624">
        <v>6133131.9900000002</v>
      </c>
      <c r="D38" s="623"/>
      <c r="E38" s="624">
        <v>29381189.969999999</v>
      </c>
      <c r="F38" s="623"/>
      <c r="G38" s="645">
        <v>-23248057.979999997</v>
      </c>
      <c r="H38" s="623"/>
      <c r="I38" s="645">
        <v>-79.125699999999995</v>
      </c>
    </row>
    <row r="39" spans="1:9" ht="15.75" customHeight="1" x14ac:dyDescent="0.25">
      <c r="A39" s="623" t="s">
        <v>222</v>
      </c>
      <c r="B39" s="633" t="s">
        <v>198</v>
      </c>
      <c r="C39" s="634">
        <v>3905897.01</v>
      </c>
      <c r="D39" s="623"/>
      <c r="E39" s="634">
        <v>6040968.5599999996</v>
      </c>
      <c r="F39" s="623"/>
      <c r="G39" s="648">
        <v>-2135071.5499999998</v>
      </c>
      <c r="H39" s="623"/>
      <c r="I39" s="648">
        <v>-35.343200000000003</v>
      </c>
    </row>
    <row r="40" spans="1:9" ht="15.75" customHeight="1" x14ac:dyDescent="0.25">
      <c r="A40" s="623"/>
      <c r="B40" s="633" t="s">
        <v>198</v>
      </c>
      <c r="C40" s="623"/>
      <c r="D40" s="623"/>
      <c r="E40" s="623"/>
      <c r="F40" s="623"/>
      <c r="G40" s="623"/>
      <c r="H40" s="623"/>
      <c r="I40" s="641"/>
    </row>
    <row r="41" spans="1:9" ht="15.75" customHeight="1" x14ac:dyDescent="0.25">
      <c r="A41" s="623" t="s">
        <v>223</v>
      </c>
      <c r="B41" s="633" t="s">
        <v>198</v>
      </c>
      <c r="C41" s="634">
        <v>10039029</v>
      </c>
      <c r="D41" s="623"/>
      <c r="E41" s="634">
        <v>35422158.530000001</v>
      </c>
      <c r="F41" s="623"/>
      <c r="G41" s="634">
        <v>-25383129.530000001</v>
      </c>
      <c r="H41" s="623"/>
      <c r="I41" s="648">
        <v>-71.658900000000003</v>
      </c>
    </row>
    <row r="42" spans="1:9" ht="15.75" customHeight="1" x14ac:dyDescent="0.25">
      <c r="A42" s="623"/>
      <c r="B42" s="633" t="s">
        <v>198</v>
      </c>
      <c r="C42" s="623"/>
      <c r="D42" s="623"/>
      <c r="E42" s="623"/>
      <c r="F42" s="623"/>
      <c r="G42" s="623"/>
      <c r="H42" s="623"/>
      <c r="I42" s="641"/>
    </row>
    <row r="43" spans="1:9" ht="15.75" customHeight="1" x14ac:dyDescent="0.25">
      <c r="A43" s="623" t="s">
        <v>224</v>
      </c>
      <c r="B43" s="633" t="s">
        <v>198</v>
      </c>
      <c r="C43" s="634">
        <v>208393537.02999997</v>
      </c>
      <c r="D43" s="623"/>
      <c r="E43" s="634">
        <v>228916389.4300001</v>
      </c>
      <c r="F43" s="623"/>
      <c r="G43" s="634">
        <v>-20522852.400000125</v>
      </c>
      <c r="H43" s="623"/>
      <c r="I43" s="648">
        <v>-8.9651999999999994</v>
      </c>
    </row>
    <row r="44" spans="1:9" ht="15.75" customHeight="1" x14ac:dyDescent="0.25">
      <c r="A44" s="623"/>
      <c r="B44" s="633" t="s">
        <v>198</v>
      </c>
      <c r="C44" s="623"/>
      <c r="D44" s="623"/>
      <c r="E44" s="623"/>
      <c r="F44" s="623"/>
      <c r="G44" s="623"/>
      <c r="H44" s="623"/>
      <c r="I44" s="641"/>
    </row>
    <row r="45" spans="1:9" ht="15.75" customHeight="1" x14ac:dyDescent="0.25">
      <c r="A45" s="623" t="s">
        <v>225</v>
      </c>
      <c r="B45" s="633" t="s">
        <v>198</v>
      </c>
      <c r="C45" s="624">
        <v>72299974.870000005</v>
      </c>
      <c r="D45" s="623"/>
      <c r="E45" s="624">
        <v>68330555.219999999</v>
      </c>
      <c r="F45" s="623"/>
      <c r="G45" s="624">
        <v>3969419.650000006</v>
      </c>
      <c r="H45" s="623"/>
      <c r="I45" s="645">
        <v>5.8090999999999999</v>
      </c>
    </row>
    <row r="46" spans="1:9" ht="15.75" customHeight="1" x14ac:dyDescent="0.25">
      <c r="A46" s="623" t="s">
        <v>226</v>
      </c>
      <c r="B46" s="633" t="s">
        <v>198</v>
      </c>
      <c r="C46" s="624">
        <v>815138.34</v>
      </c>
      <c r="D46" s="623"/>
      <c r="E46" s="624">
        <v>743570.52</v>
      </c>
      <c r="F46" s="623"/>
      <c r="G46" s="624">
        <v>71567.819999999949</v>
      </c>
      <c r="H46" s="623"/>
      <c r="I46" s="645">
        <v>9.6249000000000002</v>
      </c>
    </row>
    <row r="47" spans="1:9" ht="15.75" customHeight="1" x14ac:dyDescent="0.25">
      <c r="A47" s="623" t="s">
        <v>227</v>
      </c>
      <c r="B47" s="633" t="s">
        <v>198</v>
      </c>
      <c r="C47" s="624">
        <v>3328985.33</v>
      </c>
      <c r="D47" s="623"/>
      <c r="E47" s="624">
        <v>4625165.34</v>
      </c>
      <c r="F47" s="623"/>
      <c r="G47" s="624">
        <v>-1296180.0099999998</v>
      </c>
      <c r="H47" s="623"/>
      <c r="I47" s="645">
        <v>-28.0245</v>
      </c>
    </row>
    <row r="48" spans="1:9" ht="15.75" customHeight="1" x14ac:dyDescent="0.25">
      <c r="A48" s="623" t="s">
        <v>228</v>
      </c>
      <c r="B48" s="633" t="s">
        <v>198</v>
      </c>
      <c r="C48" s="634">
        <v>-1377516.64</v>
      </c>
      <c r="D48" s="623"/>
      <c r="E48" s="634">
        <v>-2048468.41</v>
      </c>
      <c r="F48" s="623"/>
      <c r="G48" s="634">
        <v>670951.77</v>
      </c>
      <c r="H48" s="623"/>
      <c r="I48" s="646">
        <v>32.753799999999998</v>
      </c>
    </row>
    <row r="49" spans="1:9" ht="15.75" customHeight="1" x14ac:dyDescent="0.25">
      <c r="A49" s="623"/>
      <c r="B49" s="633" t="s">
        <v>198</v>
      </c>
      <c r="C49" s="623"/>
      <c r="D49" s="623"/>
      <c r="E49" s="623"/>
      <c r="F49" s="623"/>
      <c r="G49" s="623"/>
      <c r="H49" s="623"/>
      <c r="I49" s="641"/>
    </row>
    <row r="50" spans="1:9" ht="15.75" customHeight="1" x14ac:dyDescent="0.25">
      <c r="A50" s="623" t="s">
        <v>229</v>
      </c>
      <c r="B50" s="633" t="s">
        <v>198</v>
      </c>
      <c r="C50" s="634">
        <v>75066581.900000006</v>
      </c>
      <c r="D50" s="623"/>
      <c r="E50" s="634">
        <v>71650822.670000002</v>
      </c>
      <c r="F50" s="623"/>
      <c r="G50" s="634">
        <v>3415759.2300000042</v>
      </c>
      <c r="H50" s="623"/>
      <c r="I50" s="648">
        <v>4.7671999999999999</v>
      </c>
    </row>
    <row r="51" spans="1:9" ht="15.75" customHeight="1" x14ac:dyDescent="0.25">
      <c r="A51" s="623"/>
      <c r="B51" s="633"/>
      <c r="C51" s="623"/>
      <c r="D51" s="623"/>
      <c r="E51" s="623"/>
      <c r="F51" s="623"/>
      <c r="G51" s="623"/>
      <c r="H51" s="623"/>
      <c r="I51" s="641"/>
    </row>
    <row r="52" spans="1:9" ht="15.75" customHeight="1" thickBot="1" x14ac:dyDescent="0.3">
      <c r="A52" s="623" t="s">
        <v>232</v>
      </c>
      <c r="B52" s="633" t="s">
        <v>198</v>
      </c>
      <c r="C52" s="636">
        <v>133326955.12999997</v>
      </c>
      <c r="D52" s="623"/>
      <c r="E52" s="636">
        <v>157265566.76000011</v>
      </c>
      <c r="F52" s="623"/>
      <c r="G52" s="636">
        <v>-23938611.630000144</v>
      </c>
      <c r="H52" s="623"/>
      <c r="I52" s="649">
        <v>-15.2218</v>
      </c>
    </row>
    <row r="53" spans="1:9" ht="15.75" customHeight="1" thickTop="1" x14ac:dyDescent="0.25">
      <c r="A53" s="623"/>
      <c r="B53" s="623" t="s">
        <v>198</v>
      </c>
      <c r="C53" s="623"/>
      <c r="D53" s="623"/>
      <c r="E53" s="623"/>
      <c r="F53" s="623"/>
      <c r="G53" s="623"/>
      <c r="H53" s="623"/>
      <c r="I53" s="645"/>
    </row>
    <row r="54" spans="1:9" ht="15.75" customHeight="1" x14ac:dyDescent="0.25">
      <c r="A54" s="623"/>
      <c r="B54" s="623" t="s">
        <v>198</v>
      </c>
      <c r="C54" s="623"/>
      <c r="D54" s="623"/>
      <c r="E54" s="623"/>
      <c r="F54" s="623"/>
      <c r="G54" s="623"/>
      <c r="H54" s="623"/>
      <c r="I54" s="640" t="s">
        <v>628</v>
      </c>
    </row>
    <row r="55" spans="1:9" ht="15.75" customHeight="1" x14ac:dyDescent="0.25">
      <c r="A55" s="623"/>
      <c r="B55" s="623" t="s">
        <v>198</v>
      </c>
      <c r="C55" s="623"/>
      <c r="D55" s="623"/>
      <c r="E55" s="623"/>
      <c r="F55" s="623"/>
      <c r="G55" s="623"/>
      <c r="H55" s="623"/>
      <c r="I55" s="645"/>
    </row>
    <row r="56" spans="1:9" ht="15.75" customHeight="1" x14ac:dyDescent="0.25">
      <c r="A56" s="623"/>
      <c r="B56" s="623" t="s">
        <v>198</v>
      </c>
      <c r="C56" s="623"/>
      <c r="D56" s="623"/>
      <c r="E56" s="623"/>
      <c r="F56" s="623"/>
      <c r="G56" s="623"/>
      <c r="H56" s="623"/>
      <c r="I56" s="645"/>
    </row>
    <row r="57" spans="1:9" ht="15.75" customHeight="1" x14ac:dyDescent="0.25">
      <c r="A57" s="623"/>
      <c r="B57" s="623" t="s">
        <v>198</v>
      </c>
      <c r="C57" s="623"/>
      <c r="D57" s="623"/>
      <c r="E57" s="623"/>
      <c r="F57" s="623"/>
      <c r="G57" s="623"/>
      <c r="H57" s="623"/>
      <c r="I57" s="623"/>
    </row>
    <row r="58" spans="1:9" ht="15.75" customHeight="1" x14ac:dyDescent="0.25">
      <c r="A58" s="623"/>
      <c r="B58" s="623" t="s">
        <v>198</v>
      </c>
      <c r="C58" s="623"/>
      <c r="D58" s="623"/>
      <c r="E58" s="623"/>
      <c r="F58" s="623"/>
      <c r="G58" s="623"/>
      <c r="H58" s="623"/>
      <c r="I58" s="623"/>
    </row>
  </sheetData>
  <mergeCells count="1">
    <mergeCell ref="A15:J15"/>
  </mergeCells>
  <printOptions horizontalCentered="1"/>
  <pageMargins left="0" right="0" top="0.5" bottom="0.4" header="0" footer="0.28000000000000003"/>
  <pageSetup scale="67" orientation="landscape" horizontalDpi="4294967292" verticalDpi="300" r:id="rId1"/>
  <headerFooter alignWithMargins="0">
    <oddFooter>&amp;C&amp;"Times New Roman,Bold"&amp;A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55"/>
  <sheetViews>
    <sheetView showGridLines="0" zoomScale="75" workbookViewId="0">
      <selection activeCell="C33" sqref="C33"/>
    </sheetView>
  </sheetViews>
  <sheetFormatPr defaultColWidth="10.28515625" defaultRowHeight="15.75" x14ac:dyDescent="0.25"/>
  <cols>
    <col min="1" max="1" width="3" style="477" customWidth="1"/>
    <col min="2" max="2" width="49.85546875" style="477" customWidth="1"/>
    <col min="3" max="3" width="1.85546875" style="477" customWidth="1"/>
    <col min="4" max="4" width="20.140625" style="107" customWidth="1"/>
    <col min="5" max="5" width="4.140625" style="108" customWidth="1"/>
    <col min="6" max="6" width="21.28515625" style="107" customWidth="1"/>
    <col min="7" max="7" width="5.140625" style="107" customWidth="1"/>
    <col min="8" max="8" width="3" style="107" customWidth="1"/>
    <col min="9" max="9" width="49.85546875" style="107" customWidth="1"/>
    <col min="10" max="10" width="1.85546875" style="107" customWidth="1"/>
    <col min="11" max="11" width="21.28515625" style="107" customWidth="1"/>
    <col min="12" max="12" width="4.140625" style="108" customWidth="1"/>
    <col min="13" max="13" width="21.28515625" style="107" customWidth="1"/>
    <col min="14" max="15" width="10.28515625" style="107" customWidth="1"/>
    <col min="16" max="16384" width="10.28515625" style="477"/>
  </cols>
  <sheetData>
    <row r="1" spans="1:15" x14ac:dyDescent="0.25">
      <c r="A1" s="639" t="s">
        <v>21</v>
      </c>
      <c r="B1" s="652"/>
      <c r="C1" s="652"/>
      <c r="D1" s="659"/>
      <c r="E1" s="665"/>
      <c r="F1" s="659"/>
      <c r="G1" s="659"/>
      <c r="H1" s="659"/>
      <c r="I1" s="659"/>
      <c r="J1" s="659"/>
      <c r="K1" s="659"/>
      <c r="L1" s="665"/>
      <c r="M1" s="659"/>
      <c r="N1" s="623"/>
      <c r="O1" s="623"/>
    </row>
    <row r="2" spans="1:15" s="480" customFormat="1" x14ac:dyDescent="0.25">
      <c r="A2" s="638" t="s">
        <v>629</v>
      </c>
      <c r="B2" s="661"/>
      <c r="C2" s="661"/>
      <c r="D2" s="637"/>
      <c r="E2" s="630"/>
      <c r="F2" s="637"/>
      <c r="G2" s="637"/>
      <c r="H2" s="637"/>
      <c r="I2" s="637"/>
      <c r="J2" s="637"/>
      <c r="K2" s="637"/>
      <c r="L2" s="630"/>
      <c r="M2" s="637"/>
      <c r="N2" s="653"/>
      <c r="O2" s="653"/>
    </row>
    <row r="3" spans="1:15" s="480" customFormat="1" x14ac:dyDescent="0.25">
      <c r="A3" s="642"/>
      <c r="B3" s="642"/>
      <c r="C3" s="642"/>
      <c r="D3" s="653"/>
      <c r="E3" s="664"/>
      <c r="F3" s="653"/>
      <c r="G3" s="653"/>
      <c r="H3" s="653"/>
      <c r="I3" s="653"/>
      <c r="J3" s="653"/>
      <c r="K3" s="653"/>
      <c r="L3" s="664"/>
      <c r="M3" s="653"/>
      <c r="N3" s="653"/>
      <c r="O3" s="653"/>
    </row>
    <row r="6" spans="1:15" x14ac:dyDescent="0.25">
      <c r="A6" s="860" t="s">
        <v>233</v>
      </c>
      <c r="B6" s="861"/>
      <c r="C6" s="623"/>
      <c r="D6" s="655" t="s">
        <v>192</v>
      </c>
      <c r="E6" s="666"/>
      <c r="F6" s="655" t="s">
        <v>193</v>
      </c>
      <c r="G6" s="862" t="s">
        <v>234</v>
      </c>
      <c r="H6" s="861"/>
      <c r="I6" s="861"/>
      <c r="J6" s="623"/>
      <c r="K6" s="655" t="s">
        <v>192</v>
      </c>
      <c r="L6" s="666"/>
      <c r="M6" s="655" t="s">
        <v>193</v>
      </c>
      <c r="N6" s="623"/>
      <c r="O6" s="623"/>
    </row>
    <row r="8" spans="1:15" x14ac:dyDescent="0.25">
      <c r="A8" s="623" t="s">
        <v>235</v>
      </c>
      <c r="B8" s="623"/>
      <c r="C8" s="623"/>
      <c r="D8" s="623"/>
      <c r="E8" s="623"/>
      <c r="F8" s="623"/>
      <c r="G8" s="623"/>
      <c r="H8" s="654" t="s">
        <v>27</v>
      </c>
      <c r="I8" s="623"/>
      <c r="J8" s="623"/>
      <c r="K8" s="623"/>
      <c r="L8" s="623"/>
      <c r="M8" s="623"/>
      <c r="N8" s="623"/>
      <c r="O8" s="623"/>
    </row>
    <row r="9" spans="1:15" x14ac:dyDescent="0.25">
      <c r="A9" s="623"/>
      <c r="B9" s="623" t="s">
        <v>236</v>
      </c>
      <c r="C9" s="633" t="s">
        <v>198</v>
      </c>
      <c r="D9" s="113">
        <v>6149420917.21</v>
      </c>
      <c r="E9" s="623"/>
      <c r="F9" s="654">
        <v>5622457950.54</v>
      </c>
      <c r="G9" s="623"/>
      <c r="H9" s="623"/>
      <c r="I9" s="654" t="s">
        <v>237</v>
      </c>
      <c r="J9" s="658" t="s">
        <v>198</v>
      </c>
      <c r="K9" s="660">
        <v>308139977.56</v>
      </c>
      <c r="L9" s="623"/>
      <c r="M9" s="660">
        <v>308139977.56</v>
      </c>
      <c r="N9" s="623"/>
      <c r="O9" s="623"/>
    </row>
    <row r="10" spans="1:15" x14ac:dyDescent="0.25">
      <c r="A10" s="623"/>
      <c r="B10" s="623" t="s">
        <v>238</v>
      </c>
      <c r="C10" s="633" t="s">
        <v>198</v>
      </c>
      <c r="D10" s="115">
        <v>2168491125.9099998</v>
      </c>
      <c r="E10" s="623"/>
      <c r="F10" s="656">
        <v>2052492161.4300001</v>
      </c>
      <c r="G10" s="623"/>
      <c r="H10" s="623"/>
      <c r="I10" s="654" t="s">
        <v>239</v>
      </c>
      <c r="J10" s="658" t="s">
        <v>198</v>
      </c>
      <c r="K10" s="660">
        <v>-321288.87</v>
      </c>
      <c r="L10" s="623"/>
      <c r="M10" s="660">
        <v>-321288.87</v>
      </c>
      <c r="N10" s="623"/>
      <c r="O10" s="623"/>
    </row>
    <row r="11" spans="1:15" x14ac:dyDescent="0.25">
      <c r="A11" s="623"/>
      <c r="B11" s="623"/>
      <c r="C11" s="633" t="s">
        <v>198</v>
      </c>
      <c r="D11" s="623"/>
      <c r="E11" s="623"/>
      <c r="F11" s="623"/>
      <c r="G11" s="623"/>
      <c r="H11" s="623"/>
      <c r="I11" s="654" t="s">
        <v>240</v>
      </c>
      <c r="J11" s="658" t="s">
        <v>198</v>
      </c>
      <c r="K11" s="660">
        <v>315858083</v>
      </c>
      <c r="L11" s="623"/>
      <c r="M11" s="660">
        <v>240711597</v>
      </c>
      <c r="N11" s="623"/>
      <c r="O11" s="623"/>
    </row>
    <row r="12" spans="1:15" ht="15.75" customHeight="1" x14ac:dyDescent="0.25">
      <c r="A12" s="623"/>
      <c r="B12" s="623" t="s">
        <v>241</v>
      </c>
      <c r="C12" s="633" t="s">
        <v>198</v>
      </c>
      <c r="D12" s="656">
        <v>3980929791.3000002</v>
      </c>
      <c r="E12" s="623"/>
      <c r="F12" s="656">
        <v>3569965789.1099997</v>
      </c>
      <c r="G12" s="623"/>
      <c r="H12" s="623"/>
      <c r="I12" s="654" t="s">
        <v>243</v>
      </c>
      <c r="J12" s="658" t="s">
        <v>198</v>
      </c>
      <c r="K12" s="660">
        <v>1317618203.1500001</v>
      </c>
      <c r="L12" s="623"/>
      <c r="M12" s="660">
        <v>1174207029.97</v>
      </c>
      <c r="N12" s="654">
        <v>0</v>
      </c>
      <c r="O12" s="623"/>
    </row>
    <row r="13" spans="1:15" x14ac:dyDescent="0.25">
      <c r="A13" s="623"/>
      <c r="B13" s="623"/>
      <c r="C13" s="623"/>
      <c r="D13" s="623"/>
      <c r="E13" s="623"/>
      <c r="F13" s="623"/>
      <c r="G13" s="623"/>
      <c r="H13" s="623"/>
      <c r="I13" s="654" t="s">
        <v>244</v>
      </c>
      <c r="J13" s="658" t="s">
        <v>198</v>
      </c>
      <c r="K13" s="656">
        <v>10671368.75</v>
      </c>
      <c r="L13" s="623"/>
      <c r="M13" s="656">
        <v>20755586.800000001</v>
      </c>
      <c r="N13" s="623"/>
      <c r="O13" s="623"/>
    </row>
    <row r="14" spans="1:15" x14ac:dyDescent="0.25">
      <c r="A14" s="623"/>
      <c r="B14" s="623"/>
      <c r="C14" s="623"/>
      <c r="D14" s="660"/>
      <c r="E14" s="623"/>
      <c r="F14" s="660"/>
      <c r="G14" s="623"/>
      <c r="H14" s="623"/>
      <c r="I14" s="623"/>
      <c r="J14" s="658"/>
      <c r="K14" s="623"/>
      <c r="L14" s="623"/>
      <c r="M14" s="623"/>
      <c r="N14" s="623"/>
      <c r="O14" s="623"/>
    </row>
    <row r="15" spans="1:15" x14ac:dyDescent="0.25">
      <c r="A15" s="623"/>
      <c r="B15" s="623"/>
      <c r="C15" s="623"/>
      <c r="D15" s="623"/>
      <c r="E15" s="623"/>
      <c r="F15" s="623"/>
      <c r="G15" s="623"/>
      <c r="H15" s="623"/>
      <c r="I15" s="654" t="s">
        <v>245</v>
      </c>
      <c r="J15" s="658" t="s">
        <v>198</v>
      </c>
      <c r="K15" s="656">
        <v>1951966343.5900002</v>
      </c>
      <c r="L15" s="623"/>
      <c r="M15" s="656">
        <v>1743492902.46</v>
      </c>
      <c r="N15" s="623"/>
      <c r="O15" s="623"/>
    </row>
    <row r="16" spans="1:15" x14ac:dyDescent="0.25">
      <c r="A16" s="623" t="s">
        <v>580</v>
      </c>
      <c r="B16" s="623"/>
      <c r="C16" s="633" t="s">
        <v>198</v>
      </c>
      <c r="D16" s="623"/>
      <c r="E16" s="623"/>
      <c r="F16" s="623"/>
      <c r="G16" s="623"/>
      <c r="H16" s="623"/>
      <c r="I16" s="623"/>
      <c r="J16" s="658"/>
      <c r="K16" s="623"/>
      <c r="L16" s="623"/>
      <c r="M16" s="623"/>
      <c r="N16" s="623"/>
      <c r="O16" s="623"/>
    </row>
    <row r="17" spans="1:13" x14ac:dyDescent="0.25">
      <c r="A17" s="623"/>
      <c r="B17" s="623" t="s">
        <v>246</v>
      </c>
      <c r="C17" s="633" t="s">
        <v>198</v>
      </c>
      <c r="D17" s="660">
        <v>250000</v>
      </c>
      <c r="E17" s="623"/>
      <c r="F17" s="660">
        <v>250000</v>
      </c>
      <c r="G17" s="623"/>
      <c r="H17" s="623"/>
      <c r="I17" s="623"/>
      <c r="J17" s="658"/>
      <c r="K17" s="623"/>
      <c r="L17" s="623"/>
      <c r="M17" s="623"/>
    </row>
    <row r="18" spans="1:13" x14ac:dyDescent="0.25">
      <c r="A18" s="623"/>
      <c r="B18" s="623" t="s">
        <v>247</v>
      </c>
      <c r="C18" s="633" t="s">
        <v>198</v>
      </c>
      <c r="D18" s="660">
        <v>179120.94</v>
      </c>
      <c r="E18" s="623"/>
      <c r="F18" s="660">
        <v>179120.94</v>
      </c>
      <c r="G18" s="623"/>
      <c r="H18" s="623"/>
      <c r="I18" s="663" t="s">
        <v>581</v>
      </c>
      <c r="J18" s="658" t="s">
        <v>198</v>
      </c>
      <c r="K18" s="660">
        <v>350779405</v>
      </c>
      <c r="L18" s="623"/>
      <c r="M18" s="660">
        <v>350779405</v>
      </c>
    </row>
    <row r="19" spans="1:13" x14ac:dyDescent="0.25">
      <c r="A19" s="623"/>
      <c r="B19" s="623" t="s">
        <v>249</v>
      </c>
      <c r="C19" s="633" t="s">
        <v>198</v>
      </c>
      <c r="D19" s="660">
        <v>11967168.75</v>
      </c>
      <c r="E19" s="623"/>
      <c r="F19" s="660">
        <v>22051386.800000001</v>
      </c>
      <c r="G19" s="623"/>
      <c r="H19" s="623"/>
      <c r="I19" s="653" t="s">
        <v>252</v>
      </c>
      <c r="J19" s="658" t="s">
        <v>198</v>
      </c>
      <c r="K19" s="656">
        <v>1298000000</v>
      </c>
      <c r="L19" s="623"/>
      <c r="M19" s="656">
        <v>1181000000</v>
      </c>
    </row>
    <row r="20" spans="1:13" x14ac:dyDescent="0.25">
      <c r="A20" s="623"/>
      <c r="B20" s="623" t="s">
        <v>250</v>
      </c>
      <c r="C20" s="633" t="s">
        <v>198</v>
      </c>
      <c r="D20" s="660">
        <v>0</v>
      </c>
      <c r="E20" s="623"/>
      <c r="F20" s="660">
        <v>5997831.3499999996</v>
      </c>
      <c r="G20" s="623"/>
      <c r="H20" s="623"/>
      <c r="I20" s="623"/>
      <c r="J20" s="623"/>
      <c r="K20" s="623"/>
      <c r="L20" s="623"/>
      <c r="M20" s="623"/>
    </row>
    <row r="21" spans="1:13" x14ac:dyDescent="0.25">
      <c r="A21" s="623"/>
      <c r="B21" s="623" t="s">
        <v>251</v>
      </c>
      <c r="C21" s="633" t="s">
        <v>198</v>
      </c>
      <c r="D21" s="656">
        <v>0</v>
      </c>
      <c r="E21" s="623"/>
      <c r="F21" s="656">
        <v>411140</v>
      </c>
      <c r="G21" s="623"/>
      <c r="H21" s="623"/>
      <c r="I21" s="654" t="s">
        <v>254</v>
      </c>
      <c r="J21" s="658" t="s">
        <v>198</v>
      </c>
      <c r="K21" s="660">
        <v>1648779405</v>
      </c>
      <c r="L21" s="623"/>
      <c r="M21" s="660">
        <v>1531779405</v>
      </c>
    </row>
    <row r="22" spans="1:13" x14ac:dyDescent="0.25">
      <c r="A22" s="623"/>
      <c r="B22" s="623"/>
      <c r="C22" s="633"/>
      <c r="D22" s="660"/>
      <c r="E22" s="623"/>
      <c r="F22" s="660"/>
      <c r="G22" s="623"/>
      <c r="H22" s="623"/>
      <c r="I22" s="623"/>
      <c r="J22" s="658" t="s">
        <v>198</v>
      </c>
      <c r="K22" s="660"/>
      <c r="L22" s="623"/>
      <c r="M22" s="660"/>
    </row>
    <row r="23" spans="1:13" x14ac:dyDescent="0.25">
      <c r="A23" s="623"/>
      <c r="B23" s="623" t="s">
        <v>253</v>
      </c>
      <c r="C23" s="633" t="s">
        <v>198</v>
      </c>
      <c r="D23" s="656">
        <v>12396289.689999999</v>
      </c>
      <c r="E23" s="623"/>
      <c r="F23" s="656">
        <v>28889479.090000004</v>
      </c>
      <c r="G23" s="623"/>
      <c r="H23" s="623"/>
      <c r="I23" s="654" t="s">
        <v>255</v>
      </c>
      <c r="J23" s="658" t="s">
        <v>198</v>
      </c>
      <c r="K23" s="656">
        <v>3600745748.5900002</v>
      </c>
      <c r="L23" s="623"/>
      <c r="M23" s="656">
        <v>3275272307.46</v>
      </c>
    </row>
    <row r="26" spans="1:13" x14ac:dyDescent="0.25">
      <c r="A26" s="623" t="s">
        <v>256</v>
      </c>
      <c r="B26" s="623"/>
      <c r="C26" s="633" t="s">
        <v>198</v>
      </c>
      <c r="D26" s="623"/>
      <c r="E26" s="623"/>
      <c r="F26" s="623"/>
      <c r="G26" s="623"/>
      <c r="H26" s="623"/>
      <c r="I26" s="623"/>
      <c r="J26" s="623"/>
      <c r="K26" s="623"/>
      <c r="L26" s="623"/>
      <c r="M26" s="623"/>
    </row>
    <row r="27" spans="1:13" x14ac:dyDescent="0.25">
      <c r="A27" s="623"/>
      <c r="B27" s="623" t="s">
        <v>257</v>
      </c>
      <c r="C27" s="633" t="s">
        <v>198</v>
      </c>
      <c r="D27" s="654">
        <v>1672088.08</v>
      </c>
      <c r="E27" s="623"/>
      <c r="F27" s="654">
        <v>2413345.5499999998</v>
      </c>
      <c r="G27" s="623"/>
      <c r="H27" s="654" t="s">
        <v>258</v>
      </c>
      <c r="I27" s="623"/>
      <c r="J27" s="623"/>
      <c r="K27" s="623"/>
      <c r="L27" s="623"/>
      <c r="M27" s="623"/>
    </row>
    <row r="28" spans="1:13" x14ac:dyDescent="0.25">
      <c r="A28" s="623"/>
      <c r="B28" s="623" t="s">
        <v>259</v>
      </c>
      <c r="C28" s="633" t="s">
        <v>198</v>
      </c>
      <c r="D28" s="654">
        <v>0</v>
      </c>
      <c r="E28" s="623"/>
      <c r="F28" s="654">
        <v>9510008.6600000001</v>
      </c>
      <c r="G28" s="623"/>
      <c r="H28" s="623"/>
      <c r="I28" s="662" t="s">
        <v>261</v>
      </c>
      <c r="J28" s="658" t="s">
        <v>198</v>
      </c>
      <c r="K28" s="654">
        <v>77974954</v>
      </c>
      <c r="L28" s="623"/>
      <c r="M28" s="660">
        <v>16247454</v>
      </c>
    </row>
    <row r="29" spans="1:13" x14ac:dyDescent="0.25">
      <c r="A29" s="623"/>
      <c r="B29" s="623" t="s">
        <v>260</v>
      </c>
      <c r="C29" s="633" t="s">
        <v>198</v>
      </c>
      <c r="D29" s="654">
        <v>269.25</v>
      </c>
      <c r="E29" s="623"/>
      <c r="F29" s="654">
        <v>13.11</v>
      </c>
      <c r="G29" s="623"/>
      <c r="H29" s="623"/>
      <c r="I29" s="654" t="s">
        <v>266</v>
      </c>
      <c r="J29" s="658" t="s">
        <v>198</v>
      </c>
      <c r="K29" s="660">
        <v>114498517.65000001</v>
      </c>
      <c r="L29" s="623"/>
      <c r="M29" s="660">
        <v>162946460.27000001</v>
      </c>
    </row>
    <row r="30" spans="1:13" x14ac:dyDescent="0.25">
      <c r="A30" s="623"/>
      <c r="B30" s="623" t="s">
        <v>262</v>
      </c>
      <c r="C30" s="633" t="s">
        <v>198</v>
      </c>
      <c r="D30" s="654">
        <v>173526314.78</v>
      </c>
      <c r="E30" s="623"/>
      <c r="F30" s="654">
        <v>164835960.43000001</v>
      </c>
      <c r="G30" s="623"/>
      <c r="H30" s="623"/>
      <c r="I30" s="654" t="s">
        <v>268</v>
      </c>
      <c r="J30" s="658" t="s">
        <v>198</v>
      </c>
      <c r="K30" s="660">
        <v>88034352.469999999</v>
      </c>
      <c r="L30" s="623"/>
      <c r="M30" s="660">
        <v>38142962.009999998</v>
      </c>
    </row>
    <row r="31" spans="1:13" x14ac:dyDescent="0.25">
      <c r="A31" s="623"/>
      <c r="B31" s="623" t="s">
        <v>265</v>
      </c>
      <c r="C31" s="633" t="s">
        <v>198</v>
      </c>
      <c r="D31" s="654">
        <v>8621893.3100000005</v>
      </c>
      <c r="E31" s="623"/>
      <c r="F31" s="654">
        <v>12376152.470000001</v>
      </c>
      <c r="G31" s="623"/>
      <c r="H31" s="623"/>
      <c r="I31" s="654" t="s">
        <v>270</v>
      </c>
      <c r="J31" s="658" t="s">
        <v>198</v>
      </c>
      <c r="K31" s="660">
        <v>21975267.600000001</v>
      </c>
      <c r="L31" s="623"/>
      <c r="M31" s="660">
        <v>21057049.050000001</v>
      </c>
    </row>
    <row r="32" spans="1:13" x14ac:dyDescent="0.25">
      <c r="A32" s="623"/>
      <c r="B32" s="623" t="s">
        <v>267</v>
      </c>
      <c r="C32" s="633" t="s">
        <v>198</v>
      </c>
      <c r="D32" s="623"/>
      <c r="E32" s="623"/>
      <c r="F32" s="623"/>
      <c r="G32" s="623"/>
      <c r="H32" s="623"/>
      <c r="I32" s="654" t="s">
        <v>272</v>
      </c>
      <c r="J32" s="658" t="s">
        <v>198</v>
      </c>
      <c r="K32" s="660">
        <v>14176460.699999999</v>
      </c>
      <c r="L32" s="623"/>
      <c r="M32" s="660">
        <v>8558559.9499999993</v>
      </c>
    </row>
    <row r="33" spans="1:13" x14ac:dyDescent="0.25">
      <c r="A33" s="623"/>
      <c r="B33" s="623" t="s">
        <v>269</v>
      </c>
      <c r="C33" s="633" t="s">
        <v>198</v>
      </c>
      <c r="D33" s="654">
        <v>97742424.549999997</v>
      </c>
      <c r="E33" s="623"/>
      <c r="F33" s="654">
        <v>72708035.069999993</v>
      </c>
      <c r="G33" s="623"/>
      <c r="H33" s="623"/>
      <c r="I33" s="654" t="s">
        <v>274</v>
      </c>
      <c r="J33" s="658" t="s">
        <v>198</v>
      </c>
      <c r="K33" s="660">
        <v>1268054.1399999999</v>
      </c>
      <c r="L33" s="623"/>
      <c r="M33" s="660">
        <v>1223212.25</v>
      </c>
    </row>
    <row r="34" spans="1:13" x14ac:dyDescent="0.25">
      <c r="A34" s="623"/>
      <c r="B34" s="623" t="s">
        <v>271</v>
      </c>
      <c r="C34" s="633" t="s">
        <v>198</v>
      </c>
      <c r="D34" s="654">
        <v>30472278.120000001</v>
      </c>
      <c r="E34" s="623"/>
      <c r="F34" s="654">
        <v>29561689.399999999</v>
      </c>
      <c r="G34" s="623"/>
      <c r="H34" s="623"/>
      <c r="I34" s="654" t="s">
        <v>278</v>
      </c>
      <c r="J34" s="658" t="s">
        <v>198</v>
      </c>
      <c r="K34" s="656">
        <v>18817559.940000001</v>
      </c>
      <c r="L34" s="623"/>
      <c r="M34" s="656">
        <v>16082900.32</v>
      </c>
    </row>
    <row r="35" spans="1:13" x14ac:dyDescent="0.25">
      <c r="A35" s="623"/>
      <c r="B35" s="623" t="s">
        <v>273</v>
      </c>
      <c r="C35" s="633" t="s">
        <v>198</v>
      </c>
      <c r="D35" s="654">
        <v>7480010.5499999998</v>
      </c>
      <c r="E35" s="623"/>
      <c r="F35" s="654">
        <v>6202308.3700000001</v>
      </c>
      <c r="G35" s="623"/>
      <c r="H35" s="623"/>
      <c r="I35" s="623"/>
      <c r="J35" s="658"/>
      <c r="K35" s="623"/>
      <c r="L35" s="623"/>
      <c r="M35" s="623"/>
    </row>
    <row r="36" spans="1:13" x14ac:dyDescent="0.25">
      <c r="A36" s="623"/>
      <c r="B36" s="623" t="s">
        <v>275</v>
      </c>
      <c r="C36" s="623" t="s">
        <v>198</v>
      </c>
      <c r="D36" s="488">
        <v>975075.9</v>
      </c>
      <c r="E36" s="623"/>
      <c r="F36" s="654">
        <v>74419.28</v>
      </c>
      <c r="G36" s="623"/>
      <c r="H36" s="623"/>
      <c r="I36" s="654" t="s">
        <v>253</v>
      </c>
      <c r="J36" s="658" t="s">
        <v>198</v>
      </c>
      <c r="K36" s="656">
        <v>336745166.5</v>
      </c>
      <c r="L36" s="623"/>
      <c r="M36" s="656">
        <v>264258597.84999999</v>
      </c>
    </row>
    <row r="37" spans="1:13" x14ac:dyDescent="0.25">
      <c r="A37" s="623"/>
      <c r="B37" s="623" t="s">
        <v>277</v>
      </c>
      <c r="C37" s="633" t="s">
        <v>198</v>
      </c>
      <c r="D37" s="654">
        <v>8192917.29</v>
      </c>
      <c r="E37" s="623"/>
      <c r="F37" s="654">
        <v>5833903.1799999997</v>
      </c>
      <c r="G37" s="623"/>
      <c r="H37" s="623"/>
      <c r="I37" s="623"/>
      <c r="J37" s="623"/>
      <c r="K37" s="623"/>
      <c r="L37" s="623"/>
      <c r="M37" s="623"/>
    </row>
    <row r="38" spans="1:13" x14ac:dyDescent="0.25">
      <c r="A38" s="623"/>
      <c r="B38" s="623" t="s">
        <v>279</v>
      </c>
      <c r="C38" s="633" t="s">
        <v>198</v>
      </c>
      <c r="D38" s="656">
        <v>162412.23000000001</v>
      </c>
      <c r="E38" s="623"/>
      <c r="F38" s="656">
        <v>1261245.92</v>
      </c>
      <c r="G38" s="623"/>
      <c r="H38" s="623"/>
      <c r="I38" s="623"/>
      <c r="J38" s="623"/>
      <c r="K38" s="623"/>
      <c r="L38" s="623"/>
      <c r="M38" s="623"/>
    </row>
    <row r="40" spans="1:13" x14ac:dyDescent="0.25">
      <c r="A40" s="623"/>
      <c r="B40" s="623" t="s">
        <v>280</v>
      </c>
      <c r="C40" s="633" t="s">
        <v>198</v>
      </c>
      <c r="D40" s="656">
        <v>328845684.06000006</v>
      </c>
      <c r="E40" s="623"/>
      <c r="F40" s="656">
        <v>304777081.44</v>
      </c>
      <c r="G40" s="623"/>
      <c r="H40" s="623"/>
      <c r="I40" s="623"/>
      <c r="J40" s="623"/>
      <c r="K40" s="623"/>
      <c r="L40" s="623"/>
      <c r="M40" s="623"/>
    </row>
    <row r="41" spans="1:13" x14ac:dyDescent="0.25">
      <c r="A41" s="623"/>
      <c r="B41" s="623"/>
      <c r="C41" s="623"/>
      <c r="D41" s="623"/>
      <c r="E41" s="623"/>
      <c r="F41" s="623"/>
      <c r="G41" s="623"/>
      <c r="H41" s="654" t="s">
        <v>281</v>
      </c>
      <c r="I41" s="623"/>
      <c r="J41" s="623"/>
      <c r="K41" s="623"/>
      <c r="L41" s="623"/>
      <c r="M41" s="623"/>
    </row>
    <row r="42" spans="1:13" x14ac:dyDescent="0.25">
      <c r="A42" s="623"/>
      <c r="B42" s="623"/>
      <c r="C42" s="623"/>
      <c r="D42" s="623"/>
      <c r="E42" s="623"/>
      <c r="F42" s="623"/>
      <c r="G42" s="623"/>
      <c r="H42" s="623"/>
      <c r="I42" s="654" t="s">
        <v>282</v>
      </c>
      <c r="J42" s="658" t="s">
        <v>198</v>
      </c>
      <c r="K42" s="654">
        <v>377323901.73000002</v>
      </c>
      <c r="L42" s="623"/>
      <c r="M42" s="654">
        <v>327206027.33999997</v>
      </c>
    </row>
    <row r="43" spans="1:13" x14ac:dyDescent="0.25">
      <c r="A43" s="623" t="s">
        <v>283</v>
      </c>
      <c r="B43" s="623"/>
      <c r="C43" s="623"/>
      <c r="D43" s="623"/>
      <c r="E43" s="623"/>
      <c r="F43" s="623"/>
      <c r="G43" s="623"/>
      <c r="H43" s="623"/>
      <c r="I43" s="654" t="s">
        <v>284</v>
      </c>
      <c r="J43" s="658" t="s">
        <v>198</v>
      </c>
      <c r="K43" s="654">
        <v>104165269.31999999</v>
      </c>
      <c r="L43" s="623"/>
      <c r="M43" s="654">
        <v>79951702.290000007</v>
      </c>
    </row>
    <row r="44" spans="1:13" x14ac:dyDescent="0.25">
      <c r="A44" s="623"/>
      <c r="B44" s="623" t="s">
        <v>285</v>
      </c>
      <c r="C44" s="633" t="s">
        <v>198</v>
      </c>
      <c r="D44" s="654">
        <v>4842773.57</v>
      </c>
      <c r="E44" s="623"/>
      <c r="F44" s="654">
        <v>4671224.43</v>
      </c>
      <c r="G44" s="623"/>
      <c r="H44" s="623"/>
      <c r="I44" s="654" t="s">
        <v>286</v>
      </c>
      <c r="J44" s="658" t="s">
        <v>198</v>
      </c>
      <c r="K44" s="654">
        <v>44244443.399999999</v>
      </c>
      <c r="L44" s="623"/>
      <c r="M44" s="654">
        <v>40483282.600000001</v>
      </c>
    </row>
    <row r="45" spans="1:13" x14ac:dyDescent="0.25">
      <c r="A45" s="623"/>
      <c r="B45" s="623" t="s">
        <v>287</v>
      </c>
      <c r="C45" s="633" t="s">
        <v>198</v>
      </c>
      <c r="D45" s="654">
        <v>12984497.15</v>
      </c>
      <c r="E45" s="623"/>
      <c r="F45" s="654">
        <v>13356278.720000001</v>
      </c>
      <c r="G45" s="623"/>
      <c r="H45" s="623"/>
      <c r="I45" s="654" t="s">
        <v>288</v>
      </c>
      <c r="J45" s="658" t="s">
        <v>198</v>
      </c>
      <c r="K45" s="654">
        <v>2927921.94</v>
      </c>
      <c r="L45" s="623"/>
      <c r="M45" s="654">
        <v>2430316.35</v>
      </c>
    </row>
    <row r="46" spans="1:13" x14ac:dyDescent="0.25">
      <c r="A46" s="623"/>
      <c r="B46" s="623" t="s">
        <v>282</v>
      </c>
      <c r="C46" s="633" t="s">
        <v>198</v>
      </c>
      <c r="D46" s="654">
        <v>43961730.060000002</v>
      </c>
      <c r="E46" s="623"/>
      <c r="F46" s="654">
        <v>50686899.869999997</v>
      </c>
      <c r="G46" s="623"/>
      <c r="H46" s="623"/>
      <c r="I46" s="654" t="s">
        <v>289</v>
      </c>
      <c r="J46" s="658" t="s">
        <v>198</v>
      </c>
      <c r="K46" s="654">
        <v>34365307.649999999</v>
      </c>
      <c r="L46" s="623"/>
      <c r="M46" s="654">
        <v>32566110.140000001</v>
      </c>
    </row>
    <row r="47" spans="1:13" x14ac:dyDescent="0.25">
      <c r="A47" s="623"/>
      <c r="B47" s="623" t="s">
        <v>290</v>
      </c>
      <c r="C47" s="633" t="s">
        <v>198</v>
      </c>
      <c r="D47" s="654">
        <v>253671749.05000001</v>
      </c>
      <c r="E47" s="623"/>
      <c r="F47" s="654">
        <v>189030418.72</v>
      </c>
      <c r="G47" s="623"/>
      <c r="H47" s="623"/>
      <c r="I47" s="654" t="s">
        <v>291</v>
      </c>
      <c r="J47" s="658" t="s">
        <v>198</v>
      </c>
      <c r="K47" s="654">
        <v>10173178.630000001</v>
      </c>
      <c r="L47" s="623"/>
      <c r="M47" s="654">
        <v>21709079.32</v>
      </c>
    </row>
    <row r="48" spans="1:13" x14ac:dyDescent="0.25">
      <c r="A48" s="623"/>
      <c r="B48" s="623" t="s">
        <v>292</v>
      </c>
      <c r="C48" s="633" t="s">
        <v>198</v>
      </c>
      <c r="D48" s="656">
        <v>41371913.630000003</v>
      </c>
      <c r="E48" s="623"/>
      <c r="F48" s="656">
        <v>77141393.989999995</v>
      </c>
      <c r="G48" s="623"/>
      <c r="H48" s="623"/>
      <c r="I48" s="654" t="s">
        <v>293</v>
      </c>
      <c r="J48" s="658" t="s">
        <v>198</v>
      </c>
      <c r="K48" s="654">
        <v>2545415.36</v>
      </c>
      <c r="L48" s="623"/>
      <c r="M48" s="654">
        <v>2592339.7799999998</v>
      </c>
    </row>
    <row r="49" spans="1:13" x14ac:dyDescent="0.25">
      <c r="A49" s="623"/>
      <c r="B49" s="623"/>
      <c r="C49" s="633" t="s">
        <v>198</v>
      </c>
      <c r="D49" s="623"/>
      <c r="E49" s="623"/>
      <c r="F49" s="623"/>
      <c r="G49" s="623"/>
      <c r="H49" s="623"/>
      <c r="I49" s="654" t="s">
        <v>294</v>
      </c>
      <c r="J49" s="658" t="s">
        <v>198</v>
      </c>
      <c r="K49" s="656">
        <v>165768075.38999999</v>
      </c>
      <c r="L49" s="623"/>
      <c r="M49" s="656">
        <v>192048802.24000001</v>
      </c>
    </row>
    <row r="50" spans="1:13" x14ac:dyDescent="0.25">
      <c r="A50" s="623"/>
      <c r="B50" s="623" t="s">
        <v>280</v>
      </c>
      <c r="C50" s="633" t="s">
        <v>198</v>
      </c>
      <c r="D50" s="656">
        <v>356832663.46000004</v>
      </c>
      <c r="E50" s="623"/>
      <c r="F50" s="656">
        <v>334886215.73000002</v>
      </c>
      <c r="G50" s="623"/>
      <c r="H50" s="623"/>
      <c r="I50" s="623"/>
      <c r="J50" s="658"/>
      <c r="K50" s="623"/>
      <c r="L50" s="623"/>
      <c r="M50" s="623"/>
    </row>
    <row r="51" spans="1:13" x14ac:dyDescent="0.25">
      <c r="A51" s="623"/>
      <c r="B51" s="623"/>
      <c r="C51" s="623"/>
      <c r="D51" s="623"/>
      <c r="E51" s="623"/>
      <c r="F51" s="623"/>
      <c r="G51" s="623"/>
      <c r="H51" s="623"/>
      <c r="I51" s="654" t="s">
        <v>295</v>
      </c>
      <c r="J51" s="658" t="s">
        <v>198</v>
      </c>
      <c r="K51" s="656">
        <v>741513513.41999996</v>
      </c>
      <c r="L51" s="623"/>
      <c r="M51" s="656">
        <v>698987660.05999994</v>
      </c>
    </row>
    <row r="52" spans="1:13" ht="15.75" customHeight="1" x14ac:dyDescent="0.25">
      <c r="A52" s="623"/>
      <c r="B52" s="623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</row>
    <row r="53" spans="1:13" ht="16.5" thickBot="1" x14ac:dyDescent="0.3">
      <c r="A53" s="860" t="s">
        <v>296</v>
      </c>
      <c r="B53" s="860"/>
      <c r="C53" s="633" t="s">
        <v>198</v>
      </c>
      <c r="D53" s="657">
        <v>4679004428.5100002</v>
      </c>
      <c r="E53" s="623"/>
      <c r="F53" s="657">
        <v>4238518565.3699999</v>
      </c>
      <c r="G53" s="623"/>
      <c r="H53" s="865" t="s">
        <v>297</v>
      </c>
      <c r="I53" s="865"/>
      <c r="J53" s="658" t="s">
        <v>198</v>
      </c>
      <c r="K53" s="657">
        <v>4679004428.5100002</v>
      </c>
      <c r="L53" s="623"/>
      <c r="M53" s="657">
        <v>4238518565.3699999</v>
      </c>
    </row>
    <row r="54" spans="1:13" ht="16.5" thickTop="1" x14ac:dyDescent="0.25">
      <c r="A54" s="623"/>
      <c r="B54" s="623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</row>
    <row r="55" spans="1:13" x14ac:dyDescent="0.25">
      <c r="A55" s="623"/>
      <c r="B55" s="623"/>
      <c r="C55" s="623"/>
      <c r="D55" s="623"/>
      <c r="E55" s="623"/>
      <c r="F55" s="623"/>
      <c r="G55" s="623"/>
      <c r="H55" s="623"/>
      <c r="I55" s="623"/>
      <c r="J55" s="623"/>
      <c r="K55" s="623"/>
      <c r="L55" s="623"/>
      <c r="M55" s="667" t="s">
        <v>628</v>
      </c>
    </row>
  </sheetData>
  <mergeCells count="4">
    <mergeCell ref="A53:B53"/>
    <mergeCell ref="H53:I53"/>
    <mergeCell ref="A6:B6"/>
    <mergeCell ref="G6:I6"/>
  </mergeCells>
  <printOptions horizontalCentered="1"/>
  <pageMargins left="0" right="0" top="0.5" bottom="0.4" header="0" footer="0.28000000000000003"/>
  <pageSetup scale="61" orientation="landscape" horizontalDpi="4294967292" verticalDpi="300" r:id="rId1"/>
  <headerFooter alignWithMargins="0">
    <oddFooter>&amp;C&amp;"Times New Roman,Bold"&amp;A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-0.249977111117893"/>
    <pageSetUpPr fitToPage="1"/>
  </sheetPr>
  <dimension ref="A1:J57"/>
  <sheetViews>
    <sheetView showGridLines="0" topLeftCell="A28" zoomScale="75" workbookViewId="0">
      <selection activeCell="C33" sqref="C33"/>
    </sheetView>
  </sheetViews>
  <sheetFormatPr defaultColWidth="10.28515625" defaultRowHeight="15.75" customHeight="1" x14ac:dyDescent="0.25"/>
  <cols>
    <col min="1" max="1" width="48.7109375" style="477" customWidth="1"/>
    <col min="2" max="2" width="6.42578125" style="477" customWidth="1"/>
    <col min="3" max="3" width="19" style="92" customWidth="1"/>
    <col min="4" max="4" width="9.85546875" style="92" customWidth="1"/>
    <col min="5" max="5" width="21.5703125" style="92" customWidth="1"/>
    <col min="6" max="6" width="9.85546875" style="92" customWidth="1"/>
    <col min="7" max="7" width="19" style="92" customWidth="1"/>
    <col min="8" max="8" width="6.42578125" style="92" customWidth="1"/>
    <col min="9" max="9" width="14.42578125" style="92" customWidth="1"/>
    <col min="10" max="10" width="10.28515625" style="477" hidden="1" customWidth="1"/>
    <col min="11" max="16384" width="10.28515625" style="477"/>
  </cols>
  <sheetData>
    <row r="1" spans="1:10" ht="15.75" customHeight="1" x14ac:dyDescent="0.25">
      <c r="A1" s="475" t="s">
        <v>21</v>
      </c>
      <c r="B1" s="475"/>
      <c r="C1" s="475"/>
      <c r="D1" s="475"/>
      <c r="E1" s="475"/>
      <c r="F1" s="475"/>
      <c r="G1" s="475"/>
      <c r="H1" s="475"/>
      <c r="I1" s="475"/>
      <c r="J1" s="475"/>
    </row>
    <row r="2" spans="1:10" ht="15.75" customHeight="1" x14ac:dyDescent="0.25">
      <c r="A2" s="478" t="s">
        <v>190</v>
      </c>
      <c r="B2" s="478"/>
      <c r="C2" s="478"/>
      <c r="D2" s="478"/>
      <c r="E2" s="478"/>
      <c r="F2" s="478"/>
      <c r="G2" s="478"/>
      <c r="H2" s="478"/>
      <c r="I2" s="478"/>
      <c r="J2" s="478"/>
    </row>
    <row r="3" spans="1:10" s="480" customFormat="1" ht="15.75" customHeight="1" x14ac:dyDescent="0.25">
      <c r="A3" s="484" t="str">
        <f>'[20]1'!A3</f>
        <v>December 31, 2008</v>
      </c>
      <c r="B3" s="485"/>
      <c r="C3" s="93"/>
      <c r="D3" s="93"/>
      <c r="E3" s="93"/>
      <c r="F3" s="93"/>
      <c r="G3" s="93"/>
      <c r="H3" s="93"/>
      <c r="I3" s="93"/>
    </row>
    <row r="6" spans="1:10" ht="15.75" customHeight="1" x14ac:dyDescent="0.25">
      <c r="A6" s="486"/>
      <c r="C6" s="94" t="s">
        <v>191</v>
      </c>
      <c r="D6" s="94"/>
      <c r="E6" s="94"/>
      <c r="F6" s="94"/>
      <c r="G6" s="94"/>
      <c r="H6" s="94"/>
      <c r="I6" s="94"/>
    </row>
    <row r="8" spans="1:10" ht="15.75" customHeight="1" x14ac:dyDescent="0.25">
      <c r="C8" s="95" t="s">
        <v>192</v>
      </c>
      <c r="D8" s="95"/>
      <c r="E8" s="95" t="s">
        <v>193</v>
      </c>
      <c r="F8" s="95"/>
      <c r="G8" s="96" t="s">
        <v>194</v>
      </c>
      <c r="H8" s="96"/>
      <c r="I8" s="93"/>
    </row>
    <row r="9" spans="1:10" ht="15.75" customHeight="1" x14ac:dyDescent="0.25">
      <c r="C9" s="97" t="s">
        <v>195</v>
      </c>
      <c r="D9" s="95"/>
      <c r="E9" s="97" t="s">
        <v>195</v>
      </c>
      <c r="F9" s="95"/>
      <c r="G9" s="97" t="s">
        <v>195</v>
      </c>
      <c r="H9" s="95"/>
      <c r="I9" s="97" t="s">
        <v>196</v>
      </c>
    </row>
    <row r="11" spans="1:10" ht="15.75" customHeight="1" x14ac:dyDescent="0.25">
      <c r="A11" s="477" t="s">
        <v>197</v>
      </c>
      <c r="B11" s="481" t="s">
        <v>198</v>
      </c>
      <c r="C11" s="98">
        <f>[20]d3!B15</f>
        <v>1404042053.25</v>
      </c>
      <c r="E11" s="98">
        <f>[20]d3!C15</f>
        <v>1272548899.24</v>
      </c>
      <c r="G11" s="98">
        <f>C11-E11</f>
        <v>131493154.00999999</v>
      </c>
      <c r="I11" s="99">
        <f>ROUND(G11/E11*100,4)</f>
        <v>10.3331</v>
      </c>
    </row>
    <row r="12" spans="1:10" ht="15.75" customHeight="1" x14ac:dyDescent="0.25">
      <c r="B12" s="481" t="s">
        <v>198</v>
      </c>
      <c r="I12" s="100"/>
    </row>
    <row r="13" spans="1:10" ht="15.75" customHeight="1" x14ac:dyDescent="0.25">
      <c r="A13" s="477" t="s">
        <v>200</v>
      </c>
      <c r="B13" s="481" t="s">
        <v>198</v>
      </c>
      <c r="C13" s="98">
        <f>SUM(C10:C12)</f>
        <v>1404042053.25</v>
      </c>
      <c r="E13" s="98">
        <f>SUM(E10:E12)</f>
        <v>1272548899.24</v>
      </c>
      <c r="G13" s="98">
        <f>C13-E13</f>
        <v>131493154.00999999</v>
      </c>
      <c r="I13" s="99">
        <f>ROUND(G13/E13*100,4)</f>
        <v>10.3331</v>
      </c>
    </row>
    <row r="14" spans="1:10" ht="15.75" customHeight="1" x14ac:dyDescent="0.25">
      <c r="A14" s="866" t="s">
        <v>198</v>
      </c>
      <c r="B14" s="866"/>
      <c r="C14" s="866"/>
      <c r="D14" s="866"/>
      <c r="E14" s="866"/>
      <c r="F14" s="866"/>
      <c r="G14" s="866"/>
      <c r="H14" s="866"/>
      <c r="I14" s="866"/>
      <c r="J14" s="866"/>
    </row>
    <row r="15" spans="1:10" ht="15.75" customHeight="1" x14ac:dyDescent="0.25">
      <c r="A15" s="477" t="s">
        <v>583</v>
      </c>
      <c r="B15" s="481" t="s">
        <v>198</v>
      </c>
      <c r="C15" s="92">
        <f>[20]d3!B21</f>
        <v>512399470.74000001</v>
      </c>
      <c r="E15" s="92">
        <f>[20]d3!C21</f>
        <v>460118684.63999999</v>
      </c>
      <c r="G15" s="92">
        <f t="shared" ref="G15:G21" si="0">C15-E15</f>
        <v>52280786.100000024</v>
      </c>
      <c r="I15" s="101">
        <f>ROUND(G15/E15*100,4)</f>
        <v>11.362500000000001</v>
      </c>
    </row>
    <row r="16" spans="1:10" ht="15.75" customHeight="1" x14ac:dyDescent="0.25">
      <c r="A16" s="477" t="s">
        <v>202</v>
      </c>
      <c r="B16" s="481" t="s">
        <v>198</v>
      </c>
      <c r="C16" s="92">
        <f>[20]d3!B22</f>
        <v>221176768.30000001</v>
      </c>
      <c r="E16" s="92">
        <f>[20]d3!C22</f>
        <v>168443605.63999999</v>
      </c>
      <c r="G16" s="92">
        <f t="shared" si="0"/>
        <v>52733162.660000026</v>
      </c>
      <c r="I16" s="101">
        <f>ROUND(G16/E16*100,4)</f>
        <v>31.306100000000001</v>
      </c>
    </row>
    <row r="17" spans="1:10" ht="15.75" customHeight="1" x14ac:dyDescent="0.25">
      <c r="A17" s="477" t="s">
        <v>203</v>
      </c>
      <c r="B17" s="481" t="s">
        <v>198</v>
      </c>
      <c r="C17" s="92">
        <f>[20]d3!B23</f>
        <v>166912227.63999999</v>
      </c>
      <c r="E17" s="92">
        <f>[20]d3!C23</f>
        <v>152922836.36000001</v>
      </c>
      <c r="G17" s="92">
        <f t="shared" si="0"/>
        <v>13989391.279999971</v>
      </c>
      <c r="I17" s="101">
        <f>ROUND(G17/E17*100,4)</f>
        <v>9.1479999999999997</v>
      </c>
    </row>
    <row r="18" spans="1:10" ht="15.75" customHeight="1" x14ac:dyDescent="0.25">
      <c r="A18" s="477" t="s">
        <v>204</v>
      </c>
      <c r="B18" s="481" t="s">
        <v>198</v>
      </c>
      <c r="C18" s="92">
        <f>[20]d3!B24</f>
        <v>88778792.480000004</v>
      </c>
      <c r="E18" s="92">
        <f>[20]d3!C24</f>
        <v>85242194.189999998</v>
      </c>
      <c r="G18" s="92">
        <f t="shared" si="0"/>
        <v>3536598.2900000066</v>
      </c>
      <c r="I18" s="101">
        <f>ROUND(G18/E18*100,4)</f>
        <v>4.1489000000000003</v>
      </c>
    </row>
    <row r="19" spans="1:10" ht="15.75" customHeight="1" x14ac:dyDescent="0.25">
      <c r="A19" s="477" t="s">
        <v>205</v>
      </c>
      <c r="B19" s="481" t="s">
        <v>198</v>
      </c>
      <c r="C19" s="92">
        <f>[20]d3!B25</f>
        <v>131115009.09</v>
      </c>
      <c r="E19" s="92">
        <f>[20]d3!C25</f>
        <v>115264164.70999999</v>
      </c>
      <c r="G19" s="92">
        <f t="shared" si="0"/>
        <v>15850844.38000001</v>
      </c>
      <c r="I19" s="101">
        <f>ROUND(G19/E19*100,4)</f>
        <v>13.751799999999999</v>
      </c>
    </row>
    <row r="20" spans="1:10" ht="15.75" customHeight="1" x14ac:dyDescent="0.25">
      <c r="A20" s="477" t="s">
        <v>206</v>
      </c>
      <c r="B20" s="481" t="s">
        <v>198</v>
      </c>
      <c r="C20" s="92">
        <f>[20]d3!B26</f>
        <v>5229655.8499999996</v>
      </c>
      <c r="E20" s="92">
        <f>[20]d3!C26</f>
        <v>5420544.96</v>
      </c>
      <c r="G20" s="92">
        <f t="shared" si="0"/>
        <v>-190889.11000000034</v>
      </c>
      <c r="I20" s="101">
        <f>IF((G20/E20*100)&gt;1000,0,ROUND(G20/E20*100,4))</f>
        <v>-3.5215999999999998</v>
      </c>
    </row>
    <row r="21" spans="1:10" ht="15.75" customHeight="1" x14ac:dyDescent="0.25">
      <c r="A21" s="477" t="s">
        <v>207</v>
      </c>
      <c r="B21" s="481" t="s">
        <v>198</v>
      </c>
      <c r="C21" s="92">
        <f>[20]d3!B27</f>
        <v>-2276548.71</v>
      </c>
      <c r="E21" s="92">
        <f>[20]d3!C27</f>
        <v>-2101203.34</v>
      </c>
      <c r="G21" s="92">
        <f t="shared" si="0"/>
        <v>-175345.37000000011</v>
      </c>
      <c r="I21" s="101">
        <f>IF((G21/E21*100)&gt;1000,0,ROUND(G21/E21*100,4))</f>
        <v>8.3450000000000006</v>
      </c>
    </row>
    <row r="22" spans="1:10" ht="15.75" customHeight="1" x14ac:dyDescent="0.25">
      <c r="A22" s="477" t="s">
        <v>208</v>
      </c>
      <c r="B22" s="481" t="s">
        <v>198</v>
      </c>
      <c r="I22" s="101"/>
    </row>
    <row r="23" spans="1:10" ht="15.75" customHeight="1" x14ac:dyDescent="0.25">
      <c r="A23" s="477" t="s">
        <v>209</v>
      </c>
      <c r="B23" s="481" t="s">
        <v>198</v>
      </c>
      <c r="C23" s="92">
        <f>[20]d3!B29</f>
        <v>43184628.810000002</v>
      </c>
      <c r="E23" s="92">
        <f>[20]d3!C29</f>
        <v>27762415.789999999</v>
      </c>
      <c r="G23" s="92">
        <f t="shared" ref="G23:G30" si="1">C23-E23</f>
        <v>15422213.020000003</v>
      </c>
      <c r="I23" s="101">
        <f>IF(C23-E23=C23,0,ROUND(G23/E23*100,4))</f>
        <v>55.550699999999999</v>
      </c>
    </row>
    <row r="24" spans="1:10" ht="15.75" customHeight="1" x14ac:dyDescent="0.25">
      <c r="A24" s="477" t="s">
        <v>210</v>
      </c>
      <c r="B24" s="481" t="s">
        <v>198</v>
      </c>
      <c r="C24" s="92">
        <f>[20]d3!B30</f>
        <v>10053733.93</v>
      </c>
      <c r="E24" s="92">
        <f>[20]d3!C30</f>
        <v>13060218.029999999</v>
      </c>
      <c r="G24" s="92">
        <f t="shared" si="1"/>
        <v>-3006484.0999999996</v>
      </c>
      <c r="I24" s="101">
        <f>IF(C24-E24=C24,0,ROUND(G24/E24*100,4))</f>
        <v>-23.020199999999999</v>
      </c>
    </row>
    <row r="25" spans="1:10" ht="15.75" customHeight="1" x14ac:dyDescent="0.25">
      <c r="A25" s="477" t="s">
        <v>211</v>
      </c>
      <c r="B25" s="481" t="s">
        <v>198</v>
      </c>
      <c r="C25" s="92">
        <f>[20]d3!B31</f>
        <v>-10193508.02</v>
      </c>
      <c r="E25" s="92">
        <f>[20]d3!C31</f>
        <v>-6360163.3799999999</v>
      </c>
      <c r="G25" s="92">
        <f t="shared" si="1"/>
        <v>-3833344.6399999997</v>
      </c>
      <c r="I25" s="101">
        <f>IF(C25-E25=C25,0,ROUND(G25/E25*100,4))</f>
        <v>60.2712</v>
      </c>
    </row>
    <row r="26" spans="1:10" ht="15.75" customHeight="1" x14ac:dyDescent="0.25">
      <c r="A26" s="477" t="s">
        <v>212</v>
      </c>
      <c r="B26" s="481" t="s">
        <v>198</v>
      </c>
      <c r="C26" s="92">
        <f>[20]d3!B32</f>
        <v>-3158868.86</v>
      </c>
      <c r="E26" s="92">
        <f>[20]d3!C32</f>
        <v>-488065.68</v>
      </c>
      <c r="G26" s="92">
        <f t="shared" si="1"/>
        <v>-2670803.1799999997</v>
      </c>
      <c r="I26" s="101">
        <f>IF(C26-E26=C26,0,ROUND(G26/E26*100,4))</f>
        <v>547.22209999999995</v>
      </c>
    </row>
    <row r="27" spans="1:10" ht="15.75" customHeight="1" x14ac:dyDescent="0.25">
      <c r="A27" s="477" t="s">
        <v>213</v>
      </c>
      <c r="B27" s="481" t="s">
        <v>198</v>
      </c>
      <c r="C27" s="92">
        <f>[20]d3!B33</f>
        <v>20661094.32</v>
      </c>
      <c r="D27" s="102"/>
      <c r="E27" s="92">
        <f>[20]d3!C33</f>
        <v>18439076.670000002</v>
      </c>
      <c r="F27" s="102"/>
      <c r="G27" s="102">
        <f t="shared" si="1"/>
        <v>2222017.6499999985</v>
      </c>
      <c r="H27" s="102"/>
      <c r="I27" s="101">
        <f>ROUND(G27/E27*100,4)</f>
        <v>12.050599999999999</v>
      </c>
      <c r="J27" s="486"/>
    </row>
    <row r="28" spans="1:10" ht="15.75" customHeight="1" x14ac:dyDescent="0.25">
      <c r="A28" s="477" t="s">
        <v>214</v>
      </c>
      <c r="B28" s="481" t="s">
        <v>198</v>
      </c>
      <c r="C28" s="92">
        <f>[20]d3!B34</f>
        <v>25266897.969999999</v>
      </c>
      <c r="D28" s="102"/>
      <c r="E28" s="92">
        <f>[20]d3!C34</f>
        <v>42566647</v>
      </c>
      <c r="F28" s="102"/>
      <c r="G28" s="102">
        <f t="shared" si="1"/>
        <v>-17299749.030000001</v>
      </c>
      <c r="H28" s="102"/>
      <c r="I28" s="101">
        <f>ROUND(G28/E28*100,4)</f>
        <v>-40.641599999999997</v>
      </c>
      <c r="J28" s="486" t="s">
        <v>215</v>
      </c>
    </row>
    <row r="29" spans="1:10" ht="15.75" customHeight="1" x14ac:dyDescent="0.25">
      <c r="A29" s="477" t="s">
        <v>216</v>
      </c>
      <c r="B29" s="481" t="s">
        <v>198</v>
      </c>
      <c r="C29" s="102">
        <f>[20]d3!B36</f>
        <v>-583106.55000000005</v>
      </c>
      <c r="D29" s="102"/>
      <c r="E29" s="92">
        <f>[20]d3!C36</f>
        <v>-706851.51</v>
      </c>
      <c r="F29" s="102"/>
      <c r="G29" s="102">
        <f t="shared" si="1"/>
        <v>123744.95999999996</v>
      </c>
      <c r="H29" s="102"/>
      <c r="I29" s="101">
        <f>IF(C29-E29=C29,0,ROUND(G29/E29*100,4))</f>
        <v>-17.506499999999999</v>
      </c>
    </row>
    <row r="30" spans="1:10" ht="15.75" customHeight="1" x14ac:dyDescent="0.25">
      <c r="A30" s="477" t="s">
        <v>217</v>
      </c>
      <c r="B30" s="481" t="s">
        <v>198</v>
      </c>
      <c r="C30" s="98">
        <f>[20]d3!B37</f>
        <v>1981575.36</v>
      </c>
      <c r="D30" s="102"/>
      <c r="E30" s="98">
        <f>[20]d3!C37</f>
        <v>1861362.72</v>
      </c>
      <c r="F30" s="102"/>
      <c r="G30" s="98">
        <f t="shared" si="1"/>
        <v>120212.64000000013</v>
      </c>
      <c r="H30" s="102"/>
      <c r="I30" s="99">
        <f>IF(C30-E30=C30,0,ROUND(G30/E30*100,4))</f>
        <v>6.4583000000000004</v>
      </c>
    </row>
    <row r="31" spans="1:10" ht="15.75" customHeight="1" x14ac:dyDescent="0.25">
      <c r="B31" s="481" t="s">
        <v>198</v>
      </c>
      <c r="I31" s="100"/>
    </row>
    <row r="32" spans="1:10" ht="15.75" customHeight="1" x14ac:dyDescent="0.25">
      <c r="A32" s="477" t="s">
        <v>218</v>
      </c>
      <c r="B32" s="481" t="s">
        <v>198</v>
      </c>
      <c r="C32" s="98">
        <f>SUM(C15:C31)</f>
        <v>1210547822.3499999</v>
      </c>
      <c r="E32" s="98">
        <f>SUM(E15:E31)</f>
        <v>1081445466.8</v>
      </c>
      <c r="G32" s="98">
        <f>C32-E32</f>
        <v>129102355.54999995</v>
      </c>
      <c r="I32" s="99">
        <f>ROUND(G32/E32*100,4)</f>
        <v>11.937900000000001</v>
      </c>
    </row>
    <row r="33" spans="1:9" ht="15.75" customHeight="1" x14ac:dyDescent="0.25">
      <c r="B33" s="481" t="s">
        <v>198</v>
      </c>
      <c r="I33" s="100"/>
    </row>
    <row r="34" spans="1:9" ht="15.75" customHeight="1" x14ac:dyDescent="0.25">
      <c r="A34" s="477" t="s">
        <v>219</v>
      </c>
      <c r="B34" s="481" t="s">
        <v>198</v>
      </c>
      <c r="C34" s="103">
        <f>C13-C32</f>
        <v>193494230.9000001</v>
      </c>
      <c r="E34" s="92">
        <f>E13-E32</f>
        <v>191103432.44000006</v>
      </c>
      <c r="G34" s="92">
        <f>C34-E34</f>
        <v>2390798.4600000381</v>
      </c>
      <c r="I34" s="101">
        <f>ROUND(G34/E34*100,4)</f>
        <v>1.2509999999999999</v>
      </c>
    </row>
    <row r="35" spans="1:9" ht="15.75" customHeight="1" x14ac:dyDescent="0.25">
      <c r="B35" s="481"/>
      <c r="I35" s="101"/>
    </row>
    <row r="36" spans="1:9" ht="15.6" customHeight="1" x14ac:dyDescent="0.25">
      <c r="A36" s="477" t="s">
        <v>220</v>
      </c>
      <c r="B36" s="481" t="s">
        <v>198</v>
      </c>
      <c r="I36" s="104"/>
    </row>
    <row r="37" spans="1:9" ht="15.75" customHeight="1" x14ac:dyDescent="0.25">
      <c r="A37" s="477" t="s">
        <v>221</v>
      </c>
      <c r="B37" s="481" t="s">
        <v>198</v>
      </c>
      <c r="C37" s="92">
        <f>[20]d3!B44</f>
        <v>29381189.969999999</v>
      </c>
      <c r="E37" s="92">
        <f>[20]d3!C44</f>
        <v>28450681.68</v>
      </c>
      <c r="G37" s="92">
        <f>C37-E37</f>
        <v>930508.28999999911</v>
      </c>
      <c r="I37" s="101">
        <f>ROUND(G37/E37*100,4)</f>
        <v>3.2706</v>
      </c>
    </row>
    <row r="38" spans="1:9" ht="15.75" customHeight="1" x14ac:dyDescent="0.25">
      <c r="A38" s="477" t="s">
        <v>222</v>
      </c>
      <c r="B38" s="481" t="s">
        <v>198</v>
      </c>
      <c r="C38" s="98">
        <f>[20]d3!B45</f>
        <v>6040968.5599999996</v>
      </c>
      <c r="E38" s="98">
        <f>[20]d3!C45</f>
        <v>3327704.85</v>
      </c>
      <c r="G38" s="98">
        <f>C38-E38</f>
        <v>2713263.7099999995</v>
      </c>
      <c r="I38" s="99">
        <f>ROUND(G38/E38*100,4)</f>
        <v>81.535600000000002</v>
      </c>
    </row>
    <row r="39" spans="1:9" ht="15.75" customHeight="1" x14ac:dyDescent="0.25">
      <c r="B39" s="481" t="s">
        <v>198</v>
      </c>
      <c r="I39" s="100"/>
    </row>
    <row r="40" spans="1:9" ht="15.75" customHeight="1" x14ac:dyDescent="0.25">
      <c r="A40" s="477" t="s">
        <v>223</v>
      </c>
      <c r="B40" s="481" t="s">
        <v>198</v>
      </c>
      <c r="C40" s="98">
        <f>C37+C38</f>
        <v>35422158.530000001</v>
      </c>
      <c r="E40" s="98">
        <f>E37+E38</f>
        <v>31778386.530000001</v>
      </c>
      <c r="G40" s="98">
        <f>C40-E40</f>
        <v>3643772</v>
      </c>
      <c r="I40" s="99">
        <f>ROUND(G40/E40*100,4)</f>
        <v>11.466200000000001</v>
      </c>
    </row>
    <row r="41" spans="1:9" ht="15.75" customHeight="1" x14ac:dyDescent="0.25">
      <c r="B41" s="481" t="s">
        <v>198</v>
      </c>
      <c r="I41" s="100"/>
    </row>
    <row r="42" spans="1:9" ht="15.75" customHeight="1" x14ac:dyDescent="0.25">
      <c r="A42" s="477" t="s">
        <v>224</v>
      </c>
      <c r="B42" s="481" t="s">
        <v>198</v>
      </c>
      <c r="C42" s="98">
        <f>C34+C40</f>
        <v>228916389.4300001</v>
      </c>
      <c r="E42" s="98">
        <f>E34+E40</f>
        <v>222881818.97000006</v>
      </c>
      <c r="G42" s="98">
        <f>C42-E42</f>
        <v>6034570.4600000381</v>
      </c>
      <c r="I42" s="99">
        <f>ROUND(G42/E42*100,4)</f>
        <v>2.7075</v>
      </c>
    </row>
    <row r="43" spans="1:9" ht="15.75" customHeight="1" x14ac:dyDescent="0.25">
      <c r="B43" s="481" t="s">
        <v>198</v>
      </c>
      <c r="I43" s="100"/>
    </row>
    <row r="44" spans="1:9" ht="15.75" customHeight="1" x14ac:dyDescent="0.25">
      <c r="A44" s="477" t="s">
        <v>225</v>
      </c>
      <c r="B44" s="481" t="s">
        <v>198</v>
      </c>
      <c r="C44" s="92">
        <f>[20]d3!B51</f>
        <v>68330555.219999999</v>
      </c>
      <c r="E44" s="92">
        <f>[20]d3!C51</f>
        <v>48500483.57</v>
      </c>
      <c r="G44" s="92">
        <f>C44-E44</f>
        <v>19830071.649999999</v>
      </c>
      <c r="I44" s="101">
        <f>ROUND(G44/E44*100,4)</f>
        <v>40.886299999999999</v>
      </c>
    </row>
    <row r="45" spans="1:9" ht="15.75" customHeight="1" x14ac:dyDescent="0.25">
      <c r="A45" s="477" t="s">
        <v>226</v>
      </c>
      <c r="B45" s="481" t="s">
        <v>198</v>
      </c>
      <c r="C45" s="92">
        <f>[20]d3!B52</f>
        <v>743570.52</v>
      </c>
      <c r="E45" s="92">
        <f>[20]d3!C52</f>
        <v>853500.52</v>
      </c>
      <c r="G45" s="92">
        <f>C45-E45</f>
        <v>-109930</v>
      </c>
      <c r="I45" s="101">
        <f>ROUND(G45/E45*100,4)</f>
        <v>-12.879899999999999</v>
      </c>
    </row>
    <row r="46" spans="1:9" ht="15.75" customHeight="1" x14ac:dyDescent="0.25">
      <c r="A46" s="477" t="s">
        <v>227</v>
      </c>
      <c r="B46" s="481" t="s">
        <v>198</v>
      </c>
      <c r="C46" s="92">
        <f>[20]d3!B53</f>
        <v>4625165.34</v>
      </c>
      <c r="E46" s="92">
        <f>[20]d3!C53</f>
        <v>7521067.0300000003</v>
      </c>
      <c r="G46" s="92">
        <f>C46-E46</f>
        <v>-2895901.6900000004</v>
      </c>
      <c r="I46" s="101">
        <f>ROUND(G46/E46*100,4)</f>
        <v>-38.503900000000002</v>
      </c>
    </row>
    <row r="47" spans="1:9" ht="15.75" customHeight="1" x14ac:dyDescent="0.25">
      <c r="A47" s="477" t="s">
        <v>228</v>
      </c>
      <c r="B47" s="481" t="s">
        <v>198</v>
      </c>
      <c r="C47" s="98">
        <f>[20]d3!B54</f>
        <v>-2048468.41</v>
      </c>
      <c r="E47" s="98">
        <f>[20]d3!C54</f>
        <v>-955806.63</v>
      </c>
      <c r="G47" s="98">
        <f>C47-E47</f>
        <v>-1092661.7799999998</v>
      </c>
      <c r="I47" s="99">
        <f>ROUND(G47/E47*100,4)</f>
        <v>114.31829999999999</v>
      </c>
    </row>
    <row r="48" spans="1:9" ht="15.75" customHeight="1" x14ac:dyDescent="0.25">
      <c r="B48" s="481" t="s">
        <v>198</v>
      </c>
      <c r="I48" s="100"/>
    </row>
    <row r="49" spans="1:9" ht="15.75" customHeight="1" x14ac:dyDescent="0.25">
      <c r="A49" s="477" t="s">
        <v>229</v>
      </c>
      <c r="B49" s="481" t="s">
        <v>198</v>
      </c>
      <c r="C49" s="98">
        <f>SUM(C44:C48)</f>
        <v>71650822.670000002</v>
      </c>
      <c r="E49" s="98">
        <f>SUM(E44:E48)</f>
        <v>55919244.490000002</v>
      </c>
      <c r="G49" s="98">
        <f>C49-E49</f>
        <v>15731578.18</v>
      </c>
      <c r="I49" s="99">
        <f>ROUND(G49/E49*100,4)</f>
        <v>28.1327</v>
      </c>
    </row>
    <row r="50" spans="1:9" ht="15.75" customHeight="1" x14ac:dyDescent="0.25">
      <c r="B50" s="481"/>
      <c r="I50" s="100"/>
    </row>
    <row r="51" spans="1:9" ht="15.75" customHeight="1" thickBot="1" x14ac:dyDescent="0.3">
      <c r="A51" s="477" t="s">
        <v>232</v>
      </c>
      <c r="B51" s="481" t="s">
        <v>198</v>
      </c>
      <c r="C51" s="105">
        <f>C42-C49</f>
        <v>157265566.76000011</v>
      </c>
      <c r="E51" s="105">
        <f>E42-E49</f>
        <v>166962574.48000005</v>
      </c>
      <c r="G51" s="105">
        <f>C51-E51</f>
        <v>-9697007.7199999392</v>
      </c>
      <c r="I51" s="106">
        <f>ROUND(G51/E51*100,4)</f>
        <v>-5.8079000000000001</v>
      </c>
    </row>
    <row r="52" spans="1:9" ht="15.75" customHeight="1" thickTop="1" x14ac:dyDescent="0.25">
      <c r="B52" s="477" t="s">
        <v>198</v>
      </c>
      <c r="I52" s="101"/>
    </row>
    <row r="53" spans="1:9" ht="15.75" customHeight="1" x14ac:dyDescent="0.25">
      <c r="B53" s="477" t="s">
        <v>198</v>
      </c>
      <c r="I53" s="487" t="s">
        <v>582</v>
      </c>
    </row>
    <row r="54" spans="1:9" ht="15.75" customHeight="1" x14ac:dyDescent="0.25">
      <c r="B54" s="477" t="s">
        <v>198</v>
      </c>
      <c r="I54" s="101"/>
    </row>
    <row r="55" spans="1:9" ht="15.75" customHeight="1" x14ac:dyDescent="0.25">
      <c r="B55" s="477" t="s">
        <v>198</v>
      </c>
      <c r="I55" s="101"/>
    </row>
    <row r="56" spans="1:9" ht="15.75" customHeight="1" x14ac:dyDescent="0.25">
      <c r="B56" s="477" t="s">
        <v>198</v>
      </c>
    </row>
    <row r="57" spans="1:9" ht="15.75" customHeight="1" x14ac:dyDescent="0.25">
      <c r="B57" s="477" t="s">
        <v>198</v>
      </c>
    </row>
  </sheetData>
  <mergeCells count="1">
    <mergeCell ref="A14:J14"/>
  </mergeCells>
  <phoneticPr fontId="55" type="noConversion"/>
  <printOptions horizontalCentered="1"/>
  <pageMargins left="0" right="0" top="0.5" bottom="0.4" header="0" footer="0.28000000000000003"/>
  <pageSetup scale="67" orientation="landscape" horizontalDpi="4294967292" verticalDpi="300" r:id="rId1"/>
  <headerFooter alignWithMargins="0">
    <oddFooter>&amp;C&amp;"Times New Roman,Bold"&amp;A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  <pageSetUpPr fitToPage="1"/>
  </sheetPr>
  <dimension ref="A1:O55"/>
  <sheetViews>
    <sheetView showGridLines="0" zoomScale="75" workbookViewId="0">
      <selection activeCell="C33" sqref="C33"/>
    </sheetView>
  </sheetViews>
  <sheetFormatPr defaultColWidth="10.28515625" defaultRowHeight="15.75" x14ac:dyDescent="0.25"/>
  <cols>
    <col min="1" max="1" width="3" style="477" customWidth="1"/>
    <col min="2" max="2" width="49.85546875" style="477" customWidth="1"/>
    <col min="3" max="3" width="1.85546875" style="477" customWidth="1"/>
    <col min="4" max="4" width="20.140625" style="107" customWidth="1"/>
    <col min="5" max="5" width="4.140625" style="108" customWidth="1"/>
    <col min="6" max="6" width="21.28515625" style="107" customWidth="1"/>
    <col min="7" max="7" width="5.140625" style="107" customWidth="1"/>
    <col min="8" max="8" width="3" style="107" customWidth="1"/>
    <col min="9" max="9" width="49.85546875" style="107" customWidth="1"/>
    <col min="10" max="10" width="1.85546875" style="107" customWidth="1"/>
    <col min="11" max="11" width="21.28515625" style="107" customWidth="1"/>
    <col min="12" max="12" width="4.140625" style="108" customWidth="1"/>
    <col min="13" max="13" width="21.28515625" style="107" customWidth="1"/>
    <col min="14" max="15" width="10.28515625" style="107" customWidth="1"/>
    <col min="16" max="16384" width="10.28515625" style="477"/>
  </cols>
  <sheetData>
    <row r="1" spans="1:15" x14ac:dyDescent="0.25">
      <c r="A1" s="475" t="s">
        <v>21</v>
      </c>
      <c r="B1" s="476"/>
      <c r="C1" s="476"/>
      <c r="D1" s="109"/>
      <c r="E1" s="110"/>
      <c r="F1" s="109"/>
      <c r="G1" s="109"/>
      <c r="H1" s="109"/>
      <c r="I1" s="109"/>
      <c r="J1" s="109"/>
      <c r="K1" s="109"/>
      <c r="L1" s="110"/>
      <c r="M1" s="109"/>
    </row>
    <row r="2" spans="1:15" s="480" customFormat="1" x14ac:dyDescent="0.25">
      <c r="A2" s="478" t="str">
        <f>CONCATENATE("Comparative Balance Sheets as of", " ",[20]Cover!A15," and 2007")</f>
        <v>Comparative Balance Sheets as of December 31, 2008 and 2007</v>
      </c>
      <c r="B2" s="479"/>
      <c r="C2" s="479"/>
      <c r="D2" s="93"/>
      <c r="E2" s="96"/>
      <c r="F2" s="93"/>
      <c r="G2" s="93"/>
      <c r="H2" s="93"/>
      <c r="I2" s="93"/>
      <c r="J2" s="93"/>
      <c r="K2" s="93"/>
      <c r="L2" s="96"/>
      <c r="M2" s="93"/>
      <c r="N2" s="92"/>
      <c r="O2" s="92"/>
    </row>
    <row r="3" spans="1:15" s="480" customFormat="1" x14ac:dyDescent="0.25">
      <c r="D3" s="92"/>
      <c r="E3" s="102"/>
      <c r="F3" s="92"/>
      <c r="G3" s="92"/>
      <c r="H3" s="92"/>
      <c r="I3" s="92"/>
      <c r="J3" s="92"/>
      <c r="K3" s="92"/>
      <c r="L3" s="102"/>
      <c r="M3" s="92"/>
      <c r="N3" s="92"/>
      <c r="O3" s="92"/>
    </row>
    <row r="6" spans="1:15" x14ac:dyDescent="0.25">
      <c r="B6" s="477" t="s">
        <v>233</v>
      </c>
      <c r="D6" s="111" t="s">
        <v>192</v>
      </c>
      <c r="E6" s="112"/>
      <c r="F6" s="111" t="s">
        <v>193</v>
      </c>
      <c r="I6" s="107" t="s">
        <v>234</v>
      </c>
      <c r="K6" s="111" t="s">
        <v>192</v>
      </c>
      <c r="L6" s="112"/>
      <c r="M6" s="111" t="s">
        <v>193</v>
      </c>
    </row>
    <row r="8" spans="1:15" x14ac:dyDescent="0.25">
      <c r="A8" s="477" t="s">
        <v>235</v>
      </c>
      <c r="H8" s="107" t="s">
        <v>27</v>
      </c>
    </row>
    <row r="9" spans="1:15" x14ac:dyDescent="0.25">
      <c r="B9" s="477" t="s">
        <v>236</v>
      </c>
      <c r="C9" s="481" t="s">
        <v>198</v>
      </c>
      <c r="D9" s="113">
        <f>[20]d5!B15</f>
        <v>5622457950.54</v>
      </c>
      <c r="F9" s="107">
        <f>[20]d5!C15</f>
        <v>4939349138.3699999</v>
      </c>
      <c r="I9" s="107" t="s">
        <v>237</v>
      </c>
      <c r="J9" s="114" t="s">
        <v>198</v>
      </c>
      <c r="K9" s="108">
        <f>[20]d5!B69</f>
        <v>308139977.56</v>
      </c>
      <c r="M9" s="108">
        <f>[20]d5!C69</f>
        <v>308139977.56</v>
      </c>
    </row>
    <row r="10" spans="1:15" x14ac:dyDescent="0.25">
      <c r="B10" s="477" t="s">
        <v>238</v>
      </c>
      <c r="C10" s="481" t="s">
        <v>198</v>
      </c>
      <c r="D10" s="115">
        <f>[20]d5!B16</f>
        <v>2052492161.4300001</v>
      </c>
      <c r="F10" s="116">
        <f>[20]d5!C16</f>
        <v>1931454524.23</v>
      </c>
      <c r="I10" s="107" t="s">
        <v>239</v>
      </c>
      <c r="J10" s="114" t="s">
        <v>198</v>
      </c>
      <c r="K10" s="108">
        <f>[20]d5!B70</f>
        <v>-321288.87</v>
      </c>
      <c r="M10" s="108">
        <f>[20]d5!C70</f>
        <v>-321288.87</v>
      </c>
    </row>
    <row r="11" spans="1:15" x14ac:dyDescent="0.25">
      <c r="C11" s="481" t="s">
        <v>198</v>
      </c>
      <c r="I11" s="107" t="s">
        <v>240</v>
      </c>
      <c r="J11" s="114" t="s">
        <v>198</v>
      </c>
      <c r="K11" s="108">
        <f>[20]d5!B71</f>
        <v>240711597</v>
      </c>
      <c r="M11" s="108">
        <f>[20]d5!C71</f>
        <v>90000000</v>
      </c>
    </row>
    <row r="12" spans="1:15" ht="15.75" customHeight="1" x14ac:dyDescent="0.25">
      <c r="B12" s="477" t="s">
        <v>241</v>
      </c>
      <c r="C12" s="481" t="s">
        <v>198</v>
      </c>
      <c r="D12" s="116">
        <f>D9-D10</f>
        <v>3569965789.1099997</v>
      </c>
      <c r="F12" s="116">
        <f>F9-F10</f>
        <v>3007894614.1399999</v>
      </c>
      <c r="I12" s="107" t="s">
        <v>243</v>
      </c>
      <c r="J12" s="114" t="s">
        <v>198</v>
      </c>
      <c r="K12" s="108">
        <f>[20]d5!B73</f>
        <v>1174207029.97</v>
      </c>
      <c r="M12" s="108">
        <f>[20]d5!C73</f>
        <v>1016489982.01</v>
      </c>
    </row>
    <row r="13" spans="1:15" x14ac:dyDescent="0.25">
      <c r="I13" s="107" t="s">
        <v>244</v>
      </c>
      <c r="J13" s="114" t="s">
        <v>198</v>
      </c>
      <c r="K13" s="116">
        <f>[20]d5!B74</f>
        <v>20755586.800000001</v>
      </c>
      <c r="M13" s="116">
        <f>[20]d5!C74</f>
        <v>21207068</v>
      </c>
    </row>
    <row r="14" spans="1:15" x14ac:dyDescent="0.25">
      <c r="D14" s="108"/>
      <c r="F14" s="108"/>
      <c r="J14" s="114"/>
    </row>
    <row r="15" spans="1:15" x14ac:dyDescent="0.25">
      <c r="I15" s="107" t="s">
        <v>245</v>
      </c>
      <c r="J15" s="114" t="s">
        <v>198</v>
      </c>
      <c r="K15" s="116">
        <f>SUM(K9:K13)</f>
        <v>1743492902.46</v>
      </c>
      <c r="M15" s="116">
        <f>SUM(M9:M13)</f>
        <v>1435515738.7</v>
      </c>
    </row>
    <row r="16" spans="1:15" x14ac:dyDescent="0.25">
      <c r="A16" s="477" t="s">
        <v>580</v>
      </c>
      <c r="C16" s="481" t="s">
        <v>198</v>
      </c>
      <c r="J16" s="114"/>
    </row>
    <row r="17" spans="1:13" x14ac:dyDescent="0.25">
      <c r="B17" s="477" t="s">
        <v>246</v>
      </c>
      <c r="C17" s="481" t="s">
        <v>198</v>
      </c>
      <c r="D17" s="107">
        <f>[20]d5!B23</f>
        <v>250000</v>
      </c>
      <c r="F17" s="107">
        <f>[20]d5!C23</f>
        <v>250000</v>
      </c>
      <c r="J17" s="114"/>
    </row>
    <row r="18" spans="1:13" x14ac:dyDescent="0.25">
      <c r="B18" s="477" t="s">
        <v>247</v>
      </c>
      <c r="C18" s="481" t="s">
        <v>198</v>
      </c>
      <c r="D18" s="107">
        <f>[20]d5!B24</f>
        <v>179120.94</v>
      </c>
      <c r="F18" s="107">
        <f>[20]d5!C24</f>
        <v>180295.94</v>
      </c>
      <c r="I18" s="117" t="s">
        <v>581</v>
      </c>
      <c r="J18" s="114" t="s">
        <v>198</v>
      </c>
      <c r="K18" s="108">
        <f>[20]d5!B80</f>
        <v>350779405</v>
      </c>
      <c r="M18" s="108">
        <f>[20]d5!C80</f>
        <v>332753140</v>
      </c>
    </row>
    <row r="19" spans="1:13" x14ac:dyDescent="0.25">
      <c r="B19" s="477" t="s">
        <v>249</v>
      </c>
      <c r="C19" s="481" t="s">
        <v>198</v>
      </c>
      <c r="D19" s="107">
        <f>[20]d5!B25</f>
        <v>22051386.800000001</v>
      </c>
      <c r="F19" s="107">
        <f>[20]d5!C25</f>
        <v>22502868</v>
      </c>
      <c r="I19" s="92" t="s">
        <v>252</v>
      </c>
      <c r="J19" s="114" t="s">
        <v>198</v>
      </c>
      <c r="K19" s="116">
        <f>[20]d5!B82</f>
        <v>1181000000</v>
      </c>
      <c r="M19" s="116">
        <f>[20]d5!C82</f>
        <v>931000000</v>
      </c>
    </row>
    <row r="20" spans="1:13" x14ac:dyDescent="0.25">
      <c r="B20" s="477" t="s">
        <v>250</v>
      </c>
      <c r="C20" s="481" t="s">
        <v>198</v>
      </c>
      <c r="D20" s="107">
        <f>[20]d5!B26</f>
        <v>5997831.3499999996</v>
      </c>
      <c r="F20" s="107">
        <f>[20]d5!C26</f>
        <v>5915884.0700000003</v>
      </c>
    </row>
    <row r="21" spans="1:13" x14ac:dyDescent="0.25">
      <c r="B21" s="477" t="s">
        <v>251</v>
      </c>
      <c r="C21" s="481" t="s">
        <v>198</v>
      </c>
      <c r="D21" s="116">
        <f>[20]d5!B27</f>
        <v>411140</v>
      </c>
      <c r="F21" s="116">
        <f>[20]d5!C27</f>
        <v>411140</v>
      </c>
      <c r="I21" s="107" t="s">
        <v>254</v>
      </c>
      <c r="J21" s="114" t="s">
        <v>198</v>
      </c>
      <c r="K21" s="108">
        <f>SUM(K17:K19)</f>
        <v>1531779405</v>
      </c>
      <c r="M21" s="108">
        <f>SUM(M17:M19)</f>
        <v>1263753140</v>
      </c>
    </row>
    <row r="22" spans="1:13" x14ac:dyDescent="0.25">
      <c r="C22" s="481"/>
      <c r="D22" s="108"/>
      <c r="F22" s="108"/>
      <c r="J22" s="114" t="s">
        <v>198</v>
      </c>
      <c r="K22" s="108"/>
      <c r="M22" s="108"/>
    </row>
    <row r="23" spans="1:13" x14ac:dyDescent="0.25">
      <c r="B23" s="477" t="s">
        <v>253</v>
      </c>
      <c r="C23" s="481" t="s">
        <v>198</v>
      </c>
      <c r="D23" s="116">
        <f>SUM(D17:D21)</f>
        <v>28889479.090000004</v>
      </c>
      <c r="F23" s="116">
        <f>SUM(F17:F21)</f>
        <v>29260188.010000002</v>
      </c>
      <c r="I23" s="107" t="s">
        <v>255</v>
      </c>
      <c r="J23" s="114" t="s">
        <v>198</v>
      </c>
      <c r="K23" s="116">
        <f>K15+K21</f>
        <v>3275272307.46</v>
      </c>
      <c r="M23" s="116">
        <f>M15+M21</f>
        <v>2699268878.6999998</v>
      </c>
    </row>
    <row r="26" spans="1:13" x14ac:dyDescent="0.25">
      <c r="A26" s="477" t="s">
        <v>256</v>
      </c>
      <c r="C26" s="481" t="s">
        <v>198</v>
      </c>
    </row>
    <row r="27" spans="1:13" x14ac:dyDescent="0.25">
      <c r="B27" s="477" t="s">
        <v>257</v>
      </c>
      <c r="C27" s="481" t="s">
        <v>198</v>
      </c>
      <c r="D27" s="134">
        <f>[20]d5!B34</f>
        <v>2413345.5499999998</v>
      </c>
      <c r="F27" s="107">
        <f>[20]d5!C34</f>
        <v>321020.78999999998</v>
      </c>
      <c r="H27" s="107" t="s">
        <v>258</v>
      </c>
    </row>
    <row r="28" spans="1:13" x14ac:dyDescent="0.25">
      <c r="B28" s="477" t="s">
        <v>259</v>
      </c>
      <c r="C28" s="481" t="s">
        <v>198</v>
      </c>
      <c r="D28" s="134">
        <f>[20]d5!B35</f>
        <v>9510008.6600000001</v>
      </c>
      <c r="F28" s="107">
        <f>[20]d5!C35</f>
        <v>10985555.779999999</v>
      </c>
      <c r="I28" s="482" t="s">
        <v>261</v>
      </c>
      <c r="J28" s="114" t="s">
        <v>198</v>
      </c>
      <c r="K28" s="107">
        <f>[20]d5!B92</f>
        <v>16247454</v>
      </c>
      <c r="M28" s="107">
        <f>[20]d5!C92</f>
        <v>23219454</v>
      </c>
    </row>
    <row r="29" spans="1:13" x14ac:dyDescent="0.25">
      <c r="B29" s="477" t="s">
        <v>260</v>
      </c>
      <c r="C29" s="481" t="s">
        <v>198</v>
      </c>
      <c r="D29" s="134">
        <f>[20]d5!B36</f>
        <v>13.11</v>
      </c>
      <c r="F29" s="107">
        <f>[20]d5!C36</f>
        <v>17489.91</v>
      </c>
      <c r="I29" s="107" t="s">
        <v>266</v>
      </c>
      <c r="J29" s="114" t="s">
        <v>198</v>
      </c>
      <c r="K29" s="108">
        <f>[20]d5!B95</f>
        <v>166771077.13999999</v>
      </c>
      <c r="M29" s="108">
        <f>[20]d5!C95</f>
        <v>165373890.06</v>
      </c>
    </row>
    <row r="30" spans="1:13" x14ac:dyDescent="0.25">
      <c r="B30" s="477" t="s">
        <v>262</v>
      </c>
      <c r="C30" s="481" t="s">
        <v>198</v>
      </c>
      <c r="D30" s="134">
        <f>[20]d5!B37</f>
        <v>164835960.43000001</v>
      </c>
      <c r="F30" s="107">
        <f>[20]d5!C37</f>
        <v>171767245.72999999</v>
      </c>
      <c r="I30" s="107" t="s">
        <v>268</v>
      </c>
      <c r="J30" s="114" t="s">
        <v>198</v>
      </c>
      <c r="K30" s="108">
        <f>[20]d5!B96</f>
        <v>24709458.050000001</v>
      </c>
      <c r="M30" s="108">
        <f>[20]d5!C96</f>
        <v>38042955.520000003</v>
      </c>
    </row>
    <row r="31" spans="1:13" x14ac:dyDescent="0.25">
      <c r="B31" s="477" t="s">
        <v>265</v>
      </c>
      <c r="C31" s="481" t="s">
        <v>198</v>
      </c>
      <c r="D31" s="134">
        <f>[20]d5!B39</f>
        <v>12376152.470000001</v>
      </c>
      <c r="F31" s="107">
        <f>[20]d5!C39</f>
        <v>16983062.010000002</v>
      </c>
      <c r="I31" s="107" t="s">
        <v>270</v>
      </c>
      <c r="J31" s="114" t="s">
        <v>198</v>
      </c>
      <c r="K31" s="108">
        <f>[20]d5!B97</f>
        <v>21057049.050000001</v>
      </c>
      <c r="M31" s="108">
        <f>[20]d5!C97</f>
        <v>19573318.280000001</v>
      </c>
    </row>
    <row r="32" spans="1:13" x14ac:dyDescent="0.25">
      <c r="B32" s="477" t="s">
        <v>267</v>
      </c>
      <c r="C32" s="481" t="s">
        <v>198</v>
      </c>
      <c r="D32" s="134"/>
      <c r="I32" s="107" t="s">
        <v>272</v>
      </c>
      <c r="J32" s="114" t="s">
        <v>198</v>
      </c>
      <c r="K32" s="108">
        <f>[20]d5!B98</f>
        <v>8558559.9499999993</v>
      </c>
      <c r="M32" s="108">
        <f>[20]d5!C98</f>
        <v>3633209.17</v>
      </c>
    </row>
    <row r="33" spans="1:13" x14ac:dyDescent="0.25">
      <c r="B33" s="477" t="s">
        <v>269</v>
      </c>
      <c r="C33" s="481" t="s">
        <v>198</v>
      </c>
      <c r="D33" s="134">
        <f>[20]d5!B41</f>
        <v>72708035.069999993</v>
      </c>
      <c r="F33" s="107">
        <f>[20]d5!C41</f>
        <v>41770627.770000003</v>
      </c>
      <c r="I33" s="107" t="s">
        <v>274</v>
      </c>
      <c r="J33" s="114" t="s">
        <v>198</v>
      </c>
      <c r="K33" s="108">
        <v>14653836.210000001</v>
      </c>
      <c r="M33" s="108">
        <f>[20]d5!C99</f>
        <v>11932026.449999999</v>
      </c>
    </row>
    <row r="34" spans="1:13" x14ac:dyDescent="0.25">
      <c r="B34" s="477" t="s">
        <v>271</v>
      </c>
      <c r="C34" s="481" t="s">
        <v>198</v>
      </c>
      <c r="D34" s="134">
        <f>[20]d5!B42</f>
        <v>29561689.399999999</v>
      </c>
      <c r="F34" s="107">
        <f>[20]d5!C42</f>
        <v>27370026.449999999</v>
      </c>
      <c r="I34" s="107" t="s">
        <v>278</v>
      </c>
      <c r="J34" s="114" t="s">
        <v>198</v>
      </c>
      <c r="K34" s="116">
        <f>[20]d5!B101</f>
        <v>12258283.449999999</v>
      </c>
      <c r="M34" s="116">
        <f>[20]d5!C101</f>
        <v>10909671.01</v>
      </c>
    </row>
    <row r="35" spans="1:13" x14ac:dyDescent="0.25">
      <c r="B35" s="477" t="s">
        <v>273</v>
      </c>
      <c r="C35" s="481" t="s">
        <v>198</v>
      </c>
      <c r="D35" s="134">
        <f>[20]d5!B43</f>
        <v>6202308.3700000001</v>
      </c>
      <c r="F35" s="107">
        <f>[20]d5!C43</f>
        <v>6454807.6299999999</v>
      </c>
      <c r="J35" s="114"/>
    </row>
    <row r="36" spans="1:13" x14ac:dyDescent="0.25">
      <c r="B36" s="477" t="s">
        <v>275</v>
      </c>
      <c r="C36" s="477" t="s">
        <v>198</v>
      </c>
      <c r="D36" s="488">
        <f>[20]d5!B44</f>
        <v>74419.28</v>
      </c>
      <c r="F36" s="107">
        <f>[20]d5!C44</f>
        <v>382894.11</v>
      </c>
      <c r="I36" s="107" t="s">
        <v>253</v>
      </c>
      <c r="J36" s="114" t="s">
        <v>198</v>
      </c>
      <c r="K36" s="116">
        <f>SUM(K28:K34)</f>
        <v>264255717.84999999</v>
      </c>
      <c r="M36" s="116">
        <f>SUM(M28:M34)</f>
        <v>272684524.49000001</v>
      </c>
    </row>
    <row r="37" spans="1:13" x14ac:dyDescent="0.25">
      <c r="B37" s="477" t="s">
        <v>277</v>
      </c>
      <c r="C37" s="481" t="s">
        <v>198</v>
      </c>
      <c r="D37" s="134">
        <f>[20]d5!B45</f>
        <v>5833903.1799999997</v>
      </c>
      <c r="F37" s="107">
        <f>[20]d5!C45</f>
        <v>5293878.66</v>
      </c>
    </row>
    <row r="38" spans="1:13" x14ac:dyDescent="0.25">
      <c r="B38" s="477" t="s">
        <v>279</v>
      </c>
      <c r="C38" s="481" t="s">
        <v>198</v>
      </c>
      <c r="D38" s="131">
        <f>[20]d5!B46</f>
        <v>1261245.92</v>
      </c>
      <c r="F38" s="116">
        <f>[20]d5!C46</f>
        <v>554123.63</v>
      </c>
    </row>
    <row r="40" spans="1:13" x14ac:dyDescent="0.25">
      <c r="B40" s="477" t="s">
        <v>280</v>
      </c>
      <c r="C40" s="481" t="s">
        <v>198</v>
      </c>
      <c r="D40" s="116">
        <f>SUM(D27:D38)</f>
        <v>304777081.44</v>
      </c>
      <c r="F40" s="116">
        <f>SUM(F27:F38)</f>
        <v>281900732.47000003</v>
      </c>
    </row>
    <row r="41" spans="1:13" x14ac:dyDescent="0.25">
      <c r="H41" s="107" t="s">
        <v>281</v>
      </c>
    </row>
    <row r="42" spans="1:13" x14ac:dyDescent="0.25">
      <c r="I42" s="107" t="s">
        <v>282</v>
      </c>
      <c r="J42" s="114" t="s">
        <v>198</v>
      </c>
      <c r="K42" s="113">
        <f>[20]d5!B106</f>
        <v>327206027.33999997</v>
      </c>
      <c r="M42" s="107">
        <f>[20]d5!C106</f>
        <v>333296780.67000002</v>
      </c>
    </row>
    <row r="43" spans="1:13" x14ac:dyDescent="0.25">
      <c r="A43" s="477" t="s">
        <v>283</v>
      </c>
      <c r="I43" s="107" t="s">
        <v>284</v>
      </c>
      <c r="J43" s="114" t="s">
        <v>198</v>
      </c>
      <c r="K43" s="113">
        <f>[20]d5!B107</f>
        <v>79951702.290000007</v>
      </c>
      <c r="M43" s="107">
        <f>[20]d5!C107</f>
        <v>54999112.32</v>
      </c>
    </row>
    <row r="44" spans="1:13" x14ac:dyDescent="0.25">
      <c r="B44" s="477" t="s">
        <v>285</v>
      </c>
      <c r="C44" s="481" t="s">
        <v>198</v>
      </c>
      <c r="D44" s="134">
        <f>[20]d5!B53</f>
        <v>4671224.43</v>
      </c>
      <c r="F44" s="107">
        <f>[20]d5!C53</f>
        <v>7281131.1600000001</v>
      </c>
      <c r="I44" s="107" t="s">
        <v>286</v>
      </c>
      <c r="J44" s="114" t="s">
        <v>198</v>
      </c>
      <c r="K44" s="107">
        <f>[20]d5!B108</f>
        <v>40483282.600000001</v>
      </c>
      <c r="M44" s="107">
        <f>[20]d5!C108</f>
        <v>37721036.079999998</v>
      </c>
    </row>
    <row r="45" spans="1:13" x14ac:dyDescent="0.25">
      <c r="B45" s="477" t="s">
        <v>287</v>
      </c>
      <c r="C45" s="481" t="s">
        <v>198</v>
      </c>
      <c r="D45" s="134">
        <f>[20]d5!B54</f>
        <v>13356278.720000001</v>
      </c>
      <c r="F45" s="107">
        <f>[20]d5!C54</f>
        <v>10173666.949999999</v>
      </c>
      <c r="I45" s="107" t="s">
        <v>288</v>
      </c>
      <c r="J45" s="114" t="s">
        <v>198</v>
      </c>
      <c r="K45" s="113">
        <f>[20]d5!B109</f>
        <v>2430316.35</v>
      </c>
      <c r="M45" s="107">
        <f>[20]d5!C109</f>
        <v>2803336.61</v>
      </c>
    </row>
    <row r="46" spans="1:13" x14ac:dyDescent="0.25">
      <c r="B46" s="477" t="s">
        <v>282</v>
      </c>
      <c r="C46" s="481" t="s">
        <v>198</v>
      </c>
      <c r="D46" s="134">
        <f>[20]d5!B55</f>
        <v>50686899.869999997</v>
      </c>
      <c r="F46" s="107">
        <f>[20]d5!C55</f>
        <v>50753515.509999998</v>
      </c>
      <c r="I46" s="107" t="s">
        <v>289</v>
      </c>
      <c r="J46" s="114" t="s">
        <v>198</v>
      </c>
      <c r="K46" s="107">
        <f>[20]d5!B110</f>
        <v>32566110.140000001</v>
      </c>
      <c r="M46" s="107">
        <f>[20]d5!C110</f>
        <v>30315059.260000002</v>
      </c>
    </row>
    <row r="47" spans="1:13" x14ac:dyDescent="0.25">
      <c r="B47" s="477" t="s">
        <v>290</v>
      </c>
      <c r="C47" s="481" t="s">
        <v>198</v>
      </c>
      <c r="D47" s="134">
        <f>[20]d5!B56</f>
        <v>189030418.72</v>
      </c>
      <c r="F47" s="107">
        <f>[20]d5!C56</f>
        <v>82165250.620000005</v>
      </c>
      <c r="I47" s="107" t="s">
        <v>291</v>
      </c>
      <c r="J47" s="114" t="s">
        <v>198</v>
      </c>
      <c r="K47" s="107">
        <f>[20]d5!B111</f>
        <v>21709079.32</v>
      </c>
      <c r="M47" s="107">
        <f>[20]d5!C111</f>
        <v>13436143.6</v>
      </c>
    </row>
    <row r="48" spans="1:13" x14ac:dyDescent="0.25">
      <c r="B48" s="477" t="s">
        <v>292</v>
      </c>
      <c r="C48" s="481" t="s">
        <v>198</v>
      </c>
      <c r="D48" s="131">
        <f>[20]d5!B57</f>
        <v>77141393.989999995</v>
      </c>
      <c r="F48" s="116">
        <f>[20]d5!C57</f>
        <v>66575299.740000002</v>
      </c>
      <c r="I48" s="107" t="s">
        <v>293</v>
      </c>
      <c r="J48" s="114" t="s">
        <v>198</v>
      </c>
      <c r="K48" s="107">
        <v>2595219.7799999998</v>
      </c>
      <c r="M48" s="107">
        <f>[20]d5!C112</f>
        <v>3554518.72</v>
      </c>
    </row>
    <row r="49" spans="2:13" x14ac:dyDescent="0.25">
      <c r="C49" s="481" t="s">
        <v>198</v>
      </c>
      <c r="I49" s="107" t="s">
        <v>294</v>
      </c>
      <c r="J49" s="114" t="s">
        <v>198</v>
      </c>
      <c r="K49" s="116">
        <f>[20]d5!B113</f>
        <v>192048802.24000001</v>
      </c>
      <c r="M49" s="116">
        <f>[20]d5!C113</f>
        <v>87925008.150000006</v>
      </c>
    </row>
    <row r="50" spans="2:13" x14ac:dyDescent="0.25">
      <c r="B50" s="477" t="s">
        <v>280</v>
      </c>
      <c r="C50" s="481" t="s">
        <v>198</v>
      </c>
      <c r="D50" s="116">
        <f>SUM(D44:D48)</f>
        <v>334886215.73000002</v>
      </c>
      <c r="F50" s="116">
        <f>SUM(F44:F48)</f>
        <v>216948863.98000002</v>
      </c>
      <c r="J50" s="114"/>
    </row>
    <row r="51" spans="2:13" x14ac:dyDescent="0.25">
      <c r="I51" s="107" t="s">
        <v>295</v>
      </c>
      <c r="J51" s="114" t="s">
        <v>198</v>
      </c>
      <c r="K51" s="116">
        <f>SUM(K42:K49)</f>
        <v>698990540.05999994</v>
      </c>
      <c r="M51" s="116">
        <f>SUM(M42:M49)</f>
        <v>564050995.41000009</v>
      </c>
    </row>
    <row r="52" spans="2:13" ht="15.75" customHeight="1" x14ac:dyDescent="0.25"/>
    <row r="53" spans="2:13" ht="16.5" thickBot="1" x14ac:dyDescent="0.3">
      <c r="B53" s="477" t="s">
        <v>296</v>
      </c>
      <c r="C53" s="481" t="s">
        <v>198</v>
      </c>
      <c r="D53" s="118">
        <f>D12+D23+D40+D50</f>
        <v>4238518565.3699999</v>
      </c>
      <c r="F53" s="118">
        <f>F12+F23+F40+F50</f>
        <v>3536004398.5999999</v>
      </c>
      <c r="I53" s="107" t="s">
        <v>297</v>
      </c>
      <c r="J53" s="114" t="s">
        <v>198</v>
      </c>
      <c r="K53" s="118">
        <f>SUM(K23+K36+K51)</f>
        <v>4238518565.3699999</v>
      </c>
      <c r="M53" s="118">
        <f>SUM(M23+M36+M51)</f>
        <v>3536004398.5999994</v>
      </c>
    </row>
    <row r="54" spans="2:13" ht="16.5" thickTop="1" x14ac:dyDescent="0.25"/>
    <row r="55" spans="2:13" x14ac:dyDescent="0.25">
      <c r="M55" s="483" t="s">
        <v>582</v>
      </c>
    </row>
  </sheetData>
  <phoneticPr fontId="55" type="noConversion"/>
  <printOptions horizontalCentered="1"/>
  <pageMargins left="0" right="0" top="0.5" bottom="0.4" header="0" footer="0.28000000000000003"/>
  <pageSetup scale="61" orientation="landscape" horizontalDpi="4294967292" verticalDpi="300" r:id="rId1"/>
  <headerFooter alignWithMargins="0">
    <oddFooter>&amp;C&amp;"Times New Roman,Bold"&amp;A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  <pageSetUpPr fitToPage="1"/>
  </sheetPr>
  <dimension ref="A1:R65"/>
  <sheetViews>
    <sheetView showGridLines="0" zoomScale="75" workbookViewId="0">
      <selection activeCell="C33" sqref="C33"/>
    </sheetView>
  </sheetViews>
  <sheetFormatPr defaultColWidth="10.28515625" defaultRowHeight="15.75" customHeight="1" x14ac:dyDescent="0.25"/>
  <cols>
    <col min="1" max="1" width="48.7109375" style="119" customWidth="1"/>
    <col min="2" max="2" width="6.42578125" style="119" customWidth="1"/>
    <col min="3" max="3" width="19" style="107" customWidth="1"/>
    <col min="4" max="4" width="9.85546875" style="107" customWidth="1"/>
    <col min="5" max="5" width="21.5703125" style="107" customWidth="1"/>
    <col min="6" max="6" width="9.85546875" style="107" customWidth="1"/>
    <col min="7" max="7" width="19" style="107" customWidth="1"/>
    <col min="8" max="8" width="6.42578125" style="107" customWidth="1"/>
    <col min="9" max="9" width="14.42578125" style="107" customWidth="1"/>
    <col min="10" max="10" width="10.28515625" style="119" hidden="1" customWidth="1"/>
    <col min="11" max="16384" width="10.28515625" style="119"/>
  </cols>
  <sheetData>
    <row r="1" spans="1:9" ht="15.75" customHeight="1" x14ac:dyDescent="0.25">
      <c r="A1" s="91" t="s">
        <v>189</v>
      </c>
    </row>
    <row r="2" spans="1:9" ht="15.75" customHeight="1" x14ac:dyDescent="0.25">
      <c r="A2" s="120" t="s">
        <v>82</v>
      </c>
      <c r="B2" s="121"/>
      <c r="C2" s="109"/>
      <c r="D2" s="109"/>
      <c r="E2" s="109"/>
      <c r="F2" s="109"/>
      <c r="G2" s="109"/>
      <c r="H2" s="109"/>
      <c r="I2" s="109"/>
    </row>
    <row r="3" spans="1:9" ht="15.75" customHeight="1" x14ac:dyDescent="0.25">
      <c r="A3" s="122" t="s">
        <v>298</v>
      </c>
      <c r="B3" s="121"/>
      <c r="C3" s="109"/>
      <c r="D3" s="109"/>
      <c r="E3" s="109"/>
      <c r="F3" s="109"/>
      <c r="G3" s="109"/>
      <c r="H3" s="109"/>
      <c r="I3" s="109"/>
    </row>
    <row r="4" spans="1:9" s="125" customFormat="1" ht="15.75" customHeight="1" x14ac:dyDescent="0.25">
      <c r="A4" s="123" t="str">
        <f>'[21]1'!A3</f>
        <v>DECEMBER 31, 2007</v>
      </c>
      <c r="B4" s="124"/>
      <c r="C4" s="93"/>
      <c r="D4" s="93"/>
      <c r="E4" s="93"/>
      <c r="F4" s="93"/>
      <c r="G4" s="93"/>
      <c r="H4" s="93"/>
      <c r="I4" s="93"/>
    </row>
    <row r="5" spans="1:9" ht="15.75" customHeight="1" x14ac:dyDescent="0.25">
      <c r="A5" s="126"/>
    </row>
    <row r="7" spans="1:9" ht="15.75" customHeight="1" x14ac:dyDescent="0.25">
      <c r="A7" s="127"/>
      <c r="C7" s="128" t="s">
        <v>299</v>
      </c>
      <c r="D7" s="128"/>
      <c r="E7" s="128"/>
      <c r="F7" s="128"/>
      <c r="G7" s="128"/>
      <c r="H7" s="128"/>
      <c r="I7" s="128"/>
    </row>
    <row r="9" spans="1:9" ht="15.75" customHeight="1" x14ac:dyDescent="0.25">
      <c r="C9" s="129" t="s">
        <v>300</v>
      </c>
      <c r="D9" s="129"/>
      <c r="E9" s="129" t="s">
        <v>301</v>
      </c>
      <c r="F9" s="129"/>
      <c r="G9" s="109" t="s">
        <v>302</v>
      </c>
      <c r="H9" s="109"/>
      <c r="I9" s="109"/>
    </row>
    <row r="10" spans="1:9" ht="15.75" customHeight="1" x14ac:dyDescent="0.25">
      <c r="C10" s="111" t="s">
        <v>303</v>
      </c>
      <c r="D10" s="129"/>
      <c r="E10" s="111" t="s">
        <v>303</v>
      </c>
      <c r="F10" s="129"/>
      <c r="G10" s="111" t="s">
        <v>303</v>
      </c>
      <c r="H10" s="129"/>
      <c r="I10" s="111" t="s">
        <v>196</v>
      </c>
    </row>
    <row r="12" spans="1:9" ht="15.75" customHeight="1" x14ac:dyDescent="0.25">
      <c r="A12" s="119" t="s">
        <v>197</v>
      </c>
      <c r="B12" s="130" t="s">
        <v>198</v>
      </c>
      <c r="C12" s="116">
        <v>1272548899.24</v>
      </c>
      <c r="E12" s="116">
        <v>1210019284.5699999</v>
      </c>
      <c r="G12" s="116">
        <f>C12-E12</f>
        <v>62529614.670000076</v>
      </c>
      <c r="I12" s="131">
        <f>ROUND(G12/E12*100,4)</f>
        <v>5.1677</v>
      </c>
    </row>
    <row r="13" spans="1:9" ht="15.75" hidden="1" customHeight="1" x14ac:dyDescent="0.25">
      <c r="A13" s="119" t="s">
        <v>199</v>
      </c>
      <c r="B13" s="130" t="s">
        <v>198</v>
      </c>
      <c r="C13" s="116">
        <v>0</v>
      </c>
      <c r="E13" s="116">
        <v>0</v>
      </c>
      <c r="G13" s="116">
        <f>C13-E13</f>
        <v>0</v>
      </c>
      <c r="I13" s="132" t="str">
        <f>IF(ISERROR(ROUND(G13/E13*100,4)),"            -",ROUND(G13/E13*100,4))</f>
        <v xml:space="preserve">            -</v>
      </c>
    </row>
    <row r="14" spans="1:9" ht="15.75" customHeight="1" x14ac:dyDescent="0.25">
      <c r="B14" s="130" t="s">
        <v>198</v>
      </c>
      <c r="I14" s="133"/>
    </row>
    <row r="15" spans="1:9" ht="15.75" customHeight="1" x14ac:dyDescent="0.25">
      <c r="A15" s="119" t="s">
        <v>200</v>
      </c>
      <c r="B15" s="130" t="s">
        <v>198</v>
      </c>
      <c r="C15" s="116">
        <v>1272548899.24</v>
      </c>
      <c r="E15" s="116">
        <v>1210019284.5699999</v>
      </c>
      <c r="G15" s="116">
        <f>C15-E15</f>
        <v>62529614.670000076</v>
      </c>
      <c r="I15" s="131">
        <f>ROUND(G15/E15*100,4)</f>
        <v>5.1677</v>
      </c>
    </row>
    <row r="16" spans="1:9" ht="15.75" customHeight="1" x14ac:dyDescent="0.25">
      <c r="B16" s="130" t="s">
        <v>198</v>
      </c>
      <c r="I16" s="133"/>
    </row>
    <row r="17" spans="1:18" ht="15.75" customHeight="1" x14ac:dyDescent="0.25">
      <c r="A17" s="119" t="s">
        <v>304</v>
      </c>
      <c r="B17" s="130"/>
      <c r="I17" s="133"/>
    </row>
    <row r="18" spans="1:18" ht="15.75" customHeight="1" x14ac:dyDescent="0.25">
      <c r="A18" s="119" t="s">
        <v>201</v>
      </c>
      <c r="B18" s="130" t="s">
        <v>198</v>
      </c>
      <c r="C18" s="107">
        <v>460118684.63999999</v>
      </c>
      <c r="E18" s="107">
        <v>422993144.97000003</v>
      </c>
      <c r="G18" s="107">
        <f t="shared" ref="G18:G24" si="0">C18-E18</f>
        <v>37125539.669999957</v>
      </c>
      <c r="I18" s="134">
        <f>ROUND(G18/E18*100,4)</f>
        <v>8.7768999999999995</v>
      </c>
    </row>
    <row r="19" spans="1:18" ht="15.75" customHeight="1" x14ac:dyDescent="0.25">
      <c r="A19" s="119" t="s">
        <v>202</v>
      </c>
      <c r="B19" s="130" t="s">
        <v>198</v>
      </c>
      <c r="C19" s="107">
        <v>168443605.63999999</v>
      </c>
      <c r="E19" s="107">
        <v>182445054.78999999</v>
      </c>
      <c r="G19" s="107">
        <f t="shared" si="0"/>
        <v>-14001449.150000006</v>
      </c>
      <c r="I19" s="134">
        <f>ROUND(G19/E19*100,4)</f>
        <v>-7.6742999999999997</v>
      </c>
    </row>
    <row r="20" spans="1:18" ht="15.75" customHeight="1" x14ac:dyDescent="0.25">
      <c r="A20" s="119" t="s">
        <v>203</v>
      </c>
      <c r="B20" s="130" t="s">
        <v>198</v>
      </c>
      <c r="C20" s="107">
        <v>152922836.36000001</v>
      </c>
      <c r="E20" s="107">
        <v>164900927.12</v>
      </c>
      <c r="G20" s="107">
        <f t="shared" si="0"/>
        <v>-11978090.75999999</v>
      </c>
      <c r="I20" s="134">
        <f>ROUND(G20/E20*100,4)</f>
        <v>-7.2637999999999998</v>
      </c>
    </row>
    <row r="21" spans="1:18" ht="15.75" customHeight="1" x14ac:dyDescent="0.25">
      <c r="A21" s="119" t="s">
        <v>204</v>
      </c>
      <c r="B21" s="130" t="s">
        <v>198</v>
      </c>
      <c r="C21" s="107">
        <v>85242194.189999998</v>
      </c>
      <c r="E21" s="107">
        <v>72877246.060000002</v>
      </c>
      <c r="G21" s="107">
        <f t="shared" si="0"/>
        <v>12364948.129999995</v>
      </c>
      <c r="I21" s="134">
        <f>ROUND(G21/E21*100,4)</f>
        <v>16.966799999999999</v>
      </c>
    </row>
    <row r="22" spans="1:18" ht="15.75" customHeight="1" x14ac:dyDescent="0.25">
      <c r="A22" s="119" t="s">
        <v>205</v>
      </c>
      <c r="B22" s="130" t="s">
        <v>198</v>
      </c>
      <c r="C22" s="107">
        <v>115264164.70999999</v>
      </c>
      <c r="E22" s="107">
        <v>109935754.63</v>
      </c>
      <c r="G22" s="107">
        <f t="shared" si="0"/>
        <v>5328410.0799999982</v>
      </c>
      <c r="I22" s="134">
        <f>ROUND(G22/E22*100,4)</f>
        <v>4.8468</v>
      </c>
    </row>
    <row r="23" spans="1:18" ht="15.75" customHeight="1" x14ac:dyDescent="0.25">
      <c r="A23" s="119" t="s">
        <v>206</v>
      </c>
      <c r="B23" s="130" t="s">
        <v>198</v>
      </c>
      <c r="C23" s="107">
        <v>5420544.96</v>
      </c>
      <c r="E23" s="107">
        <v>5072613.9000000004</v>
      </c>
      <c r="G23" s="107">
        <f t="shared" si="0"/>
        <v>347931.05999999959</v>
      </c>
      <c r="I23" s="134">
        <f>IF((G23/E23*100)&gt;1000,0,ROUND(G23/E23*100,4))</f>
        <v>6.859</v>
      </c>
    </row>
    <row r="24" spans="1:18" ht="15.75" customHeight="1" x14ac:dyDescent="0.25">
      <c r="A24" s="119" t="s">
        <v>207</v>
      </c>
      <c r="B24" s="130" t="s">
        <v>198</v>
      </c>
      <c r="C24" s="107">
        <v>-2101203.34</v>
      </c>
      <c r="E24" s="107">
        <v>-2044274.4</v>
      </c>
      <c r="G24" s="107">
        <f t="shared" si="0"/>
        <v>-56928.939999999944</v>
      </c>
      <c r="I24" s="134">
        <f>IF((G24/E24*100)&gt;1000,0,ROUND(G24/E24*100,4))</f>
        <v>2.7848000000000002</v>
      </c>
    </row>
    <row r="25" spans="1:18" ht="15.75" customHeight="1" x14ac:dyDescent="0.25">
      <c r="A25" s="119" t="s">
        <v>208</v>
      </c>
      <c r="B25" s="130" t="s">
        <v>198</v>
      </c>
      <c r="I25" s="134"/>
    </row>
    <row r="26" spans="1:18" ht="15.75" customHeight="1" x14ac:dyDescent="0.25">
      <c r="A26" s="119" t="s">
        <v>209</v>
      </c>
      <c r="B26" s="130" t="s">
        <v>198</v>
      </c>
      <c r="C26" s="107">
        <v>27762415.789999999</v>
      </c>
      <c r="E26" s="107">
        <v>48696525.009999998</v>
      </c>
      <c r="G26" s="107">
        <f t="shared" ref="G26:G35" si="1">C26-E26</f>
        <v>-20934109.219999999</v>
      </c>
      <c r="I26" s="134">
        <f t="shared" ref="I26:I31" si="2">IF(C26-E26=C26,0,ROUND(G26/E26*100,4))</f>
        <v>-42.988900000000001</v>
      </c>
    </row>
    <row r="27" spans="1:18" ht="15.75" customHeight="1" x14ac:dyDescent="0.25">
      <c r="A27" s="119" t="s">
        <v>210</v>
      </c>
      <c r="B27" s="130" t="s">
        <v>198</v>
      </c>
      <c r="C27" s="107">
        <v>13060218.029999999</v>
      </c>
      <c r="E27" s="107">
        <v>11375571.970000001</v>
      </c>
      <c r="G27" s="107">
        <f t="shared" si="1"/>
        <v>1684646.0599999987</v>
      </c>
      <c r="I27" s="134">
        <f t="shared" si="2"/>
        <v>14.8093</v>
      </c>
    </row>
    <row r="28" spans="1:18" ht="15.75" customHeight="1" x14ac:dyDescent="0.25">
      <c r="A28" s="119" t="s">
        <v>211</v>
      </c>
      <c r="B28" s="130" t="s">
        <v>198</v>
      </c>
      <c r="C28" s="107">
        <v>-6360163.3799999999</v>
      </c>
      <c r="E28" s="107">
        <v>-204370.34</v>
      </c>
      <c r="G28" s="107">
        <f t="shared" si="1"/>
        <v>-6155793.04</v>
      </c>
      <c r="I28" s="134">
        <f t="shared" si="2"/>
        <v>3012.0774999999999</v>
      </c>
    </row>
    <row r="29" spans="1:18" ht="15.75" customHeight="1" x14ac:dyDescent="0.25">
      <c r="A29" s="119" t="s">
        <v>212</v>
      </c>
      <c r="B29" s="130" t="s">
        <v>198</v>
      </c>
      <c r="C29" s="107">
        <v>-488065.68</v>
      </c>
      <c r="E29" s="107">
        <v>875065.43</v>
      </c>
      <c r="G29" s="107">
        <f t="shared" si="1"/>
        <v>-1363131.11</v>
      </c>
      <c r="I29" s="134">
        <f t="shared" si="2"/>
        <v>-155.7748</v>
      </c>
    </row>
    <row r="30" spans="1:18" ht="15.75" customHeight="1" x14ac:dyDescent="0.25">
      <c r="A30" s="119" t="s">
        <v>305</v>
      </c>
      <c r="B30" s="130" t="s">
        <v>198</v>
      </c>
      <c r="C30" s="107">
        <v>0</v>
      </c>
      <c r="E30" s="107">
        <v>0</v>
      </c>
      <c r="G30" s="107">
        <f t="shared" si="1"/>
        <v>0</v>
      </c>
      <c r="I30" s="134">
        <f t="shared" si="2"/>
        <v>0</v>
      </c>
    </row>
    <row r="31" spans="1:18" ht="15.75" customHeight="1" x14ac:dyDescent="0.25">
      <c r="A31" s="119" t="s">
        <v>306</v>
      </c>
      <c r="B31" s="130" t="s">
        <v>198</v>
      </c>
      <c r="C31" s="107">
        <v>0</v>
      </c>
      <c r="E31" s="107">
        <v>0</v>
      </c>
      <c r="G31" s="107">
        <f t="shared" si="1"/>
        <v>0</v>
      </c>
      <c r="I31" s="134">
        <f t="shared" si="2"/>
        <v>0</v>
      </c>
      <c r="J31" s="135"/>
      <c r="K31" s="135"/>
      <c r="L31" s="135"/>
      <c r="M31" s="135"/>
      <c r="N31" s="135"/>
      <c r="O31" s="135"/>
      <c r="P31" s="135"/>
      <c r="Q31" s="135"/>
      <c r="R31" s="135"/>
    </row>
    <row r="32" spans="1:18" ht="15.75" customHeight="1" x14ac:dyDescent="0.25">
      <c r="A32" s="119" t="s">
        <v>213</v>
      </c>
      <c r="B32" s="130" t="s">
        <v>198</v>
      </c>
      <c r="C32" s="107">
        <v>18439076.670000002</v>
      </c>
      <c r="E32" s="107">
        <v>18603067.789999999</v>
      </c>
      <c r="F32" s="108"/>
      <c r="G32" s="108">
        <f t="shared" si="1"/>
        <v>-163991.11999999732</v>
      </c>
      <c r="H32" s="108"/>
      <c r="I32" s="134">
        <f>ROUND(G32/E32*100,4)</f>
        <v>-0.88149999999999995</v>
      </c>
      <c r="J32" s="135"/>
      <c r="K32" s="135"/>
      <c r="L32" s="135"/>
      <c r="M32" s="135"/>
      <c r="N32" s="135"/>
      <c r="O32" s="135"/>
      <c r="P32" s="135"/>
      <c r="Q32" s="135"/>
      <c r="R32" s="135"/>
    </row>
    <row r="33" spans="1:18" ht="15.75" customHeight="1" x14ac:dyDescent="0.25">
      <c r="A33" s="119" t="s">
        <v>307</v>
      </c>
      <c r="B33" s="130" t="s">
        <v>198</v>
      </c>
      <c r="C33" s="107">
        <v>42566647</v>
      </c>
      <c r="E33" s="107">
        <v>12000000</v>
      </c>
      <c r="F33" s="108"/>
      <c r="G33" s="108">
        <f t="shared" si="1"/>
        <v>30566647</v>
      </c>
      <c r="H33" s="108"/>
      <c r="I33" s="134">
        <f>ROUND(G33/E33*100,4)</f>
        <v>254.72210000000001</v>
      </c>
      <c r="J33" s="135" t="s">
        <v>215</v>
      </c>
      <c r="K33" s="135"/>
      <c r="L33" s="135"/>
      <c r="M33" s="135"/>
      <c r="N33" s="135"/>
      <c r="O33" s="135"/>
      <c r="P33" s="135"/>
      <c r="Q33" s="135"/>
      <c r="R33" s="135"/>
    </row>
    <row r="34" spans="1:18" ht="15.75" customHeight="1" x14ac:dyDescent="0.25">
      <c r="A34" s="119" t="s">
        <v>216</v>
      </c>
      <c r="B34" s="130" t="s">
        <v>198</v>
      </c>
      <c r="C34" s="108">
        <v>-706851.51</v>
      </c>
      <c r="D34" s="108"/>
      <c r="E34" s="108">
        <v>-1283929.1299999999</v>
      </c>
      <c r="F34" s="108"/>
      <c r="G34" s="108">
        <f t="shared" si="1"/>
        <v>577077.61999999988</v>
      </c>
      <c r="H34" s="108"/>
      <c r="I34" s="134">
        <f>ROUND(G34/E34*100,4)</f>
        <v>-44.946199999999997</v>
      </c>
    </row>
    <row r="35" spans="1:18" ht="15.75" customHeight="1" x14ac:dyDescent="0.25">
      <c r="A35" s="119" t="s">
        <v>217</v>
      </c>
      <c r="B35" s="130" t="s">
        <v>198</v>
      </c>
      <c r="C35" s="116">
        <v>1861362.72</v>
      </c>
      <c r="D35" s="108"/>
      <c r="E35" s="116">
        <v>1747614.99</v>
      </c>
      <c r="F35" s="108"/>
      <c r="G35" s="116">
        <f t="shared" si="1"/>
        <v>113747.72999999998</v>
      </c>
      <c r="H35" s="108"/>
      <c r="I35" s="131">
        <f>ROUND(G35/E35*100,4)</f>
        <v>6.5087000000000002</v>
      </c>
    </row>
    <row r="36" spans="1:18" ht="15.75" customHeight="1" x14ac:dyDescent="0.25">
      <c r="B36" s="130" t="s">
        <v>198</v>
      </c>
      <c r="I36" s="133"/>
    </row>
    <row r="37" spans="1:18" ht="15.75" customHeight="1" x14ac:dyDescent="0.25">
      <c r="A37" s="119" t="s">
        <v>218</v>
      </c>
      <c r="B37" s="130" t="s">
        <v>198</v>
      </c>
      <c r="C37" s="116">
        <v>1081445466.8</v>
      </c>
      <c r="E37" s="116">
        <v>1047990012.79</v>
      </c>
      <c r="G37" s="116">
        <f>C37-E37</f>
        <v>33455454.00999999</v>
      </c>
      <c r="I37" s="131">
        <f>ROUND(G37/E37*100,4)</f>
        <v>3.1922999999999999</v>
      </c>
    </row>
    <row r="38" spans="1:18" ht="15.75" customHeight="1" x14ac:dyDescent="0.25">
      <c r="B38" s="130" t="s">
        <v>198</v>
      </c>
      <c r="I38" s="133"/>
    </row>
    <row r="39" spans="1:18" ht="15.75" customHeight="1" x14ac:dyDescent="0.25">
      <c r="A39" s="119" t="s">
        <v>219</v>
      </c>
      <c r="B39" s="130" t="s">
        <v>198</v>
      </c>
      <c r="C39" s="113">
        <v>191103432.44</v>
      </c>
      <c r="E39" s="107">
        <v>162029271.78</v>
      </c>
      <c r="G39" s="107">
        <f>C39-E39</f>
        <v>29074160.659999996</v>
      </c>
      <c r="I39" s="134">
        <f>ROUND(G39/E39*100,4)</f>
        <v>17.9438</v>
      </c>
    </row>
    <row r="40" spans="1:18" ht="15.75" customHeight="1" x14ac:dyDescent="0.25">
      <c r="B40" s="130"/>
      <c r="I40" s="134"/>
    </row>
    <row r="41" spans="1:18" ht="15.75" customHeight="1" x14ac:dyDescent="0.25">
      <c r="A41" s="119" t="s">
        <v>220</v>
      </c>
      <c r="B41" s="130" t="s">
        <v>198</v>
      </c>
      <c r="I41" s="136"/>
    </row>
    <row r="42" spans="1:18" ht="15.75" customHeight="1" x14ac:dyDescent="0.25">
      <c r="A42" s="119" t="s">
        <v>221</v>
      </c>
      <c r="B42" s="130" t="s">
        <v>198</v>
      </c>
      <c r="C42" s="107">
        <v>28450681.68</v>
      </c>
      <c r="E42" s="107">
        <v>27804120.109999999</v>
      </c>
      <c r="G42" s="107">
        <f>C42-E42</f>
        <v>646561.5700000003</v>
      </c>
      <c r="I42" s="134">
        <f>ROUND(G42/E42*100,4)</f>
        <v>2.3254000000000001</v>
      </c>
    </row>
    <row r="43" spans="1:18" ht="15.75" customHeight="1" x14ac:dyDescent="0.25">
      <c r="A43" s="119" t="s">
        <v>222</v>
      </c>
      <c r="B43" s="130" t="s">
        <v>198</v>
      </c>
      <c r="C43" s="116">
        <v>3327704.85</v>
      </c>
      <c r="E43" s="116">
        <v>384044.07</v>
      </c>
      <c r="G43" s="116">
        <f>C43-E43</f>
        <v>2943660.7800000003</v>
      </c>
      <c r="I43" s="131">
        <f>ROUND(G43/E43*100,4)</f>
        <v>766.49040000000002</v>
      </c>
    </row>
    <row r="44" spans="1:18" ht="15.75" customHeight="1" x14ac:dyDescent="0.25">
      <c r="B44" s="130" t="s">
        <v>198</v>
      </c>
      <c r="I44" s="133"/>
    </row>
    <row r="45" spans="1:18" ht="15.75" customHeight="1" x14ac:dyDescent="0.25">
      <c r="A45" s="119" t="s">
        <v>223</v>
      </c>
      <c r="B45" s="130" t="s">
        <v>198</v>
      </c>
      <c r="C45" s="116">
        <v>31778386.530000001</v>
      </c>
      <c r="E45" s="116">
        <v>28188164.18</v>
      </c>
      <c r="G45" s="116">
        <f>C45-E45</f>
        <v>3590222.3500000015</v>
      </c>
      <c r="I45" s="131">
        <f>ROUND(G45/E45*100,4)</f>
        <v>12.736599999999999</v>
      </c>
    </row>
    <row r="46" spans="1:18" ht="15.75" customHeight="1" x14ac:dyDescent="0.25">
      <c r="B46" s="130" t="s">
        <v>198</v>
      </c>
      <c r="I46" s="133"/>
    </row>
    <row r="47" spans="1:18" ht="15.75" customHeight="1" x14ac:dyDescent="0.25">
      <c r="A47" s="119" t="s">
        <v>224</v>
      </c>
      <c r="B47" s="130" t="s">
        <v>198</v>
      </c>
      <c r="C47" s="116">
        <v>222881818.97</v>
      </c>
      <c r="E47" s="116">
        <v>190217435.96000001</v>
      </c>
      <c r="G47" s="116">
        <f>C47-E47</f>
        <v>32664383.00999999</v>
      </c>
      <c r="I47" s="131">
        <f>ROUND(G47/E47*100,4)</f>
        <v>17.1721</v>
      </c>
    </row>
    <row r="48" spans="1:18" ht="15.75" customHeight="1" x14ac:dyDescent="0.25">
      <c r="B48" s="130" t="s">
        <v>198</v>
      </c>
      <c r="I48" s="133"/>
    </row>
    <row r="49" spans="1:11" ht="15.75" customHeight="1" x14ac:dyDescent="0.25">
      <c r="A49" s="119" t="s">
        <v>308</v>
      </c>
      <c r="B49" s="130" t="s">
        <v>198</v>
      </c>
      <c r="C49" s="107">
        <v>48500483.57</v>
      </c>
      <c r="E49" s="107">
        <v>33670960.890000001</v>
      </c>
      <c r="G49" s="107">
        <f>C49-E49</f>
        <v>14829522.68</v>
      </c>
      <c r="I49" s="134">
        <f>ROUND(G49/E49*100,4)</f>
        <v>44.042499999999997</v>
      </c>
    </row>
    <row r="50" spans="1:11" ht="15.75" customHeight="1" x14ac:dyDescent="0.25">
      <c r="A50" s="119" t="s">
        <v>226</v>
      </c>
      <c r="B50" s="130" t="s">
        <v>198</v>
      </c>
      <c r="C50" s="107">
        <v>853500.52</v>
      </c>
      <c r="E50" s="107">
        <v>937035.07</v>
      </c>
      <c r="G50" s="107">
        <f>C50-E50</f>
        <v>-83534.54999999993</v>
      </c>
      <c r="I50" s="134">
        <f>ROUND(G50/E50*100,4)</f>
        <v>-8.9147999999999996</v>
      </c>
    </row>
    <row r="51" spans="1:11" ht="15.75" customHeight="1" x14ac:dyDescent="0.25">
      <c r="A51" s="119" t="s">
        <v>227</v>
      </c>
      <c r="B51" s="130" t="s">
        <v>198</v>
      </c>
      <c r="C51" s="107">
        <v>7521067.0300000003</v>
      </c>
      <c r="E51" s="107">
        <v>4051408.3</v>
      </c>
      <c r="G51" s="107">
        <f>C51-E51</f>
        <v>3469658.7300000004</v>
      </c>
      <c r="I51" s="134">
        <f>ROUND(G51/E51*100,4)</f>
        <v>85.640799999999999</v>
      </c>
      <c r="J51" s="135"/>
      <c r="K51" s="135"/>
    </row>
    <row r="52" spans="1:11" ht="15.75" customHeight="1" x14ac:dyDescent="0.25">
      <c r="A52" s="119" t="s">
        <v>228</v>
      </c>
      <c r="B52" s="130" t="s">
        <v>198</v>
      </c>
      <c r="C52" s="116">
        <v>-955806.63</v>
      </c>
      <c r="E52" s="116">
        <v>-262751.5</v>
      </c>
      <c r="G52" s="116">
        <f>C52-E52</f>
        <v>-693055.13</v>
      </c>
      <c r="I52" s="131">
        <f>ROUND(G52/E52*100,4)</f>
        <v>263.76830000000001</v>
      </c>
    </row>
    <row r="53" spans="1:11" ht="15.75" customHeight="1" x14ac:dyDescent="0.25">
      <c r="B53" s="130" t="s">
        <v>198</v>
      </c>
      <c r="I53" s="133"/>
    </row>
    <row r="54" spans="1:11" ht="15.75" customHeight="1" x14ac:dyDescent="0.25">
      <c r="A54" s="119" t="s">
        <v>229</v>
      </c>
      <c r="B54" s="130" t="s">
        <v>198</v>
      </c>
      <c r="C54" s="116">
        <v>55919244.490000002</v>
      </c>
      <c r="E54" s="116">
        <v>38396652.759999998</v>
      </c>
      <c r="G54" s="116">
        <f>C54-E54</f>
        <v>17522591.730000004</v>
      </c>
      <c r="I54" s="131">
        <f>ROUND(G54/E54*100,4)</f>
        <v>45.6357</v>
      </c>
    </row>
    <row r="55" spans="1:11" ht="15.75" customHeight="1" x14ac:dyDescent="0.25">
      <c r="B55" s="130" t="s">
        <v>198</v>
      </c>
      <c r="I55" s="137"/>
    </row>
    <row r="56" spans="1:11" ht="15.75" hidden="1" customHeight="1" x14ac:dyDescent="0.25">
      <c r="A56" s="119" t="s">
        <v>230</v>
      </c>
      <c r="B56" s="130" t="s">
        <v>198</v>
      </c>
      <c r="C56" s="108">
        <v>166962574.47999999</v>
      </c>
      <c r="D56" s="108"/>
      <c r="E56" s="108">
        <v>151820783.19999999</v>
      </c>
      <c r="F56" s="108"/>
      <c r="G56" s="107">
        <f>C56-E56</f>
        <v>15141791.280000001</v>
      </c>
      <c r="H56" s="108"/>
      <c r="I56" s="134">
        <f>ROUND(G56/E56*100,4)</f>
        <v>9.9734999999999996</v>
      </c>
    </row>
    <row r="57" spans="1:11" ht="15.75" hidden="1" customHeight="1" x14ac:dyDescent="0.25">
      <c r="B57" s="130" t="s">
        <v>198</v>
      </c>
      <c r="I57" s="133"/>
    </row>
    <row r="58" spans="1:11" ht="15.75" hidden="1" customHeight="1" x14ac:dyDescent="0.25">
      <c r="A58" s="119" t="s">
        <v>231</v>
      </c>
      <c r="B58" s="130" t="s">
        <v>198</v>
      </c>
      <c r="C58" s="116">
        <v>0</v>
      </c>
      <c r="D58" s="108"/>
      <c r="E58" s="116">
        <v>0</v>
      </c>
      <c r="F58" s="108"/>
      <c r="G58" s="116">
        <f>C58-E58</f>
        <v>0</v>
      </c>
      <c r="H58" s="108"/>
      <c r="I58" s="131">
        <v>0</v>
      </c>
      <c r="J58" s="119" t="s">
        <v>215</v>
      </c>
    </row>
    <row r="59" spans="1:11" ht="15.75" hidden="1" customHeight="1" x14ac:dyDescent="0.25">
      <c r="B59" s="130"/>
      <c r="I59" s="133"/>
    </row>
    <row r="60" spans="1:11" ht="15.75" customHeight="1" x14ac:dyDescent="0.25">
      <c r="A60" s="119" t="s">
        <v>309</v>
      </c>
      <c r="B60" s="130" t="s">
        <v>198</v>
      </c>
      <c r="C60" s="107">
        <v>166962574.47999999</v>
      </c>
      <c r="E60" s="107">
        <v>151820783.19999999</v>
      </c>
      <c r="G60" s="107">
        <f>C60-E60</f>
        <v>15141791.280000001</v>
      </c>
      <c r="I60" s="134">
        <f>ROUND(G60/E60*100,4)</f>
        <v>9.9734999999999996</v>
      </c>
    </row>
    <row r="61" spans="1:11" ht="15.75" customHeight="1" x14ac:dyDescent="0.25">
      <c r="B61" s="130"/>
      <c r="I61" s="133"/>
    </row>
    <row r="62" spans="1:11" ht="15.75" customHeight="1" x14ac:dyDescent="0.25">
      <c r="A62" s="119" t="s">
        <v>310</v>
      </c>
      <c r="B62" s="130" t="s">
        <v>198</v>
      </c>
      <c r="C62" s="116">
        <v>0</v>
      </c>
      <c r="E62" s="116">
        <v>0</v>
      </c>
      <c r="G62" s="116">
        <f>C62-E62</f>
        <v>0</v>
      </c>
      <c r="I62" s="131" t="str">
        <f>IF(ISERROR(ROUND(G62/E62*100,4)),"            -",ROUND(G62/E62*100,4))</f>
        <v xml:space="preserve">            -</v>
      </c>
    </row>
    <row r="63" spans="1:11" ht="15.75" customHeight="1" x14ac:dyDescent="0.25">
      <c r="B63" s="130" t="s">
        <v>198</v>
      </c>
      <c r="I63" s="133"/>
    </row>
    <row r="64" spans="1:11" ht="15.75" customHeight="1" thickBot="1" x14ac:dyDescent="0.3">
      <c r="A64" s="119" t="s">
        <v>311</v>
      </c>
      <c r="B64" s="130" t="s">
        <v>198</v>
      </c>
      <c r="C64" s="118">
        <v>166962574.47999999</v>
      </c>
      <c r="E64" s="118">
        <v>151820783.19999999</v>
      </c>
      <c r="G64" s="118">
        <f>C64-E64</f>
        <v>15141791.280000001</v>
      </c>
      <c r="I64" s="138">
        <f>ROUND(G64/E64*100,4)</f>
        <v>9.9734999999999996</v>
      </c>
    </row>
    <row r="65" ht="15.75" customHeight="1" thickTop="1" x14ac:dyDescent="0.25"/>
  </sheetData>
  <phoneticPr fontId="58" type="noConversion"/>
  <printOptions horizontalCentered="1"/>
  <pageMargins left="0" right="0" top="0.5" bottom="0.4" header="0" footer="0.28000000000000003"/>
  <pageSetup scale="61" orientation="landscape" horizontalDpi="4294967292" verticalDpi="300" r:id="rId1"/>
  <headerFooter alignWithMargins="0">
    <oddFooter>&amp;C&amp;"Times New Roman,Bold"3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-0.249977111117893"/>
    <pageSetUpPr fitToPage="1"/>
  </sheetPr>
  <dimension ref="A1:O58"/>
  <sheetViews>
    <sheetView showGridLines="0" zoomScale="75" workbookViewId="0">
      <selection activeCell="C33" sqref="C33"/>
    </sheetView>
  </sheetViews>
  <sheetFormatPr defaultColWidth="10.28515625" defaultRowHeight="15.75" x14ac:dyDescent="0.25"/>
  <cols>
    <col min="1" max="1" width="3" style="119" customWidth="1"/>
    <col min="2" max="2" width="47.5703125" style="119" customWidth="1"/>
    <col min="3" max="3" width="1.85546875" style="119" customWidth="1"/>
    <col min="4" max="4" width="20.140625" style="107" customWidth="1"/>
    <col min="5" max="5" width="4.140625" style="107" customWidth="1"/>
    <col min="6" max="6" width="21.28515625" style="107" customWidth="1"/>
    <col min="7" max="7" width="5.140625" style="107" customWidth="1"/>
    <col min="8" max="8" width="3" style="107" customWidth="1"/>
    <col min="9" max="9" width="49" style="107" customWidth="1"/>
    <col min="10" max="10" width="1.85546875" style="107" customWidth="1"/>
    <col min="11" max="11" width="21.28515625" style="107" customWidth="1"/>
    <col min="12" max="12" width="4.140625" style="107" customWidth="1"/>
    <col min="13" max="13" width="21.28515625" style="107" customWidth="1"/>
    <col min="14" max="15" width="10.28515625" style="107" customWidth="1"/>
    <col min="16" max="16384" width="10.28515625" style="119"/>
  </cols>
  <sheetData>
    <row r="1" spans="1:15" x14ac:dyDescent="0.25">
      <c r="A1" s="91" t="s">
        <v>189</v>
      </c>
    </row>
    <row r="2" spans="1:15" x14ac:dyDescent="0.25">
      <c r="A2" s="120" t="s">
        <v>82</v>
      </c>
      <c r="B2" s="121"/>
      <c r="C2" s="121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5" s="125" customFormat="1" x14ac:dyDescent="0.25">
      <c r="A3" s="120" t="s">
        <v>312</v>
      </c>
      <c r="B3" s="139"/>
      <c r="C3" s="139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</row>
    <row r="4" spans="1:15" s="125" customFormat="1" x14ac:dyDescent="0.25"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7" spans="1:15" x14ac:dyDescent="0.25">
      <c r="B7" s="119" t="s">
        <v>313</v>
      </c>
      <c r="D7" s="111" t="s">
        <v>300</v>
      </c>
      <c r="F7" s="111" t="s">
        <v>301</v>
      </c>
      <c r="I7" s="107" t="s">
        <v>314</v>
      </c>
      <c r="K7" s="111" t="s">
        <v>300</v>
      </c>
      <c r="M7" s="111" t="s">
        <v>301</v>
      </c>
    </row>
    <row r="9" spans="1:15" x14ac:dyDescent="0.25">
      <c r="A9" s="119" t="s">
        <v>235</v>
      </c>
      <c r="H9" s="107" t="s">
        <v>27</v>
      </c>
    </row>
    <row r="10" spans="1:15" x14ac:dyDescent="0.25">
      <c r="B10" s="119" t="s">
        <v>236</v>
      </c>
      <c r="C10" s="130" t="s">
        <v>198</v>
      </c>
      <c r="D10" s="113">
        <v>4939349138.3699999</v>
      </c>
      <c r="F10" s="107">
        <v>4167978126.6900001</v>
      </c>
      <c r="I10" s="107" t="s">
        <v>237</v>
      </c>
      <c r="J10" s="114" t="s">
        <v>198</v>
      </c>
      <c r="K10" s="107">
        <v>308139977.56</v>
      </c>
      <c r="M10" s="107">
        <v>308139977.56</v>
      </c>
    </row>
    <row r="11" spans="1:15" x14ac:dyDescent="0.25">
      <c r="B11" s="119" t="s">
        <v>315</v>
      </c>
      <c r="C11" s="130" t="s">
        <v>198</v>
      </c>
      <c r="D11" s="115">
        <v>1931454524.23</v>
      </c>
      <c r="F11" s="116">
        <v>1850012155.1400001</v>
      </c>
      <c r="I11" s="107" t="s">
        <v>239</v>
      </c>
      <c r="J11" s="114" t="s">
        <v>198</v>
      </c>
      <c r="K11" s="107">
        <v>-321288.87</v>
      </c>
      <c r="M11" s="107">
        <v>-321288.87</v>
      </c>
    </row>
    <row r="12" spans="1:15" x14ac:dyDescent="0.25">
      <c r="C12" s="130" t="s">
        <v>198</v>
      </c>
      <c r="I12" s="107" t="s">
        <v>240</v>
      </c>
      <c r="J12" s="114" t="s">
        <v>198</v>
      </c>
      <c r="K12" s="107">
        <v>90000000</v>
      </c>
      <c r="M12" s="107">
        <v>15000000</v>
      </c>
    </row>
    <row r="13" spans="1:15" x14ac:dyDescent="0.25">
      <c r="B13" s="119" t="s">
        <v>241</v>
      </c>
      <c r="C13" s="130" t="s">
        <v>198</v>
      </c>
      <c r="D13" s="116">
        <v>3007894614.1399999</v>
      </c>
      <c r="F13" s="116">
        <v>2317965971.5500002</v>
      </c>
      <c r="I13" s="107" t="s">
        <v>242</v>
      </c>
      <c r="J13" s="114" t="s">
        <v>198</v>
      </c>
      <c r="K13" s="107">
        <v>0</v>
      </c>
      <c r="M13" s="107">
        <v>0.26</v>
      </c>
    </row>
    <row r="14" spans="1:15" x14ac:dyDescent="0.25">
      <c r="I14" s="107" t="s">
        <v>243</v>
      </c>
      <c r="J14" s="114" t="s">
        <v>198</v>
      </c>
      <c r="K14" s="107">
        <v>1016489982.01</v>
      </c>
      <c r="M14" s="107">
        <v>854131027.52999997</v>
      </c>
    </row>
    <row r="15" spans="1:15" x14ac:dyDescent="0.25">
      <c r="D15" s="108"/>
      <c r="E15" s="108"/>
      <c r="F15" s="108"/>
      <c r="I15" s="107" t="s">
        <v>244</v>
      </c>
      <c r="J15" s="114" t="s">
        <v>198</v>
      </c>
      <c r="K15" s="116">
        <v>21207068</v>
      </c>
      <c r="M15" s="116">
        <v>16248287</v>
      </c>
    </row>
    <row r="16" spans="1:15" x14ac:dyDescent="0.25">
      <c r="J16" s="114"/>
    </row>
    <row r="17" spans="1:13" x14ac:dyDescent="0.25">
      <c r="A17" s="119" t="s">
        <v>316</v>
      </c>
      <c r="C17" s="130" t="s">
        <v>198</v>
      </c>
      <c r="I17" s="107" t="s">
        <v>245</v>
      </c>
      <c r="J17" s="114" t="s">
        <v>198</v>
      </c>
      <c r="K17" s="116">
        <v>1435515738.7</v>
      </c>
      <c r="M17" s="116">
        <v>1193198003.48</v>
      </c>
    </row>
    <row r="18" spans="1:13" x14ac:dyDescent="0.25">
      <c r="B18" s="119" t="s">
        <v>246</v>
      </c>
      <c r="C18" s="130" t="s">
        <v>198</v>
      </c>
      <c r="D18" s="107">
        <v>250000</v>
      </c>
      <c r="F18" s="107">
        <v>250000</v>
      </c>
      <c r="J18" s="114"/>
    </row>
    <row r="19" spans="1:13" x14ac:dyDescent="0.25">
      <c r="B19" s="119" t="s">
        <v>247</v>
      </c>
      <c r="C19" s="130" t="s">
        <v>198</v>
      </c>
      <c r="D19" s="107">
        <v>180295.94</v>
      </c>
      <c r="F19" s="107">
        <v>969162.61</v>
      </c>
      <c r="I19" s="107" t="s">
        <v>248</v>
      </c>
      <c r="J19" s="114" t="s">
        <v>198</v>
      </c>
      <c r="K19" s="107">
        <v>0</v>
      </c>
      <c r="M19" s="107">
        <v>0</v>
      </c>
    </row>
    <row r="20" spans="1:13" x14ac:dyDescent="0.25">
      <c r="B20" s="119" t="s">
        <v>249</v>
      </c>
      <c r="C20" s="130" t="s">
        <v>198</v>
      </c>
      <c r="D20" s="107">
        <v>22502868</v>
      </c>
      <c r="F20" s="107">
        <v>17544087</v>
      </c>
      <c r="J20" s="114"/>
    </row>
    <row r="21" spans="1:13" x14ac:dyDescent="0.25">
      <c r="B21" s="119" t="s">
        <v>250</v>
      </c>
      <c r="C21" s="130" t="s">
        <v>198</v>
      </c>
      <c r="D21" s="107">
        <v>5915884.0700000003</v>
      </c>
      <c r="F21" s="107">
        <v>5704694.3300000001</v>
      </c>
      <c r="I21" s="117" t="s">
        <v>317</v>
      </c>
      <c r="J21" s="114" t="s">
        <v>198</v>
      </c>
      <c r="K21" s="108">
        <v>332753140</v>
      </c>
      <c r="L21" s="108"/>
      <c r="M21" s="108">
        <v>305951140</v>
      </c>
    </row>
    <row r="22" spans="1:13" x14ac:dyDescent="0.25">
      <c r="B22" s="119" t="s">
        <v>251</v>
      </c>
      <c r="C22" s="130" t="s">
        <v>198</v>
      </c>
      <c r="D22" s="116">
        <v>411140</v>
      </c>
      <c r="F22" s="116">
        <v>426140</v>
      </c>
      <c r="I22" s="107" t="s">
        <v>318</v>
      </c>
      <c r="J22" s="114" t="s">
        <v>198</v>
      </c>
      <c r="K22" s="108">
        <v>0</v>
      </c>
      <c r="L22" s="108"/>
      <c r="M22" s="108">
        <v>0</v>
      </c>
    </row>
    <row r="23" spans="1:13" x14ac:dyDescent="0.25">
      <c r="C23" s="130"/>
      <c r="D23" s="108"/>
      <c r="F23" s="108"/>
      <c r="I23" s="107" t="s">
        <v>252</v>
      </c>
      <c r="J23" s="114" t="s">
        <v>198</v>
      </c>
      <c r="K23" s="107">
        <v>931000000</v>
      </c>
      <c r="M23" s="107">
        <v>483000000</v>
      </c>
    </row>
    <row r="24" spans="1:13" x14ac:dyDescent="0.25">
      <c r="B24" s="119" t="s">
        <v>253</v>
      </c>
      <c r="C24" s="130" t="s">
        <v>198</v>
      </c>
      <c r="D24" s="116">
        <v>29260188.010000002</v>
      </c>
      <c r="F24" s="116">
        <v>24894083.940000001</v>
      </c>
      <c r="I24" s="107" t="s">
        <v>319</v>
      </c>
      <c r="J24" s="114" t="s">
        <v>198</v>
      </c>
      <c r="K24" s="116">
        <v>0</v>
      </c>
      <c r="M24" s="116">
        <v>433540</v>
      </c>
    </row>
    <row r="26" spans="1:13" x14ac:dyDescent="0.25">
      <c r="I26" s="107" t="s">
        <v>320</v>
      </c>
      <c r="J26" s="114" t="s">
        <v>198</v>
      </c>
      <c r="K26" s="108">
        <v>1263753140</v>
      </c>
      <c r="M26" s="108">
        <v>789384680</v>
      </c>
    </row>
    <row r="27" spans="1:13" x14ac:dyDescent="0.25">
      <c r="J27" s="114" t="s">
        <v>198</v>
      </c>
      <c r="K27" s="108"/>
      <c r="M27" s="108"/>
    </row>
    <row r="28" spans="1:13" x14ac:dyDescent="0.25">
      <c r="A28" s="119" t="s">
        <v>256</v>
      </c>
      <c r="C28" s="130" t="s">
        <v>198</v>
      </c>
      <c r="I28" s="107" t="s">
        <v>255</v>
      </c>
      <c r="J28" s="114" t="s">
        <v>198</v>
      </c>
      <c r="K28" s="116">
        <v>2699268878.6999998</v>
      </c>
      <c r="L28" s="108"/>
      <c r="M28" s="116">
        <v>1982582683.48</v>
      </c>
    </row>
    <row r="29" spans="1:13" x14ac:dyDescent="0.25">
      <c r="B29" s="119" t="s">
        <v>257</v>
      </c>
      <c r="C29" s="130" t="s">
        <v>198</v>
      </c>
      <c r="D29" s="107">
        <v>321020.78999999998</v>
      </c>
      <c r="F29" s="107">
        <v>5309005.3899999997</v>
      </c>
    </row>
    <row r="30" spans="1:13" x14ac:dyDescent="0.25">
      <c r="B30" s="119" t="s">
        <v>259</v>
      </c>
      <c r="C30" s="130" t="s">
        <v>198</v>
      </c>
      <c r="D30" s="107">
        <v>10985555.779999999</v>
      </c>
      <c r="F30" s="107">
        <v>22807516.43</v>
      </c>
      <c r="H30" s="107" t="s">
        <v>258</v>
      </c>
      <c r="J30" s="114"/>
    </row>
    <row r="31" spans="1:13" x14ac:dyDescent="0.25">
      <c r="B31" s="119" t="s">
        <v>260</v>
      </c>
      <c r="C31" s="130" t="s">
        <v>198</v>
      </c>
      <c r="D31" s="107">
        <v>17489.91</v>
      </c>
      <c r="F31" s="107">
        <v>3505.29</v>
      </c>
      <c r="I31" s="107" t="s">
        <v>321</v>
      </c>
      <c r="J31" s="114" t="s">
        <v>198</v>
      </c>
      <c r="K31" s="107">
        <v>0</v>
      </c>
      <c r="M31" s="107">
        <v>53000000</v>
      </c>
    </row>
    <row r="32" spans="1:13" x14ac:dyDescent="0.25">
      <c r="B32" s="119" t="s">
        <v>262</v>
      </c>
      <c r="C32" s="130" t="s">
        <v>198</v>
      </c>
      <c r="D32" s="107">
        <v>171767245.72999999</v>
      </c>
      <c r="F32" s="107">
        <v>123201441.14</v>
      </c>
      <c r="I32" s="140" t="s">
        <v>261</v>
      </c>
      <c r="J32" s="114" t="s">
        <v>198</v>
      </c>
      <c r="K32" s="107">
        <v>23219454</v>
      </c>
      <c r="M32" s="107">
        <v>0</v>
      </c>
    </row>
    <row r="33" spans="1:13" x14ac:dyDescent="0.25">
      <c r="B33" s="119" t="s">
        <v>322</v>
      </c>
      <c r="C33" s="130" t="s">
        <v>198</v>
      </c>
      <c r="D33" s="107">
        <v>0</v>
      </c>
      <c r="F33" s="107">
        <v>0</v>
      </c>
      <c r="I33" s="117" t="s">
        <v>263</v>
      </c>
      <c r="J33" s="114" t="s">
        <v>198</v>
      </c>
      <c r="K33" s="107">
        <v>0</v>
      </c>
      <c r="M33" s="107">
        <v>0</v>
      </c>
    </row>
    <row r="34" spans="1:13" x14ac:dyDescent="0.25">
      <c r="B34" s="119" t="s">
        <v>323</v>
      </c>
      <c r="C34" s="130" t="s">
        <v>198</v>
      </c>
      <c r="D34" s="107">
        <v>16983062.010000002</v>
      </c>
      <c r="F34" s="107">
        <v>50014360.409999996</v>
      </c>
      <c r="I34" s="107" t="s">
        <v>264</v>
      </c>
      <c r="J34" s="114" t="s">
        <v>198</v>
      </c>
      <c r="K34" s="107">
        <v>0</v>
      </c>
      <c r="M34" s="107">
        <v>97043054</v>
      </c>
    </row>
    <row r="35" spans="1:13" x14ac:dyDescent="0.25">
      <c r="B35" s="119" t="s">
        <v>324</v>
      </c>
      <c r="C35" s="130" t="s">
        <v>198</v>
      </c>
      <c r="I35" s="107" t="s">
        <v>266</v>
      </c>
      <c r="J35" s="114" t="s">
        <v>198</v>
      </c>
      <c r="K35" s="107">
        <v>165373890.06</v>
      </c>
      <c r="M35" s="107">
        <v>84148386.379999995</v>
      </c>
    </row>
    <row r="36" spans="1:13" x14ac:dyDescent="0.25">
      <c r="B36" s="119" t="s">
        <v>269</v>
      </c>
      <c r="C36" s="130" t="s">
        <v>198</v>
      </c>
      <c r="D36" s="107">
        <v>41770627.770000003</v>
      </c>
      <c r="F36" s="107">
        <v>64221478.600000001</v>
      </c>
      <c r="I36" s="107" t="s">
        <v>268</v>
      </c>
      <c r="J36" s="114" t="s">
        <v>198</v>
      </c>
      <c r="K36" s="107">
        <v>38042955.520000003</v>
      </c>
      <c r="M36" s="107">
        <v>81880154.590000004</v>
      </c>
    </row>
    <row r="37" spans="1:13" x14ac:dyDescent="0.25">
      <c r="B37" s="119" t="s">
        <v>325</v>
      </c>
      <c r="C37" s="130" t="s">
        <v>198</v>
      </c>
      <c r="D37" s="107">
        <v>27370026.449999999</v>
      </c>
      <c r="F37" s="107">
        <v>25951429.350000001</v>
      </c>
      <c r="I37" s="107" t="s">
        <v>270</v>
      </c>
      <c r="J37" s="114" t="s">
        <v>198</v>
      </c>
      <c r="K37" s="107">
        <v>19573318.280000001</v>
      </c>
      <c r="M37" s="107">
        <v>18681706.399999999</v>
      </c>
    </row>
    <row r="38" spans="1:13" x14ac:dyDescent="0.25">
      <c r="B38" s="119" t="s">
        <v>273</v>
      </c>
      <c r="C38" s="130" t="s">
        <v>198</v>
      </c>
      <c r="D38" s="107">
        <v>6454807.6299999999</v>
      </c>
      <c r="F38" s="107">
        <v>6386539.0300000003</v>
      </c>
      <c r="I38" s="107" t="s">
        <v>272</v>
      </c>
      <c r="J38" s="114" t="s">
        <v>198</v>
      </c>
      <c r="K38" s="107">
        <v>3633209.17</v>
      </c>
      <c r="M38" s="107">
        <v>5483045.29</v>
      </c>
    </row>
    <row r="39" spans="1:13" x14ac:dyDescent="0.25">
      <c r="B39" s="119" t="s">
        <v>275</v>
      </c>
      <c r="C39" s="119" t="s">
        <v>198</v>
      </c>
      <c r="D39" s="113">
        <v>382894.11</v>
      </c>
      <c r="F39" s="107">
        <v>1670537.83</v>
      </c>
      <c r="I39" s="107" t="s">
        <v>274</v>
      </c>
      <c r="J39" s="114" t="s">
        <v>198</v>
      </c>
      <c r="K39" s="107">
        <v>11932026.449999999</v>
      </c>
      <c r="M39" s="107">
        <v>7375553.8300000001</v>
      </c>
    </row>
    <row r="40" spans="1:13" x14ac:dyDescent="0.25">
      <c r="B40" s="119" t="s">
        <v>277</v>
      </c>
      <c r="C40" s="130" t="s">
        <v>198</v>
      </c>
      <c r="D40" s="107">
        <v>5293878.66</v>
      </c>
      <c r="F40" s="107">
        <v>5878487.3099999996</v>
      </c>
      <c r="I40" s="107" t="s">
        <v>276</v>
      </c>
      <c r="J40" s="114" t="s">
        <v>198</v>
      </c>
      <c r="K40" s="107">
        <v>0</v>
      </c>
      <c r="M40" s="107">
        <v>0</v>
      </c>
    </row>
    <row r="41" spans="1:13" x14ac:dyDescent="0.25">
      <c r="B41" s="119" t="s">
        <v>326</v>
      </c>
      <c r="C41" s="130" t="s">
        <v>198</v>
      </c>
      <c r="D41" s="116">
        <v>554123.63</v>
      </c>
      <c r="F41" s="116">
        <v>895626.67</v>
      </c>
      <c r="I41" s="107" t="s">
        <v>327</v>
      </c>
      <c r="J41" s="114" t="s">
        <v>198</v>
      </c>
      <c r="K41" s="116">
        <v>10909671.01</v>
      </c>
      <c r="M41" s="116">
        <v>10751454.699999999</v>
      </c>
    </row>
    <row r="42" spans="1:13" x14ac:dyDescent="0.25">
      <c r="J42" s="114"/>
    </row>
    <row r="43" spans="1:13" x14ac:dyDescent="0.25">
      <c r="B43" s="119" t="s">
        <v>280</v>
      </c>
      <c r="C43" s="130" t="s">
        <v>198</v>
      </c>
      <c r="D43" s="116">
        <v>281900732.47000003</v>
      </c>
      <c r="F43" s="116">
        <v>306339927.44999999</v>
      </c>
      <c r="I43" s="107" t="s">
        <v>253</v>
      </c>
      <c r="J43" s="114" t="s">
        <v>198</v>
      </c>
      <c r="K43" s="116">
        <v>272684524.49000001</v>
      </c>
      <c r="M43" s="116">
        <v>358363355.19</v>
      </c>
    </row>
    <row r="44" spans="1:13" x14ac:dyDescent="0.25">
      <c r="J44" s="114"/>
    </row>
    <row r="45" spans="1:13" x14ac:dyDescent="0.25">
      <c r="H45" s="107" t="s">
        <v>281</v>
      </c>
      <c r="J45" s="114"/>
    </row>
    <row r="46" spans="1:13" x14ac:dyDescent="0.25">
      <c r="I46" s="107" t="s">
        <v>282</v>
      </c>
      <c r="J46" s="114" t="s">
        <v>198</v>
      </c>
      <c r="K46" s="113">
        <v>333296780.67000002</v>
      </c>
      <c r="M46" s="107">
        <v>330151853.20999998</v>
      </c>
    </row>
    <row r="47" spans="1:13" x14ac:dyDescent="0.25">
      <c r="A47" s="119" t="s">
        <v>283</v>
      </c>
      <c r="C47" s="130" t="s">
        <v>198</v>
      </c>
      <c r="I47" s="107" t="s">
        <v>284</v>
      </c>
      <c r="J47" s="114" t="s">
        <v>198</v>
      </c>
      <c r="K47" s="113">
        <v>54999112.32</v>
      </c>
      <c r="M47" s="107">
        <v>13023775.32</v>
      </c>
    </row>
    <row r="48" spans="1:13" x14ac:dyDescent="0.25">
      <c r="B48" s="119" t="s">
        <v>285</v>
      </c>
      <c r="C48" s="130" t="s">
        <v>198</v>
      </c>
      <c r="D48" s="107">
        <v>7281131.1600000001</v>
      </c>
      <c r="F48" s="107">
        <v>5875218.2699999996</v>
      </c>
      <c r="I48" s="107" t="s">
        <v>286</v>
      </c>
      <c r="J48" s="114" t="s">
        <v>198</v>
      </c>
      <c r="K48" s="107">
        <v>37721036.079999998</v>
      </c>
      <c r="M48" s="107">
        <v>35939373.479999997</v>
      </c>
    </row>
    <row r="49" spans="2:13" x14ac:dyDescent="0.25">
      <c r="B49" s="119" t="s">
        <v>287</v>
      </c>
      <c r="C49" s="130" t="s">
        <v>198</v>
      </c>
      <c r="D49" s="107">
        <v>10173666.949999999</v>
      </c>
      <c r="F49" s="107">
        <v>10327192.029999999</v>
      </c>
      <c r="I49" s="107" t="s">
        <v>288</v>
      </c>
      <c r="J49" s="114" t="s">
        <v>198</v>
      </c>
      <c r="K49" s="113">
        <v>2803336.61</v>
      </c>
      <c r="M49" s="107">
        <v>1972866.14</v>
      </c>
    </row>
    <row r="50" spans="2:13" x14ac:dyDescent="0.25">
      <c r="B50" s="119" t="s">
        <v>282</v>
      </c>
      <c r="C50" s="130" t="s">
        <v>198</v>
      </c>
      <c r="D50" s="107">
        <v>50753515.509999998</v>
      </c>
      <c r="F50" s="107">
        <v>46004036.649999999</v>
      </c>
      <c r="I50" s="107" t="s">
        <v>289</v>
      </c>
      <c r="J50" s="114" t="s">
        <v>198</v>
      </c>
      <c r="K50" s="107">
        <v>30315059.260000002</v>
      </c>
      <c r="M50" s="107">
        <v>28481206.539999999</v>
      </c>
    </row>
    <row r="51" spans="2:13" x14ac:dyDescent="0.25">
      <c r="B51" s="119" t="s">
        <v>290</v>
      </c>
      <c r="C51" s="130" t="s">
        <v>198</v>
      </c>
      <c r="D51" s="107">
        <v>82165250.620000005</v>
      </c>
      <c r="F51" s="107">
        <v>115016842.94</v>
      </c>
      <c r="I51" s="107" t="s">
        <v>291</v>
      </c>
      <c r="J51" s="114" t="s">
        <v>198</v>
      </c>
      <c r="K51" s="107">
        <v>13436143.6</v>
      </c>
      <c r="M51" s="107">
        <v>7283141.96</v>
      </c>
    </row>
    <row r="52" spans="2:13" x14ac:dyDescent="0.25">
      <c r="B52" s="119" t="s">
        <v>292</v>
      </c>
      <c r="C52" s="130" t="s">
        <v>198</v>
      </c>
      <c r="D52" s="116">
        <v>66575299.740000002</v>
      </c>
      <c r="F52" s="116">
        <v>67133954.810000002</v>
      </c>
      <c r="I52" s="107" t="s">
        <v>328</v>
      </c>
      <c r="J52" s="114" t="s">
        <v>198</v>
      </c>
      <c r="K52" s="107">
        <v>3554518.72</v>
      </c>
      <c r="M52" s="107">
        <v>59308888.32</v>
      </c>
    </row>
    <row r="53" spans="2:13" ht="15.75" customHeight="1" x14ac:dyDescent="0.25">
      <c r="C53" s="130" t="s">
        <v>198</v>
      </c>
      <c r="I53" s="107" t="s">
        <v>329</v>
      </c>
      <c r="J53" s="114" t="s">
        <v>198</v>
      </c>
      <c r="K53" s="116">
        <v>87925008.150000006</v>
      </c>
      <c r="M53" s="116">
        <v>76450084</v>
      </c>
    </row>
    <row r="54" spans="2:13" x14ac:dyDescent="0.25">
      <c r="B54" s="119" t="s">
        <v>280</v>
      </c>
      <c r="C54" s="130" t="s">
        <v>198</v>
      </c>
      <c r="D54" s="116">
        <v>216948863.97999999</v>
      </c>
      <c r="F54" s="116">
        <v>244357244.69999999</v>
      </c>
      <c r="J54" s="114"/>
    </row>
    <row r="55" spans="2:13" x14ac:dyDescent="0.25">
      <c r="I55" s="107" t="s">
        <v>295</v>
      </c>
      <c r="J55" s="114" t="s">
        <v>198</v>
      </c>
      <c r="K55" s="116">
        <v>564050995.40999997</v>
      </c>
      <c r="M55" s="116">
        <v>552611188.97000003</v>
      </c>
    </row>
    <row r="57" spans="2:13" ht="16.5" thickBot="1" x14ac:dyDescent="0.3">
      <c r="B57" s="119" t="s">
        <v>296</v>
      </c>
      <c r="C57" s="130" t="s">
        <v>198</v>
      </c>
      <c r="D57" s="118">
        <v>3536004398.5999999</v>
      </c>
      <c r="F57" s="118">
        <v>2893557227.6399999</v>
      </c>
      <c r="I57" s="107" t="s">
        <v>297</v>
      </c>
      <c r="J57" s="114" t="s">
        <v>198</v>
      </c>
      <c r="K57" s="118">
        <v>3536004398.5999999</v>
      </c>
      <c r="M57" s="118">
        <v>2893557227.6399999</v>
      </c>
    </row>
    <row r="58" spans="2:13" ht="16.5" thickTop="1" x14ac:dyDescent="0.25"/>
  </sheetData>
  <phoneticPr fontId="58" type="noConversion"/>
  <printOptions horizontalCentered="1"/>
  <pageMargins left="0" right="0" top="0.75" bottom="0.7" header="0" footer="0.55000000000000004"/>
  <pageSetup scale="57" orientation="landscape" horizontalDpi="4294967292" verticalDpi="300" r:id="rId1"/>
  <headerFooter alignWithMargins="0">
    <oddFooter>&amp;C&amp;"Times New Roman,Bold"5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Normal="100" workbookViewId="0">
      <selection activeCell="E11" sqref="E11"/>
    </sheetView>
  </sheetViews>
  <sheetFormatPr defaultRowHeight="12.75" x14ac:dyDescent="0.2"/>
  <cols>
    <col min="1" max="1" width="22.140625" style="490" customWidth="1"/>
    <col min="2" max="2" width="21.85546875" style="490" customWidth="1"/>
    <col min="3" max="5" width="18.28515625" style="490" bestFit="1" customWidth="1"/>
    <col min="6" max="9" width="17.42578125" style="490" bestFit="1" customWidth="1"/>
    <col min="10" max="16384" width="9.140625" style="490"/>
  </cols>
  <sheetData>
    <row r="1" spans="1:9" x14ac:dyDescent="0.2">
      <c r="A1" s="832" t="s">
        <v>21</v>
      </c>
      <c r="B1" s="832"/>
      <c r="C1" s="832"/>
      <c r="D1" s="832"/>
      <c r="E1" s="832"/>
      <c r="F1" s="832"/>
      <c r="G1" s="832"/>
      <c r="H1" s="511"/>
      <c r="I1" s="511"/>
    </row>
    <row r="2" spans="1:9" x14ac:dyDescent="0.2">
      <c r="A2" s="832" t="s">
        <v>22</v>
      </c>
      <c r="B2" s="832"/>
      <c r="C2" s="832"/>
      <c r="D2" s="832"/>
      <c r="E2" s="832"/>
      <c r="F2" s="832"/>
      <c r="G2" s="832"/>
    </row>
    <row r="3" spans="1:9" x14ac:dyDescent="0.2">
      <c r="A3" s="832" t="s">
        <v>23</v>
      </c>
      <c r="B3" s="832"/>
      <c r="C3" s="832"/>
      <c r="D3" s="832"/>
      <c r="E3" s="832"/>
      <c r="F3" s="832"/>
      <c r="G3" s="832"/>
    </row>
    <row r="4" spans="1:9" x14ac:dyDescent="0.2">
      <c r="A4" s="832"/>
      <c r="B4" s="832"/>
      <c r="C4" s="832"/>
      <c r="D4" s="832"/>
      <c r="E4" s="832"/>
      <c r="F4" s="832"/>
      <c r="G4" s="832"/>
    </row>
    <row r="6" spans="1:9" ht="15" x14ac:dyDescent="0.35">
      <c r="A6" s="830" t="s">
        <v>726</v>
      </c>
      <c r="B6" s="830"/>
      <c r="C6" s="830"/>
      <c r="D6" s="831"/>
      <c r="E6" s="831"/>
      <c r="F6" s="831"/>
      <c r="G6" s="831"/>
    </row>
    <row r="7" spans="1:9" x14ac:dyDescent="0.2">
      <c r="B7" s="491"/>
      <c r="C7" s="492" t="s">
        <v>24</v>
      </c>
      <c r="D7" s="489"/>
      <c r="F7" s="489" t="s">
        <v>25</v>
      </c>
      <c r="G7" s="489" t="s">
        <v>26</v>
      </c>
    </row>
    <row r="8" spans="1:9" x14ac:dyDescent="0.2">
      <c r="B8" s="493" t="s">
        <v>27</v>
      </c>
      <c r="C8" s="492" t="s">
        <v>28</v>
      </c>
      <c r="D8" s="489" t="s">
        <v>29</v>
      </c>
      <c r="E8" s="493" t="s">
        <v>30</v>
      </c>
      <c r="F8" s="489" t="s">
        <v>31</v>
      </c>
      <c r="G8" s="489" t="s">
        <v>32</v>
      </c>
    </row>
    <row r="9" spans="1:9" x14ac:dyDescent="0.2">
      <c r="B9" s="494" t="s">
        <v>33</v>
      </c>
      <c r="C9" s="495" t="s">
        <v>34</v>
      </c>
      <c r="D9" s="494" t="s">
        <v>27</v>
      </c>
      <c r="E9" s="494" t="s">
        <v>35</v>
      </c>
      <c r="F9" s="494" t="s">
        <v>36</v>
      </c>
      <c r="G9" s="494" t="s">
        <v>37</v>
      </c>
    </row>
    <row r="10" spans="1:9" x14ac:dyDescent="0.2">
      <c r="A10" s="490" t="s">
        <v>38</v>
      </c>
      <c r="B10" s="496">
        <v>0</v>
      </c>
      <c r="C10" s="497">
        <f t="shared" ref="C10:D14" si="0">+C29+C48</f>
        <v>1</v>
      </c>
      <c r="D10" s="496">
        <f t="shared" si="0"/>
        <v>0</v>
      </c>
      <c r="E10" s="497">
        <f>ROUND(+D10/$D$15,4)</f>
        <v>0</v>
      </c>
      <c r="F10" s="510">
        <v>4.4999999999999997E-3</v>
      </c>
      <c r="G10" s="497">
        <f>ROUND(+E10*F10,4)</f>
        <v>0</v>
      </c>
      <c r="H10" s="498"/>
    </row>
    <row r="11" spans="1:9" x14ac:dyDescent="0.2">
      <c r="A11" s="490" t="s">
        <v>39</v>
      </c>
      <c r="B11" s="496">
        <v>0</v>
      </c>
      <c r="C11" s="497">
        <f t="shared" si="0"/>
        <v>1</v>
      </c>
      <c r="D11" s="496">
        <f t="shared" si="0"/>
        <v>0</v>
      </c>
      <c r="E11" s="497">
        <f>ROUND(+D11/$D$15,4)</f>
        <v>0</v>
      </c>
      <c r="F11" s="510">
        <v>0</v>
      </c>
      <c r="G11" s="497">
        <f>ROUND(+E11*F11,4)</f>
        <v>0</v>
      </c>
    </row>
    <row r="12" spans="1:9" x14ac:dyDescent="0.2">
      <c r="A12" s="490" t="s">
        <v>40</v>
      </c>
      <c r="B12" s="496">
        <v>1840591561.25</v>
      </c>
      <c r="C12" s="497">
        <f t="shared" si="0"/>
        <v>1</v>
      </c>
      <c r="D12" s="496">
        <f t="shared" si="0"/>
        <v>1840591561</v>
      </c>
      <c r="E12" s="497">
        <f>ROUND(+D12/$D$15,4)</f>
        <v>0.46379999999999999</v>
      </c>
      <c r="F12" s="510">
        <v>3.6769999999999997E-2</v>
      </c>
      <c r="G12" s="497">
        <f>ROUND(+E12*F12,4)</f>
        <v>1.7100000000000001E-2</v>
      </c>
    </row>
    <row r="13" spans="1:9" ht="13.5" thickBot="1" x14ac:dyDescent="0.25">
      <c r="A13" s="490" t="s">
        <v>41</v>
      </c>
      <c r="B13" s="496">
        <v>0</v>
      </c>
      <c r="C13" s="497">
        <f t="shared" si="0"/>
        <v>1</v>
      </c>
      <c r="D13" s="496">
        <f t="shared" si="0"/>
        <v>0</v>
      </c>
      <c r="E13" s="497">
        <f>ROUND(+D13/$D$15,4)</f>
        <v>0</v>
      </c>
      <c r="F13" s="510">
        <v>0</v>
      </c>
      <c r="G13" s="497">
        <f>ROUND(+E13*F13,4)</f>
        <v>0</v>
      </c>
    </row>
    <row r="14" spans="1:9" ht="13.5" thickBot="1" x14ac:dyDescent="0.25">
      <c r="A14" s="490" t="s">
        <v>42</v>
      </c>
      <c r="B14" s="496">
        <v>2128238257.1700001</v>
      </c>
      <c r="C14" s="497">
        <f t="shared" si="0"/>
        <v>1</v>
      </c>
      <c r="D14" s="496">
        <f t="shared" si="0"/>
        <v>2128238257</v>
      </c>
      <c r="E14" s="497">
        <f>ROUND(+D14/$D$15,4)</f>
        <v>0.53620000000000001</v>
      </c>
      <c r="F14" s="824">
        <f>ROUND(+G14/E14,4)</f>
        <v>8.2100000000000006E-2</v>
      </c>
      <c r="G14" s="499">
        <f>+G19-G10-G11-G12-G13</f>
        <v>4.3999999999999997E-2</v>
      </c>
    </row>
    <row r="15" spans="1:9" x14ac:dyDescent="0.2">
      <c r="B15" s="500">
        <f>SUM(B10:B14)</f>
        <v>3968829818.4200001</v>
      </c>
      <c r="D15" s="500">
        <f>SUM(D10:D14)</f>
        <v>3968829818</v>
      </c>
      <c r="E15" s="501">
        <f>SUM(E10:E14)</f>
        <v>1</v>
      </c>
      <c r="F15" s="496"/>
      <c r="G15" s="497">
        <f>SUM(G10:G14)</f>
        <v>6.1100000000000002E-2</v>
      </c>
    </row>
    <row r="16" spans="1:9" x14ac:dyDescent="0.2">
      <c r="B16" s="496"/>
      <c r="D16" s="496"/>
      <c r="E16" s="496"/>
      <c r="F16" s="496"/>
      <c r="G16" s="497"/>
    </row>
    <row r="17" spans="1:8" x14ac:dyDescent="0.2">
      <c r="D17" s="496"/>
      <c r="E17" s="496"/>
      <c r="F17" s="496"/>
      <c r="G17" s="496"/>
    </row>
    <row r="18" spans="1:8" x14ac:dyDescent="0.2">
      <c r="A18" s="715" t="s">
        <v>727</v>
      </c>
      <c r="D18" s="496"/>
      <c r="E18" s="496"/>
      <c r="F18" s="496"/>
      <c r="G18" s="720">
        <f>'2011 IS'!C35</f>
        <v>242590188.23000002</v>
      </c>
    </row>
    <row r="19" spans="1:8" x14ac:dyDescent="0.2">
      <c r="A19" s="490" t="s">
        <v>44</v>
      </c>
      <c r="D19" s="496"/>
      <c r="E19" s="496"/>
      <c r="F19" s="496"/>
      <c r="G19" s="497">
        <f>ROUND(+G18/D15,4)</f>
        <v>6.1100000000000002E-2</v>
      </c>
      <c r="H19" s="503">
        <f>+G15-G19</f>
        <v>0</v>
      </c>
    </row>
    <row r="20" spans="1:8" x14ac:dyDescent="0.2">
      <c r="D20" s="496"/>
      <c r="E20" s="496"/>
      <c r="F20" s="496"/>
      <c r="G20" s="496"/>
    </row>
    <row r="22" spans="1:8" ht="13.5" thickBot="1" x14ac:dyDescent="0.25">
      <c r="A22" s="504"/>
      <c r="B22" s="504"/>
      <c r="C22" s="504"/>
      <c r="D22" s="504"/>
      <c r="E22" s="504"/>
      <c r="F22" s="504"/>
      <c r="G22" s="505"/>
    </row>
    <row r="23" spans="1:8" x14ac:dyDescent="0.2">
      <c r="G23" s="496"/>
    </row>
    <row r="25" spans="1:8" ht="15" x14ac:dyDescent="0.35">
      <c r="A25" s="830" t="s">
        <v>729</v>
      </c>
      <c r="B25" s="830"/>
      <c r="C25" s="830"/>
      <c r="D25" s="831"/>
      <c r="E25" s="831"/>
      <c r="F25" s="831"/>
      <c r="G25" s="831"/>
    </row>
    <row r="26" spans="1:8" x14ac:dyDescent="0.2">
      <c r="B26" s="491"/>
      <c r="C26" s="492" t="s">
        <v>45</v>
      </c>
      <c r="D26" s="489"/>
      <c r="E26" s="618"/>
      <c r="F26" s="489" t="s">
        <v>25</v>
      </c>
      <c r="G26" s="489" t="s">
        <v>26</v>
      </c>
    </row>
    <row r="27" spans="1:8" x14ac:dyDescent="0.2">
      <c r="B27" s="493" t="s">
        <v>27</v>
      </c>
      <c r="C27" s="492" t="s">
        <v>28</v>
      </c>
      <c r="D27" s="489" t="s">
        <v>45</v>
      </c>
      <c r="E27" s="618" t="s">
        <v>30</v>
      </c>
      <c r="F27" s="618" t="s">
        <v>31</v>
      </c>
      <c r="G27" s="618" t="s">
        <v>32</v>
      </c>
    </row>
    <row r="28" spans="1:8" x14ac:dyDescent="0.2">
      <c r="B28" s="494" t="s">
        <v>33</v>
      </c>
      <c r="C28" s="495" t="s">
        <v>34</v>
      </c>
      <c r="D28" s="494" t="s">
        <v>27</v>
      </c>
      <c r="E28" s="620" t="s">
        <v>35</v>
      </c>
      <c r="F28" s="620" t="s">
        <v>36</v>
      </c>
      <c r="G28" s="620" t="s">
        <v>37</v>
      </c>
    </row>
    <row r="29" spans="1:8" x14ac:dyDescent="0.2">
      <c r="A29" s="490" t="s">
        <v>38</v>
      </c>
      <c r="B29" s="506">
        <f>+B10</f>
        <v>0</v>
      </c>
      <c r="C29" s="510">
        <f>'Ex 3 - 2011'!D44</f>
        <v>0.87429999999999997</v>
      </c>
      <c r="D29" s="496">
        <f>ROUND(+B29*C29,0)</f>
        <v>0</v>
      </c>
      <c r="E29" s="497">
        <f>ROUND(+D29/$D$34,4)</f>
        <v>0</v>
      </c>
      <c r="F29" s="510">
        <f>+F10</f>
        <v>4.4999999999999997E-3</v>
      </c>
      <c r="G29" s="497">
        <f>ROUND(+E29*F29,4)</f>
        <v>0</v>
      </c>
    </row>
    <row r="30" spans="1:8" x14ac:dyDescent="0.2">
      <c r="A30" s="490" t="s">
        <v>39</v>
      </c>
      <c r="B30" s="506">
        <f>+B11</f>
        <v>0</v>
      </c>
      <c r="C30" s="727">
        <f>+C29</f>
        <v>0.87429999999999997</v>
      </c>
      <c r="D30" s="496">
        <f>ROUND(+B30*C30,0)</f>
        <v>0</v>
      </c>
      <c r="E30" s="497">
        <f>ROUND(+D30/$D$34,4)</f>
        <v>0</v>
      </c>
      <c r="F30" s="510">
        <f>+F11</f>
        <v>0</v>
      </c>
      <c r="G30" s="497">
        <f>ROUND(+E30*F30,4)</f>
        <v>0</v>
      </c>
    </row>
    <row r="31" spans="1:8" x14ac:dyDescent="0.2">
      <c r="A31" s="490" t="s">
        <v>40</v>
      </c>
      <c r="B31" s="506">
        <f>+B12</f>
        <v>1840591561.25</v>
      </c>
      <c r="C31" s="727">
        <f>+C30</f>
        <v>0.87429999999999997</v>
      </c>
      <c r="D31" s="496">
        <f>ROUND(+B31*C31,0)</f>
        <v>1609229202</v>
      </c>
      <c r="E31" s="497">
        <f>ROUND(+D31/$D$34,4)</f>
        <v>0.46379999999999999</v>
      </c>
      <c r="F31" s="510">
        <f>+F12</f>
        <v>3.6769999999999997E-2</v>
      </c>
      <c r="G31" s="497">
        <f>ROUND(+E31*F31,4)</f>
        <v>1.7100000000000001E-2</v>
      </c>
    </row>
    <row r="32" spans="1:8" ht="13.5" thickBot="1" x14ac:dyDescent="0.25">
      <c r="A32" s="490" t="s">
        <v>41</v>
      </c>
      <c r="B32" s="506">
        <f>+B13</f>
        <v>0</v>
      </c>
      <c r="C32" s="727">
        <f>+C31</f>
        <v>0.87429999999999997</v>
      </c>
      <c r="D32" s="496">
        <f>ROUND(+B32*C32,0)</f>
        <v>0</v>
      </c>
      <c r="E32" s="497">
        <f>ROUND(+D32/$D$34,4)</f>
        <v>0</v>
      </c>
      <c r="F32" s="510">
        <f>+F13</f>
        <v>0</v>
      </c>
      <c r="G32" s="497">
        <f>ROUND(+E32*F32,4)</f>
        <v>0</v>
      </c>
    </row>
    <row r="33" spans="1:8" ht="13.5" thickBot="1" x14ac:dyDescent="0.25">
      <c r="A33" s="490" t="s">
        <v>42</v>
      </c>
      <c r="B33" s="506">
        <f>+B14</f>
        <v>2128238257.1700001</v>
      </c>
      <c r="C33" s="727">
        <f>+C32</f>
        <v>0.87429999999999997</v>
      </c>
      <c r="D33" s="496">
        <f>ROUND(+B33*C33,0)</f>
        <v>1860718708</v>
      </c>
      <c r="E33" s="497">
        <f>ROUND(+D33/$D$34,4)</f>
        <v>0.53620000000000001</v>
      </c>
      <c r="F33" s="824">
        <f>ROUND(+G33/E33,4)</f>
        <v>8.5999999999999993E-2</v>
      </c>
      <c r="G33" s="499">
        <f>+G38-G29-G30-G31-G32</f>
        <v>4.6100000000000002E-2</v>
      </c>
    </row>
    <row r="34" spans="1:8" x14ac:dyDescent="0.2">
      <c r="B34" s="507">
        <f>SUM(B29:B33)</f>
        <v>3968829818.4200001</v>
      </c>
      <c r="D34" s="500">
        <f>SUM(D29:D33)</f>
        <v>3469947910</v>
      </c>
      <c r="E34" s="501">
        <v>1</v>
      </c>
      <c r="F34" s="496"/>
      <c r="G34" s="497">
        <f>SUM(G29:G33)</f>
        <v>6.3200000000000006E-2</v>
      </c>
    </row>
    <row r="35" spans="1:8" x14ac:dyDescent="0.2">
      <c r="D35" s="496"/>
      <c r="E35" s="496"/>
      <c r="F35" s="508"/>
      <c r="G35" s="497"/>
    </row>
    <row r="36" spans="1:8" x14ac:dyDescent="0.2">
      <c r="D36" s="496"/>
      <c r="E36" s="496"/>
      <c r="F36" s="496"/>
      <c r="G36" s="496"/>
    </row>
    <row r="37" spans="1:8" x14ac:dyDescent="0.2">
      <c r="A37" s="715" t="s">
        <v>727</v>
      </c>
      <c r="D37" s="496"/>
      <c r="E37" s="496"/>
      <c r="F37" s="496"/>
      <c r="G37" s="720">
        <f>'Ex 3 - 2011'!D46</f>
        <v>219338640</v>
      </c>
    </row>
    <row r="38" spans="1:8" x14ac:dyDescent="0.2">
      <c r="A38" s="490" t="s">
        <v>44</v>
      </c>
      <c r="D38" s="496"/>
      <c r="E38" s="496"/>
      <c r="F38" s="496"/>
      <c r="G38" s="497">
        <f>ROUND(+G37/D34,4)</f>
        <v>6.3200000000000006E-2</v>
      </c>
      <c r="H38" s="503">
        <f>+G34-G38</f>
        <v>0</v>
      </c>
    </row>
    <row r="39" spans="1:8" x14ac:dyDescent="0.2">
      <c r="D39" s="496"/>
      <c r="E39" s="496"/>
      <c r="F39" s="496"/>
      <c r="G39" s="496"/>
    </row>
    <row r="41" spans="1:8" ht="13.5" thickBot="1" x14ac:dyDescent="0.25">
      <c r="A41" s="504"/>
      <c r="B41" s="504"/>
      <c r="C41" s="504"/>
      <c r="D41" s="504"/>
      <c r="E41" s="504"/>
      <c r="F41" s="504"/>
      <c r="G41" s="504"/>
    </row>
    <row r="42" spans="1:8" x14ac:dyDescent="0.2">
      <c r="A42" s="491"/>
      <c r="B42" s="491"/>
      <c r="C42" s="491"/>
      <c r="D42" s="491"/>
      <c r="E42" s="491"/>
      <c r="F42" s="491"/>
      <c r="G42" s="491"/>
    </row>
    <row r="44" spans="1:8" ht="15" x14ac:dyDescent="0.35">
      <c r="A44" s="830" t="s">
        <v>728</v>
      </c>
      <c r="B44" s="830"/>
      <c r="C44" s="830"/>
      <c r="D44" s="831"/>
      <c r="E44" s="831"/>
      <c r="F44" s="831"/>
      <c r="G44" s="831"/>
    </row>
    <row r="45" spans="1:8" x14ac:dyDescent="0.2">
      <c r="B45" s="491"/>
      <c r="C45" s="492" t="s">
        <v>45</v>
      </c>
      <c r="D45" s="489"/>
      <c r="F45" s="489" t="s">
        <v>25</v>
      </c>
      <c r="G45" s="489" t="s">
        <v>26</v>
      </c>
    </row>
    <row r="46" spans="1:8" x14ac:dyDescent="0.2">
      <c r="B46" s="493" t="s">
        <v>27</v>
      </c>
      <c r="C46" s="492" t="s">
        <v>28</v>
      </c>
      <c r="D46" s="489" t="s">
        <v>45</v>
      </c>
      <c r="E46" s="489" t="s">
        <v>30</v>
      </c>
      <c r="F46" s="489" t="s">
        <v>31</v>
      </c>
      <c r="G46" s="489" t="s">
        <v>32</v>
      </c>
    </row>
    <row r="47" spans="1:8" x14ac:dyDescent="0.2">
      <c r="B47" s="494" t="s">
        <v>33</v>
      </c>
      <c r="C47" s="495" t="s">
        <v>34</v>
      </c>
      <c r="D47" s="494" t="s">
        <v>27</v>
      </c>
      <c r="E47" s="494" t="s">
        <v>35</v>
      </c>
      <c r="F47" s="494" t="s">
        <v>36</v>
      </c>
      <c r="G47" s="494" t="s">
        <v>37</v>
      </c>
    </row>
    <row r="48" spans="1:8" x14ac:dyDescent="0.2">
      <c r="A48" s="490" t="s">
        <v>38</v>
      </c>
      <c r="B48" s="506">
        <f>+B10</f>
        <v>0</v>
      </c>
      <c r="C48" s="510">
        <f>'Ex 3 - 2011'!F44</f>
        <v>0.12570000000000001</v>
      </c>
      <c r="D48" s="496">
        <f>ROUND(+B48*C48,0)</f>
        <v>0</v>
      </c>
      <c r="E48" s="497">
        <f>ROUND(+D48/$D$53,4)</f>
        <v>0</v>
      </c>
      <c r="F48" s="510">
        <f>+F29</f>
        <v>4.4999999999999997E-3</v>
      </c>
      <c r="G48" s="497">
        <f>ROUND(+E48*F48,4)</f>
        <v>0</v>
      </c>
    </row>
    <row r="49" spans="1:8" x14ac:dyDescent="0.2">
      <c r="A49" s="490" t="s">
        <v>39</v>
      </c>
      <c r="B49" s="506">
        <f>+B11</f>
        <v>0</v>
      </c>
      <c r="C49" s="727">
        <f>+C48</f>
        <v>0.12570000000000001</v>
      </c>
      <c r="D49" s="496">
        <f>ROUND(+B49*C49,0)</f>
        <v>0</v>
      </c>
      <c r="E49" s="497">
        <f>ROUND(+D49/$D$53,4)</f>
        <v>0</v>
      </c>
      <c r="F49" s="510">
        <f>+F30</f>
        <v>0</v>
      </c>
      <c r="G49" s="497">
        <f>ROUND(+E49*F49,4)</f>
        <v>0</v>
      </c>
    </row>
    <row r="50" spans="1:8" x14ac:dyDescent="0.2">
      <c r="A50" s="490" t="s">
        <v>40</v>
      </c>
      <c r="B50" s="506">
        <f>+B12</f>
        <v>1840591561.25</v>
      </c>
      <c r="C50" s="727">
        <f>+C49</f>
        <v>0.12570000000000001</v>
      </c>
      <c r="D50" s="496">
        <f>ROUND(+B50*C50,0)</f>
        <v>231362359</v>
      </c>
      <c r="E50" s="497">
        <f>ROUND(+D50/$D$53,4)</f>
        <v>0.46379999999999999</v>
      </c>
      <c r="F50" s="510">
        <f>+F31</f>
        <v>3.6769999999999997E-2</v>
      </c>
      <c r="G50" s="497">
        <f>ROUND(+E50*F50,4)</f>
        <v>1.7100000000000001E-2</v>
      </c>
    </row>
    <row r="51" spans="1:8" ht="13.5" thickBot="1" x14ac:dyDescent="0.25">
      <c r="A51" s="490" t="s">
        <v>41</v>
      </c>
      <c r="B51" s="506">
        <f>+B13</f>
        <v>0</v>
      </c>
      <c r="C51" s="727">
        <f>+C50</f>
        <v>0.12570000000000001</v>
      </c>
      <c r="D51" s="496">
        <f>ROUND(+B51*C51,0)</f>
        <v>0</v>
      </c>
      <c r="E51" s="497">
        <f>ROUND(+D51/$D$53,4)</f>
        <v>0</v>
      </c>
      <c r="F51" s="510">
        <f>+F32</f>
        <v>0</v>
      </c>
      <c r="G51" s="497">
        <f>ROUND(+E51*F51,4)</f>
        <v>0</v>
      </c>
    </row>
    <row r="52" spans="1:8" ht="13.5" thickBot="1" x14ac:dyDescent="0.25">
      <c r="A52" s="490" t="s">
        <v>42</v>
      </c>
      <c r="B52" s="506">
        <f>+B14</f>
        <v>2128238257.1700001</v>
      </c>
      <c r="C52" s="727">
        <f>+C51</f>
        <v>0.12570000000000001</v>
      </c>
      <c r="D52" s="496">
        <f>ROUND(+B52*C52,0)</f>
        <v>267519549</v>
      </c>
      <c r="E52" s="497">
        <f>ROUND(+D52/$D$53,4)</f>
        <v>0.53620000000000001</v>
      </c>
      <c r="F52" s="824">
        <f>ROUND(+G52/E52,4)</f>
        <v>5.5E-2</v>
      </c>
      <c r="G52" s="499">
        <f>+G57-G48-G49-G50-G51</f>
        <v>2.9500000000000002E-2</v>
      </c>
    </row>
    <row r="53" spans="1:8" x14ac:dyDescent="0.2">
      <c r="B53" s="507">
        <f>SUM(B48:B52)</f>
        <v>3968829818.4200001</v>
      </c>
      <c r="D53" s="500">
        <f>SUM(D48:D52)</f>
        <v>498881908</v>
      </c>
      <c r="E53" s="501">
        <v>1</v>
      </c>
      <c r="F53" s="496"/>
      <c r="G53" s="497">
        <f>SUM(G48:G52)</f>
        <v>4.6600000000000003E-2</v>
      </c>
    </row>
    <row r="54" spans="1:8" x14ac:dyDescent="0.2">
      <c r="D54" s="496"/>
      <c r="E54" s="496"/>
      <c r="F54" s="508"/>
      <c r="G54" s="497"/>
    </row>
    <row r="55" spans="1:8" x14ac:dyDescent="0.2">
      <c r="D55" s="496"/>
      <c r="E55" s="496"/>
      <c r="F55" s="496"/>
      <c r="G55" s="496"/>
    </row>
    <row r="56" spans="1:8" x14ac:dyDescent="0.2">
      <c r="A56" s="715" t="s">
        <v>727</v>
      </c>
      <c r="D56" s="496"/>
      <c r="E56" s="496"/>
      <c r="F56" s="496"/>
      <c r="G56" s="720">
        <f>'Ex 3 - 2011'!F46</f>
        <v>23251548.230000019</v>
      </c>
      <c r="H56" s="509"/>
    </row>
    <row r="57" spans="1:8" x14ac:dyDescent="0.2">
      <c r="A57" s="490" t="s">
        <v>44</v>
      </c>
      <c r="D57" s="496"/>
      <c r="E57" s="496"/>
      <c r="F57" s="496"/>
      <c r="G57" s="497">
        <f>ROUND(+G56/D53,4)</f>
        <v>4.6600000000000003E-2</v>
      </c>
      <c r="H57" s="503">
        <f>+G53-G57</f>
        <v>0</v>
      </c>
    </row>
    <row r="58" spans="1:8" x14ac:dyDescent="0.2">
      <c r="D58" s="496"/>
      <c r="E58" s="496"/>
      <c r="F58" s="496"/>
      <c r="G58" s="496"/>
    </row>
    <row r="60" spans="1:8" ht="13.5" thickBot="1" x14ac:dyDescent="0.25">
      <c r="A60" s="504"/>
      <c r="B60" s="504"/>
      <c r="C60" s="504"/>
      <c r="D60" s="504"/>
      <c r="E60" s="504"/>
      <c r="F60" s="504"/>
      <c r="G60" s="504"/>
    </row>
  </sheetData>
  <mergeCells count="7">
    <mergeCell ref="A44:G44"/>
    <mergeCell ref="A1:G1"/>
    <mergeCell ref="A2:G2"/>
    <mergeCell ref="A3:G3"/>
    <mergeCell ref="A4:G4"/>
    <mergeCell ref="A6:G6"/>
    <mergeCell ref="A25:G25"/>
  </mergeCells>
  <printOptions horizontalCentered="1"/>
  <pageMargins left="0.75" right="0.75" top="1" bottom="1" header="0.25" footer="0.5"/>
  <pageSetup scale="68" orientation="portrait" blackAndWhite="1" r:id="rId1"/>
  <headerFooter alignWithMargins="0">
    <oddHeader xml:space="preserve">&amp;R&amp;"Times New Roman,Bold"&amp;14Attachment to Response to Question No. 38
Page &amp;P of &amp;N
Blake&amp;12
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65"/>
  <sheetViews>
    <sheetView showGridLines="0" zoomScale="75" workbookViewId="0">
      <selection activeCell="E11" sqref="E11"/>
    </sheetView>
  </sheetViews>
  <sheetFormatPr defaultRowHeight="15.75" customHeight="1" x14ac:dyDescent="0.25"/>
  <cols>
    <col min="1" max="1" width="48.7109375" style="142" customWidth="1"/>
    <col min="2" max="2" width="6.42578125" style="142" customWidth="1"/>
    <col min="3" max="3" width="19" style="107" customWidth="1"/>
    <col min="4" max="4" width="9.85546875" style="107" customWidth="1"/>
    <col min="5" max="5" width="21.5703125" style="107" customWidth="1"/>
    <col min="6" max="6" width="9.85546875" style="107" customWidth="1"/>
    <col min="7" max="7" width="19" style="107" customWidth="1"/>
    <col min="8" max="8" width="6.42578125" style="107" customWidth="1"/>
    <col min="9" max="9" width="14.42578125" style="107" customWidth="1"/>
    <col min="10" max="10" width="10.28515625" style="142" hidden="1" customWidth="1"/>
    <col min="11" max="16384" width="9.140625" style="142"/>
  </cols>
  <sheetData>
    <row r="1" spans="1:9" ht="15.75" customHeight="1" x14ac:dyDescent="0.25">
      <c r="A1" s="141" t="s">
        <v>189</v>
      </c>
    </row>
    <row r="2" spans="1:9" ht="15.75" customHeight="1" x14ac:dyDescent="0.25">
      <c r="A2" s="143" t="s">
        <v>82</v>
      </c>
      <c r="B2" s="144"/>
      <c r="C2" s="109"/>
      <c r="D2" s="109"/>
      <c r="E2" s="109"/>
      <c r="F2" s="109"/>
      <c r="G2" s="109"/>
      <c r="H2" s="109"/>
      <c r="I2" s="109"/>
    </row>
    <row r="3" spans="1:9" ht="15.75" customHeight="1" x14ac:dyDescent="0.25">
      <c r="A3" s="145" t="s">
        <v>298</v>
      </c>
      <c r="B3" s="144"/>
      <c r="C3" s="109"/>
      <c r="D3" s="109"/>
      <c r="E3" s="109"/>
      <c r="F3" s="109"/>
      <c r="G3" s="109"/>
      <c r="H3" s="109"/>
      <c r="I3" s="109"/>
    </row>
    <row r="4" spans="1:9" s="148" customFormat="1" ht="15.75" customHeight="1" x14ac:dyDescent="0.25">
      <c r="A4" s="146" t="str">
        <f>'[22]1'!A3</f>
        <v>DECEMBER 31, 2006</v>
      </c>
      <c r="B4" s="147"/>
      <c r="C4" s="93"/>
      <c r="D4" s="93"/>
      <c r="E4" s="93"/>
      <c r="F4" s="93"/>
      <c r="G4" s="93"/>
      <c r="H4" s="93"/>
      <c r="I4" s="93"/>
    </row>
    <row r="5" spans="1:9" ht="15.75" customHeight="1" x14ac:dyDescent="0.25">
      <c r="A5" s="149"/>
    </row>
    <row r="7" spans="1:9" ht="15.75" customHeight="1" x14ac:dyDescent="0.25">
      <c r="A7" s="150"/>
      <c r="C7" s="128" t="s">
        <v>299</v>
      </c>
      <c r="D7" s="128"/>
      <c r="E7" s="128"/>
      <c r="F7" s="128"/>
      <c r="G7" s="128"/>
      <c r="H7" s="128"/>
      <c r="I7" s="128"/>
    </row>
    <row r="9" spans="1:9" ht="15.75" customHeight="1" x14ac:dyDescent="0.25">
      <c r="C9" s="129" t="s">
        <v>300</v>
      </c>
      <c r="D9" s="129"/>
      <c r="E9" s="129" t="s">
        <v>301</v>
      </c>
      <c r="F9" s="129"/>
      <c r="G9" s="109" t="s">
        <v>302</v>
      </c>
      <c r="H9" s="109"/>
      <c r="I9" s="109"/>
    </row>
    <row r="10" spans="1:9" ht="15.75" customHeight="1" x14ac:dyDescent="0.25">
      <c r="C10" s="111" t="s">
        <v>303</v>
      </c>
      <c r="D10" s="129"/>
      <c r="E10" s="111" t="s">
        <v>303</v>
      </c>
      <c r="F10" s="129"/>
      <c r="G10" s="111" t="s">
        <v>303</v>
      </c>
      <c r="H10" s="129"/>
      <c r="I10" s="111" t="s">
        <v>196</v>
      </c>
    </row>
    <row r="12" spans="1:9" ht="15.75" customHeight="1" x14ac:dyDescent="0.25">
      <c r="A12" s="142" t="s">
        <v>197</v>
      </c>
      <c r="B12" s="151" t="s">
        <v>198</v>
      </c>
      <c r="C12" s="107">
        <v>1210019284.5699999</v>
      </c>
      <c r="E12" s="107">
        <v>1206584986.8199999</v>
      </c>
      <c r="G12" s="107">
        <f>C12-E12</f>
        <v>3434297.75</v>
      </c>
      <c r="I12" s="134">
        <f>ROUND(G12/E12*100,4)</f>
        <v>0.28460000000000002</v>
      </c>
    </row>
    <row r="13" spans="1:9" ht="15.75" customHeight="1" x14ac:dyDescent="0.25">
      <c r="A13" s="142" t="s">
        <v>199</v>
      </c>
      <c r="B13" s="151" t="s">
        <v>198</v>
      </c>
      <c r="C13" s="116">
        <v>0</v>
      </c>
      <c r="E13" s="116">
        <v>0</v>
      </c>
      <c r="G13" s="116">
        <f>C13-E13</f>
        <v>0</v>
      </c>
      <c r="I13" s="132" t="e">
        <f>ROUND(G13/E13*100,4)</f>
        <v>#DIV/0!</v>
      </c>
    </row>
    <row r="14" spans="1:9" ht="15.75" customHeight="1" x14ac:dyDescent="0.25">
      <c r="B14" s="151" t="s">
        <v>198</v>
      </c>
      <c r="I14" s="133"/>
    </row>
    <row r="15" spans="1:9" ht="15.75" customHeight="1" x14ac:dyDescent="0.25">
      <c r="A15" s="142" t="s">
        <v>200</v>
      </c>
      <c r="B15" s="151" t="s">
        <v>198</v>
      </c>
      <c r="C15" s="116">
        <v>1210019284.5699999</v>
      </c>
      <c r="E15" s="116">
        <v>1206584986.8199999</v>
      </c>
      <c r="G15" s="116">
        <f>C15-E15</f>
        <v>3434297.75</v>
      </c>
      <c r="I15" s="131">
        <f>ROUND(G15/E15*100,4)</f>
        <v>0.28460000000000002</v>
      </c>
    </row>
    <row r="16" spans="1:9" ht="15.75" customHeight="1" x14ac:dyDescent="0.25">
      <c r="B16" s="151" t="s">
        <v>198</v>
      </c>
      <c r="I16" s="133"/>
    </row>
    <row r="17" spans="1:18" ht="15.75" customHeight="1" x14ac:dyDescent="0.25">
      <c r="A17" s="142" t="s">
        <v>304</v>
      </c>
      <c r="B17" s="151"/>
      <c r="I17" s="133"/>
    </row>
    <row r="18" spans="1:18" ht="15.75" customHeight="1" x14ac:dyDescent="0.25">
      <c r="A18" s="142" t="s">
        <v>201</v>
      </c>
      <c r="B18" s="151" t="s">
        <v>198</v>
      </c>
      <c r="C18" s="107">
        <v>422993144.97000003</v>
      </c>
      <c r="E18" s="107">
        <v>383147009.33999997</v>
      </c>
      <c r="G18" s="107">
        <f t="shared" ref="G18:G24" si="0">C18-E18</f>
        <v>39846135.630000055</v>
      </c>
      <c r="I18" s="134">
        <f>ROUND(G18/E18*100,4)</f>
        <v>10.399699999999999</v>
      </c>
    </row>
    <row r="19" spans="1:18" ht="15.75" customHeight="1" x14ac:dyDescent="0.25">
      <c r="A19" s="142" t="s">
        <v>202</v>
      </c>
      <c r="B19" s="151" t="s">
        <v>198</v>
      </c>
      <c r="C19" s="107">
        <v>182445054.78999999</v>
      </c>
      <c r="E19" s="107">
        <v>218954118.78</v>
      </c>
      <c r="G19" s="107">
        <f t="shared" si="0"/>
        <v>-36509063.99000001</v>
      </c>
      <c r="I19" s="134">
        <f>ROUND(G19/E19*100,4)</f>
        <v>-16.674299999999999</v>
      </c>
    </row>
    <row r="20" spans="1:18" ht="15.75" customHeight="1" x14ac:dyDescent="0.25">
      <c r="A20" s="142" t="s">
        <v>203</v>
      </c>
      <c r="B20" s="151" t="s">
        <v>198</v>
      </c>
      <c r="C20" s="107">
        <v>164900927.12</v>
      </c>
      <c r="E20" s="107">
        <v>200111659.41</v>
      </c>
      <c r="G20" s="107">
        <f t="shared" si="0"/>
        <v>-35210732.289999992</v>
      </c>
      <c r="I20" s="134">
        <f>ROUND(G20/E20*100,4)</f>
        <v>-17.595500000000001</v>
      </c>
    </row>
    <row r="21" spans="1:18" ht="15.75" customHeight="1" x14ac:dyDescent="0.25">
      <c r="A21" s="142" t="s">
        <v>204</v>
      </c>
      <c r="B21" s="151" t="s">
        <v>198</v>
      </c>
      <c r="C21" s="107">
        <v>72877246.060000002</v>
      </c>
      <c r="E21" s="107">
        <v>72256142.829999998</v>
      </c>
      <c r="G21" s="107">
        <f t="shared" si="0"/>
        <v>621103.23000000417</v>
      </c>
      <c r="I21" s="134">
        <f>ROUND(G21/E21*100,4)</f>
        <v>0.85960000000000003</v>
      </c>
    </row>
    <row r="22" spans="1:18" ht="15.75" customHeight="1" x14ac:dyDescent="0.25">
      <c r="A22" s="142" t="s">
        <v>205</v>
      </c>
      <c r="B22" s="151" t="s">
        <v>198</v>
      </c>
      <c r="C22" s="107">
        <v>109935754.63</v>
      </c>
      <c r="E22" s="107">
        <v>109646418.40000001</v>
      </c>
      <c r="G22" s="107">
        <f t="shared" si="0"/>
        <v>289336.22999998927</v>
      </c>
      <c r="I22" s="134">
        <f>ROUND(G22/E22*100,4)</f>
        <v>0.26390000000000002</v>
      </c>
    </row>
    <row r="23" spans="1:18" ht="15.75" customHeight="1" x14ac:dyDescent="0.25">
      <c r="A23" s="142" t="s">
        <v>206</v>
      </c>
      <c r="B23" s="151" t="s">
        <v>198</v>
      </c>
      <c r="C23" s="107">
        <v>5072613.9000000004</v>
      </c>
      <c r="E23" s="107">
        <v>5240026.5999999996</v>
      </c>
      <c r="G23" s="107">
        <f t="shared" si="0"/>
        <v>-167412.69999999925</v>
      </c>
      <c r="I23" s="134">
        <f>IF((G23/E23*100)&gt;1000,0,ROUND(G23/E23*100,4))</f>
        <v>-3.1949000000000001</v>
      </c>
    </row>
    <row r="24" spans="1:18" ht="15.75" customHeight="1" x14ac:dyDescent="0.25">
      <c r="A24" s="142" t="s">
        <v>207</v>
      </c>
      <c r="B24" s="151" t="s">
        <v>198</v>
      </c>
      <c r="C24" s="107">
        <v>-2044274.4</v>
      </c>
      <c r="E24" s="107">
        <v>-7127021.6600000001</v>
      </c>
      <c r="G24" s="107">
        <f t="shared" si="0"/>
        <v>5082747.26</v>
      </c>
      <c r="I24" s="134">
        <f>IF((G24/E24*100)&gt;1000,0,ROUND(G24/E24*100,4))</f>
        <v>-71.316599999999994</v>
      </c>
    </row>
    <row r="25" spans="1:18" ht="15.75" customHeight="1" x14ac:dyDescent="0.25">
      <c r="A25" s="142" t="s">
        <v>208</v>
      </c>
      <c r="B25" s="151" t="s">
        <v>198</v>
      </c>
      <c r="I25" s="134"/>
    </row>
    <row r="26" spans="1:18" ht="15.75" customHeight="1" x14ac:dyDescent="0.25">
      <c r="A26" s="142" t="s">
        <v>209</v>
      </c>
      <c r="B26" s="151" t="s">
        <v>198</v>
      </c>
      <c r="C26" s="107">
        <v>48696525.009999998</v>
      </c>
      <c r="E26" s="107">
        <v>58375979.18</v>
      </c>
      <c r="G26" s="107">
        <f t="shared" ref="G26:G32" si="1">C26-E26</f>
        <v>-9679454.1700000018</v>
      </c>
      <c r="I26" s="134">
        <f t="shared" ref="I26:I31" si="2">IF(C26-E26=C26,0,ROUND(G26/E26*100,4))</f>
        <v>-16.581199999999999</v>
      </c>
    </row>
    <row r="27" spans="1:18" ht="15.75" customHeight="1" x14ac:dyDescent="0.25">
      <c r="A27" s="142" t="s">
        <v>210</v>
      </c>
      <c r="B27" s="151" t="s">
        <v>198</v>
      </c>
      <c r="C27" s="107">
        <v>11375571.970000001</v>
      </c>
      <c r="E27" s="107">
        <v>10937555.189999999</v>
      </c>
      <c r="G27" s="107">
        <f t="shared" si="1"/>
        <v>438016.78000000119</v>
      </c>
      <c r="I27" s="134">
        <f t="shared" si="2"/>
        <v>4.0046999999999997</v>
      </c>
    </row>
    <row r="28" spans="1:18" ht="15.75" customHeight="1" x14ac:dyDescent="0.25">
      <c r="A28" s="142" t="s">
        <v>211</v>
      </c>
      <c r="B28" s="151" t="s">
        <v>198</v>
      </c>
      <c r="C28" s="107">
        <v>-204370.34</v>
      </c>
      <c r="E28" s="107">
        <v>-5809323.7400000002</v>
      </c>
      <c r="G28" s="107">
        <f t="shared" si="1"/>
        <v>5604953.4000000004</v>
      </c>
      <c r="I28" s="134">
        <f t="shared" si="2"/>
        <v>-96.481999999999999</v>
      </c>
    </row>
    <row r="29" spans="1:18" ht="15.75" customHeight="1" x14ac:dyDescent="0.25">
      <c r="A29" s="142" t="s">
        <v>212</v>
      </c>
      <c r="B29" s="151" t="s">
        <v>198</v>
      </c>
      <c r="C29" s="107">
        <v>875065.43</v>
      </c>
      <c r="E29" s="107">
        <v>-761253.92</v>
      </c>
      <c r="G29" s="107">
        <f t="shared" si="1"/>
        <v>1636319.35</v>
      </c>
      <c r="I29" s="134">
        <f t="shared" si="2"/>
        <v>-214.95050000000001</v>
      </c>
    </row>
    <row r="30" spans="1:18" ht="15.75" customHeight="1" x14ac:dyDescent="0.25">
      <c r="A30" s="142" t="s">
        <v>305</v>
      </c>
      <c r="B30" s="151" t="s">
        <v>198</v>
      </c>
      <c r="C30" s="107">
        <v>0</v>
      </c>
      <c r="E30" s="107">
        <v>0</v>
      </c>
      <c r="G30" s="107">
        <f t="shared" si="1"/>
        <v>0</v>
      </c>
      <c r="I30" s="134">
        <f t="shared" si="2"/>
        <v>0</v>
      </c>
    </row>
    <row r="31" spans="1:18" ht="15.75" customHeight="1" x14ac:dyDescent="0.25">
      <c r="A31" s="142" t="s">
        <v>306</v>
      </c>
      <c r="B31" s="151" t="s">
        <v>198</v>
      </c>
      <c r="C31" s="107">
        <v>0</v>
      </c>
      <c r="E31" s="107">
        <v>0</v>
      </c>
      <c r="G31" s="107">
        <f t="shared" si="1"/>
        <v>0</v>
      </c>
      <c r="I31" s="134">
        <f t="shared" si="2"/>
        <v>0</v>
      </c>
      <c r="J31" s="152"/>
      <c r="K31" s="152"/>
      <c r="L31" s="152"/>
      <c r="M31" s="152"/>
      <c r="N31" s="152"/>
      <c r="O31" s="152"/>
      <c r="P31" s="152"/>
      <c r="Q31" s="152"/>
      <c r="R31" s="152"/>
    </row>
    <row r="32" spans="1:18" ht="15.75" customHeight="1" x14ac:dyDescent="0.25">
      <c r="A32" s="142" t="s">
        <v>213</v>
      </c>
      <c r="B32" s="151" t="s">
        <v>198</v>
      </c>
      <c r="C32" s="107">
        <v>18603067.789999999</v>
      </c>
      <c r="E32" s="107">
        <v>16456094.35</v>
      </c>
      <c r="F32" s="108"/>
      <c r="G32" s="108">
        <f t="shared" si="1"/>
        <v>2146973.4399999995</v>
      </c>
      <c r="H32" s="108"/>
      <c r="I32" s="134">
        <f>ROUND(G32/E32*100,4)</f>
        <v>13.0467</v>
      </c>
      <c r="J32" s="152"/>
      <c r="K32" s="152"/>
      <c r="L32" s="152"/>
      <c r="M32" s="152"/>
      <c r="N32" s="152"/>
      <c r="O32" s="152"/>
      <c r="P32" s="152"/>
      <c r="Q32" s="152"/>
      <c r="R32" s="152"/>
    </row>
    <row r="33" spans="1:18" ht="15.75" customHeight="1" x14ac:dyDescent="0.25">
      <c r="A33" s="142" t="s">
        <v>214</v>
      </c>
      <c r="B33" s="151" t="s">
        <v>198</v>
      </c>
      <c r="C33" s="107">
        <v>12000000</v>
      </c>
      <c r="E33" s="107">
        <v>0</v>
      </c>
      <c r="F33" s="108"/>
      <c r="G33" s="108"/>
      <c r="H33" s="108"/>
      <c r="I33" s="134"/>
      <c r="J33" s="152"/>
      <c r="K33" s="152"/>
      <c r="L33" s="152"/>
      <c r="M33" s="152"/>
      <c r="N33" s="152"/>
      <c r="O33" s="152"/>
      <c r="P33" s="152"/>
      <c r="Q33" s="152"/>
      <c r="R33" s="152"/>
    </row>
    <row r="34" spans="1:18" ht="15.75" customHeight="1" x14ac:dyDescent="0.25">
      <c r="A34" s="142" t="s">
        <v>216</v>
      </c>
      <c r="B34" s="151" t="s">
        <v>198</v>
      </c>
      <c r="C34" s="108">
        <v>-1283929.1299999999</v>
      </c>
      <c r="D34" s="108"/>
      <c r="E34" s="108">
        <v>-1108364.26</v>
      </c>
      <c r="F34" s="108"/>
      <c r="G34" s="108">
        <f>C34-E34</f>
        <v>-175564.86999999988</v>
      </c>
      <c r="H34" s="108"/>
      <c r="I34" s="134">
        <f>ROUND(G34/E34*100,4)</f>
        <v>15.84</v>
      </c>
    </row>
    <row r="35" spans="1:18" ht="15.75" customHeight="1" x14ac:dyDescent="0.25">
      <c r="A35" s="142" t="s">
        <v>217</v>
      </c>
      <c r="B35" s="151" t="s">
        <v>198</v>
      </c>
      <c r="C35" s="116">
        <v>1747614.99</v>
      </c>
      <c r="D35" s="108"/>
      <c r="E35" s="116">
        <v>1388148</v>
      </c>
      <c r="F35" s="108"/>
      <c r="G35" s="116">
        <f>C35-E35</f>
        <v>359466.99</v>
      </c>
      <c r="H35" s="108"/>
      <c r="I35" s="131">
        <f>ROUND(G35/E35*100,4)</f>
        <v>25.895399999999999</v>
      </c>
    </row>
    <row r="36" spans="1:18" ht="15.75" customHeight="1" x14ac:dyDescent="0.25">
      <c r="B36" s="151" t="s">
        <v>198</v>
      </c>
      <c r="I36" s="133"/>
    </row>
    <row r="37" spans="1:18" ht="15.75" customHeight="1" x14ac:dyDescent="0.25">
      <c r="A37" s="142" t="s">
        <v>218</v>
      </c>
      <c r="B37" s="151" t="s">
        <v>198</v>
      </c>
      <c r="C37" s="116">
        <v>1047990012.79</v>
      </c>
      <c r="E37" s="116">
        <v>1061707188.5</v>
      </c>
      <c r="G37" s="116">
        <f>C37-E37</f>
        <v>-13717175.710000038</v>
      </c>
      <c r="I37" s="131">
        <f>ROUND(G37/E37*100,4)</f>
        <v>-1.292</v>
      </c>
    </row>
    <row r="38" spans="1:18" ht="15.75" customHeight="1" x14ac:dyDescent="0.25">
      <c r="B38" s="151" t="s">
        <v>198</v>
      </c>
      <c r="I38" s="133"/>
    </row>
    <row r="39" spans="1:18" ht="15.75" customHeight="1" x14ac:dyDescent="0.25">
      <c r="A39" s="142" t="s">
        <v>219</v>
      </c>
      <c r="B39" s="151" t="s">
        <v>198</v>
      </c>
      <c r="C39" s="113">
        <v>162029271.78</v>
      </c>
      <c r="E39" s="107">
        <v>144877798.31999999</v>
      </c>
      <c r="G39" s="107">
        <f>C39-E39</f>
        <v>17151473.460000008</v>
      </c>
      <c r="I39" s="134">
        <f>ROUND(G39/E39*100,4)</f>
        <v>11.8386</v>
      </c>
    </row>
    <row r="40" spans="1:18" ht="15.75" customHeight="1" x14ac:dyDescent="0.25">
      <c r="B40" s="151"/>
      <c r="I40" s="134"/>
    </row>
    <row r="41" spans="1:18" ht="15.75" customHeight="1" x14ac:dyDescent="0.25">
      <c r="A41" s="142" t="s">
        <v>220</v>
      </c>
      <c r="B41" s="151" t="s">
        <v>198</v>
      </c>
      <c r="I41" s="136"/>
    </row>
    <row r="42" spans="1:18" ht="15.75" customHeight="1" x14ac:dyDescent="0.25">
      <c r="A42" s="142" t="s">
        <v>221</v>
      </c>
      <c r="B42" s="151" t="s">
        <v>198</v>
      </c>
      <c r="C42" s="107">
        <v>27804120.109999999</v>
      </c>
      <c r="E42" s="107">
        <v>1609909.87</v>
      </c>
      <c r="G42" s="107">
        <f>C42-E42</f>
        <v>26194210.239999998</v>
      </c>
      <c r="I42" s="134">
        <f>ROUND(G42/E42*100,4)</f>
        <v>1627.0607</v>
      </c>
    </row>
    <row r="43" spans="1:18" ht="15.75" customHeight="1" x14ac:dyDescent="0.25">
      <c r="A43" s="142" t="s">
        <v>222</v>
      </c>
      <c r="B43" s="151" t="s">
        <v>198</v>
      </c>
      <c r="C43" s="116">
        <v>384044.07</v>
      </c>
      <c r="E43" s="116">
        <v>44279.7</v>
      </c>
      <c r="G43" s="116">
        <f>C43-E43</f>
        <v>339764.37</v>
      </c>
      <c r="I43" s="131">
        <f>ROUND(G43/E43*100,4)</f>
        <v>767.31410000000005</v>
      </c>
    </row>
    <row r="44" spans="1:18" ht="15.75" customHeight="1" x14ac:dyDescent="0.25">
      <c r="B44" s="151" t="s">
        <v>198</v>
      </c>
      <c r="I44" s="133"/>
    </row>
    <row r="45" spans="1:18" ht="15.75" customHeight="1" x14ac:dyDescent="0.25">
      <c r="A45" s="142" t="s">
        <v>223</v>
      </c>
      <c r="B45" s="151" t="s">
        <v>198</v>
      </c>
      <c r="C45" s="116">
        <v>28188164.18</v>
      </c>
      <c r="E45" s="116">
        <v>1654189.57</v>
      </c>
      <c r="G45" s="116">
        <f>C45-E45</f>
        <v>26533974.609999999</v>
      </c>
      <c r="I45" s="131">
        <f>ROUND(G45/E45*100,4)</f>
        <v>1604.0468000000001</v>
      </c>
    </row>
    <row r="46" spans="1:18" ht="15.75" customHeight="1" x14ac:dyDescent="0.25">
      <c r="B46" s="151" t="s">
        <v>198</v>
      </c>
      <c r="I46" s="133"/>
    </row>
    <row r="47" spans="1:18" ht="15.75" customHeight="1" x14ac:dyDescent="0.25">
      <c r="A47" s="142" t="s">
        <v>224</v>
      </c>
      <c r="B47" s="151" t="s">
        <v>198</v>
      </c>
      <c r="C47" s="116">
        <v>190217435.96000001</v>
      </c>
      <c r="E47" s="116">
        <v>146531987.88999999</v>
      </c>
      <c r="G47" s="116">
        <f>C47-E47</f>
        <v>43685448.070000023</v>
      </c>
      <c r="I47" s="131">
        <f>ROUND(G47/E47*100,4)</f>
        <v>29.812899999999999</v>
      </c>
    </row>
    <row r="48" spans="1:18" ht="15.75" customHeight="1" x14ac:dyDescent="0.25">
      <c r="B48" s="151" t="s">
        <v>198</v>
      </c>
      <c r="I48" s="133"/>
    </row>
    <row r="49" spans="1:11" ht="15.75" customHeight="1" x14ac:dyDescent="0.25">
      <c r="A49" s="142" t="s">
        <v>308</v>
      </c>
      <c r="B49" s="151" t="s">
        <v>198</v>
      </c>
      <c r="C49" s="107">
        <v>33670960.890000001</v>
      </c>
      <c r="E49" s="107">
        <v>24554140.780000001</v>
      </c>
      <c r="G49" s="107">
        <f>C49-E49</f>
        <v>9116820.1099999994</v>
      </c>
      <c r="I49" s="134">
        <f>ROUND(G49/E49*100,4)</f>
        <v>37.1295</v>
      </c>
    </row>
    <row r="50" spans="1:11" ht="15.75" customHeight="1" x14ac:dyDescent="0.25">
      <c r="A50" s="142" t="s">
        <v>226</v>
      </c>
      <c r="B50" s="151" t="s">
        <v>198</v>
      </c>
      <c r="C50" s="107">
        <v>937035.07</v>
      </c>
      <c r="E50" s="107">
        <v>2935870.02</v>
      </c>
      <c r="G50" s="107">
        <f>C50-E50</f>
        <v>-1998834.9500000002</v>
      </c>
      <c r="I50" s="134">
        <f>ROUND(G50/E50*100,4)</f>
        <v>-68.083200000000005</v>
      </c>
    </row>
    <row r="51" spans="1:11" ht="15.75" customHeight="1" x14ac:dyDescent="0.25">
      <c r="A51" s="142" t="s">
        <v>227</v>
      </c>
      <c r="B51" s="151" t="s">
        <v>198</v>
      </c>
      <c r="C51" s="107">
        <v>4051408.3</v>
      </c>
      <c r="E51" s="107">
        <v>3591335.11</v>
      </c>
      <c r="G51" s="107">
        <f>C51-E51</f>
        <v>460073.18999999994</v>
      </c>
      <c r="I51" s="134">
        <f>ROUND(G51/E51*100,4)</f>
        <v>12.810600000000001</v>
      </c>
      <c r="J51" s="152"/>
      <c r="K51" s="152"/>
    </row>
    <row r="52" spans="1:11" ht="15.75" customHeight="1" x14ac:dyDescent="0.25">
      <c r="A52" s="142" t="s">
        <v>228</v>
      </c>
      <c r="B52" s="151" t="s">
        <v>198</v>
      </c>
      <c r="C52" s="116">
        <v>-262751.5</v>
      </c>
      <c r="E52" s="116">
        <v>-9295.81</v>
      </c>
      <c r="G52" s="116">
        <f>C52-E52</f>
        <v>-253455.69</v>
      </c>
      <c r="I52" s="131">
        <f>ROUND(G52/E52*100,4)</f>
        <v>2726.5583999999999</v>
      </c>
    </row>
    <row r="53" spans="1:11" ht="15.75" customHeight="1" x14ac:dyDescent="0.25">
      <c r="B53" s="151" t="s">
        <v>198</v>
      </c>
      <c r="I53" s="133"/>
    </row>
    <row r="54" spans="1:11" ht="15.75" customHeight="1" x14ac:dyDescent="0.25">
      <c r="A54" s="142" t="s">
        <v>229</v>
      </c>
      <c r="B54" s="151" t="s">
        <v>198</v>
      </c>
      <c r="C54" s="116">
        <v>38396652.759999998</v>
      </c>
      <c r="E54" s="116">
        <v>31072050.100000001</v>
      </c>
      <c r="G54" s="116">
        <f>C54-E54</f>
        <v>7324602.6599999964</v>
      </c>
      <c r="I54" s="131">
        <f>ROUND(G54/E54*100,4)</f>
        <v>23.573</v>
      </c>
    </row>
    <row r="55" spans="1:11" ht="15.75" customHeight="1" x14ac:dyDescent="0.25">
      <c r="B55" s="151" t="s">
        <v>198</v>
      </c>
      <c r="I55" s="137"/>
    </row>
    <row r="56" spans="1:11" ht="15.75" customHeight="1" x14ac:dyDescent="0.25">
      <c r="A56" s="142" t="s">
        <v>230</v>
      </c>
      <c r="B56" s="151" t="s">
        <v>198</v>
      </c>
      <c r="C56" s="108">
        <v>151820783.19999999</v>
      </c>
      <c r="D56" s="108"/>
      <c r="E56" s="108">
        <v>115459937.79000001</v>
      </c>
      <c r="F56" s="108"/>
      <c r="G56" s="107">
        <f>C56-E56</f>
        <v>36360845.409999982</v>
      </c>
      <c r="H56" s="108"/>
      <c r="I56" s="134">
        <f>ROUND(G56/E56*100,4)</f>
        <v>31.4922</v>
      </c>
    </row>
    <row r="57" spans="1:11" ht="15.75" customHeight="1" x14ac:dyDescent="0.25">
      <c r="B57" s="151" t="s">
        <v>198</v>
      </c>
      <c r="I57" s="133"/>
    </row>
    <row r="58" spans="1:11" ht="15.75" customHeight="1" x14ac:dyDescent="0.25">
      <c r="A58" s="142" t="s">
        <v>231</v>
      </c>
      <c r="B58" s="151" t="s">
        <v>198</v>
      </c>
      <c r="C58" s="116">
        <v>0</v>
      </c>
      <c r="D58" s="108"/>
      <c r="E58" s="116">
        <v>3337340.49</v>
      </c>
      <c r="F58" s="108"/>
      <c r="G58" s="116">
        <f>C58-E58</f>
        <v>-3337340.49</v>
      </c>
      <c r="H58" s="108"/>
      <c r="I58" s="131">
        <v>0</v>
      </c>
      <c r="J58" s="142" t="s">
        <v>330</v>
      </c>
    </row>
    <row r="59" spans="1:11" ht="15.75" customHeight="1" x14ac:dyDescent="0.25">
      <c r="B59" s="151"/>
      <c r="I59" s="133"/>
    </row>
    <row r="60" spans="1:11" ht="15.75" customHeight="1" x14ac:dyDescent="0.25">
      <c r="A60" s="142" t="s">
        <v>309</v>
      </c>
      <c r="B60" s="151" t="s">
        <v>198</v>
      </c>
      <c r="C60" s="107">
        <v>151820783.19999999</v>
      </c>
      <c r="E60" s="107">
        <v>112122597.3</v>
      </c>
      <c r="G60" s="107">
        <f>C60-E60</f>
        <v>39698185.899999991</v>
      </c>
      <c r="I60" s="134">
        <f>ROUND(G60/E60*100,4)</f>
        <v>35.406100000000002</v>
      </c>
    </row>
    <row r="61" spans="1:11" ht="15.75" customHeight="1" x14ac:dyDescent="0.25">
      <c r="B61" s="151"/>
      <c r="I61" s="133"/>
    </row>
    <row r="62" spans="1:11" ht="15.75" customHeight="1" x14ac:dyDescent="0.25">
      <c r="A62" s="142" t="s">
        <v>310</v>
      </c>
      <c r="B62" s="151" t="s">
        <v>198</v>
      </c>
      <c r="C62" s="116">
        <v>0</v>
      </c>
      <c r="E62" s="116">
        <v>1836137.92</v>
      </c>
      <c r="G62" s="116">
        <f>C62-E62</f>
        <v>-1836137.92</v>
      </c>
      <c r="I62" s="131">
        <f>ROUND(G62/E62*100,4)</f>
        <v>-100</v>
      </c>
    </row>
    <row r="63" spans="1:11" ht="15.75" customHeight="1" x14ac:dyDescent="0.25">
      <c r="B63" s="151" t="s">
        <v>198</v>
      </c>
      <c r="I63" s="133"/>
    </row>
    <row r="64" spans="1:11" ht="15.75" customHeight="1" thickBot="1" x14ac:dyDescent="0.3">
      <c r="A64" s="142" t="s">
        <v>311</v>
      </c>
      <c r="B64" s="151" t="s">
        <v>198</v>
      </c>
      <c r="C64" s="118">
        <v>151820783.19999999</v>
      </c>
      <c r="E64" s="118">
        <v>110286459.38</v>
      </c>
      <c r="G64" s="118">
        <f>C64-E64</f>
        <v>41534323.819999993</v>
      </c>
      <c r="I64" s="138">
        <f>ROUND(G64/E64*100,4)</f>
        <v>37.660400000000003</v>
      </c>
    </row>
    <row r="65" ht="15.75" customHeight="1" thickTop="1" x14ac:dyDescent="0.25"/>
  </sheetData>
  <phoneticPr fontId="58" type="noConversion"/>
  <printOptions horizontalCentered="1"/>
  <pageMargins left="0" right="0" top="0.5" bottom="0.4" header="0" footer="0.28000000000000003"/>
  <pageSetup scale="57" orientation="landscape" horizontalDpi="4294967292" verticalDpi="300" r:id="rId1"/>
  <headerFooter alignWithMargins="0">
    <oddFooter>&amp;C&amp;"Times New Roman,Bold"3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58"/>
  <sheetViews>
    <sheetView showGridLines="0" zoomScale="75" workbookViewId="0">
      <selection activeCell="E11" sqref="E11"/>
    </sheetView>
  </sheetViews>
  <sheetFormatPr defaultColWidth="10.28515625" defaultRowHeight="15.75" x14ac:dyDescent="0.25"/>
  <cols>
    <col min="1" max="1" width="3" style="119" customWidth="1"/>
    <col min="2" max="2" width="47.5703125" style="119" customWidth="1"/>
    <col min="3" max="3" width="1.85546875" style="119" customWidth="1"/>
    <col min="4" max="4" width="20.140625" style="107" customWidth="1"/>
    <col min="5" max="5" width="4.140625" style="107" customWidth="1"/>
    <col min="6" max="6" width="21.28515625" style="107" customWidth="1"/>
    <col min="7" max="7" width="5.140625" style="107" customWidth="1"/>
    <col min="8" max="8" width="3" style="107" customWidth="1"/>
    <col min="9" max="9" width="49" style="107" customWidth="1"/>
    <col min="10" max="10" width="1.85546875" style="107" customWidth="1"/>
    <col min="11" max="11" width="21.28515625" style="107" customWidth="1"/>
    <col min="12" max="12" width="4.140625" style="107" customWidth="1"/>
    <col min="13" max="13" width="21.28515625" style="107" customWidth="1"/>
    <col min="14" max="15" width="10.28515625" style="107" customWidth="1"/>
    <col min="16" max="16384" width="10.28515625" style="119"/>
  </cols>
  <sheetData>
    <row r="1" spans="1:15" x14ac:dyDescent="0.25">
      <c r="A1" s="91" t="s">
        <v>189</v>
      </c>
    </row>
    <row r="2" spans="1:15" x14ac:dyDescent="0.25">
      <c r="A2" s="120" t="s">
        <v>82</v>
      </c>
      <c r="B2" s="121"/>
      <c r="C2" s="121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5" s="125" customFormat="1" x14ac:dyDescent="0.25">
      <c r="A3" s="120" t="s">
        <v>331</v>
      </c>
      <c r="B3" s="139"/>
      <c r="C3" s="139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</row>
    <row r="4" spans="1:15" s="125" customFormat="1" x14ac:dyDescent="0.25"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7" spans="1:15" x14ac:dyDescent="0.25">
      <c r="B7" s="119" t="s">
        <v>313</v>
      </c>
      <c r="D7" s="111" t="s">
        <v>300</v>
      </c>
      <c r="F7" s="111" t="s">
        <v>301</v>
      </c>
      <c r="I7" s="107" t="s">
        <v>314</v>
      </c>
      <c r="K7" s="111" t="s">
        <v>300</v>
      </c>
      <c r="M7" s="111" t="s">
        <v>301</v>
      </c>
    </row>
    <row r="9" spans="1:15" x14ac:dyDescent="0.25">
      <c r="A9" s="119" t="s">
        <v>235</v>
      </c>
      <c r="H9" s="107" t="s">
        <v>27</v>
      </c>
    </row>
    <row r="10" spans="1:15" x14ac:dyDescent="0.25">
      <c r="B10" s="119" t="s">
        <v>236</v>
      </c>
      <c r="C10" s="130" t="s">
        <v>198</v>
      </c>
      <c r="D10" s="113">
        <v>4167978126.6900001</v>
      </c>
      <c r="F10" s="107">
        <v>3846886807.04</v>
      </c>
      <c r="I10" s="107" t="s">
        <v>237</v>
      </c>
      <c r="J10" s="114" t="s">
        <v>198</v>
      </c>
      <c r="K10" s="107">
        <v>308139977.56</v>
      </c>
      <c r="M10" s="107">
        <v>308139977.56</v>
      </c>
    </row>
    <row r="11" spans="1:15" x14ac:dyDescent="0.25">
      <c r="B11" s="119" t="s">
        <v>315</v>
      </c>
      <c r="C11" s="130" t="s">
        <v>198</v>
      </c>
      <c r="D11" s="115">
        <v>1850012155.1400001</v>
      </c>
      <c r="F11" s="116">
        <v>1789102820.22</v>
      </c>
      <c r="I11" s="107" t="s">
        <v>239</v>
      </c>
      <c r="J11" s="114" t="s">
        <v>198</v>
      </c>
      <c r="K11" s="107">
        <v>-321288.87</v>
      </c>
      <c r="M11" s="107">
        <v>-321288.87</v>
      </c>
    </row>
    <row r="12" spans="1:15" x14ac:dyDescent="0.25">
      <c r="C12" s="130" t="s">
        <v>198</v>
      </c>
      <c r="I12" s="107" t="s">
        <v>240</v>
      </c>
      <c r="J12" s="114" t="s">
        <v>198</v>
      </c>
      <c r="K12" s="107">
        <v>15000000</v>
      </c>
      <c r="M12" s="107">
        <v>15000000</v>
      </c>
    </row>
    <row r="13" spans="1:15" x14ac:dyDescent="0.25">
      <c r="B13" s="119" t="s">
        <v>241</v>
      </c>
      <c r="C13" s="130" t="s">
        <v>198</v>
      </c>
      <c r="D13" s="116">
        <v>2317965971.5500002</v>
      </c>
      <c r="F13" s="116">
        <v>2057783986.8199999</v>
      </c>
      <c r="I13" s="107" t="s">
        <v>242</v>
      </c>
      <c r="J13" s="114" t="s">
        <v>198</v>
      </c>
      <c r="K13" s="107">
        <v>0.26</v>
      </c>
      <c r="M13" s="107">
        <v>0</v>
      </c>
    </row>
    <row r="14" spans="1:15" x14ac:dyDescent="0.25">
      <c r="I14" s="107" t="s">
        <v>243</v>
      </c>
      <c r="J14" s="114" t="s">
        <v>198</v>
      </c>
      <c r="K14" s="107">
        <v>854131027.52999997</v>
      </c>
      <c r="M14" s="107">
        <v>704216017.33000004</v>
      </c>
    </row>
    <row r="15" spans="1:15" x14ac:dyDescent="0.25">
      <c r="D15" s="108"/>
      <c r="E15" s="108"/>
      <c r="F15" s="108"/>
      <c r="I15" s="107" t="s">
        <v>244</v>
      </c>
      <c r="J15" s="114" t="s">
        <v>198</v>
      </c>
      <c r="K15" s="116">
        <v>16248287</v>
      </c>
      <c r="M15" s="116">
        <v>14342514</v>
      </c>
    </row>
    <row r="16" spans="1:15" x14ac:dyDescent="0.25">
      <c r="J16" s="114"/>
    </row>
    <row r="17" spans="1:13" x14ac:dyDescent="0.25">
      <c r="A17" s="119" t="s">
        <v>316</v>
      </c>
      <c r="C17" s="130" t="s">
        <v>198</v>
      </c>
      <c r="I17" s="107" t="s">
        <v>245</v>
      </c>
      <c r="J17" s="114" t="s">
        <v>198</v>
      </c>
      <c r="K17" s="116">
        <v>1193198003.48</v>
      </c>
      <c r="M17" s="116">
        <v>1041377220.02</v>
      </c>
    </row>
    <row r="18" spans="1:13" x14ac:dyDescent="0.25">
      <c r="B18" s="119" t="s">
        <v>246</v>
      </c>
      <c r="C18" s="130" t="s">
        <v>198</v>
      </c>
      <c r="D18" s="107">
        <v>250000</v>
      </c>
      <c r="F18" s="107">
        <v>250000</v>
      </c>
      <c r="J18" s="114"/>
    </row>
    <row r="19" spans="1:13" x14ac:dyDescent="0.25">
      <c r="B19" s="119" t="s">
        <v>247</v>
      </c>
      <c r="C19" s="130" t="s">
        <v>198</v>
      </c>
      <c r="D19" s="107">
        <v>969162.61</v>
      </c>
      <c r="F19" s="107">
        <v>895756.74</v>
      </c>
      <c r="I19" s="107" t="s">
        <v>248</v>
      </c>
      <c r="J19" s="114" t="s">
        <v>198</v>
      </c>
      <c r="K19" s="107">
        <v>0</v>
      </c>
      <c r="M19" s="107">
        <v>0</v>
      </c>
    </row>
    <row r="20" spans="1:13" x14ac:dyDescent="0.25">
      <c r="B20" s="119" t="s">
        <v>249</v>
      </c>
      <c r="C20" s="130" t="s">
        <v>198</v>
      </c>
      <c r="D20" s="107">
        <v>17544087</v>
      </c>
      <c r="F20" s="107">
        <v>15638314</v>
      </c>
      <c r="J20" s="114"/>
    </row>
    <row r="21" spans="1:13" x14ac:dyDescent="0.25">
      <c r="B21" s="119" t="s">
        <v>250</v>
      </c>
      <c r="C21" s="130" t="s">
        <v>198</v>
      </c>
      <c r="D21" s="107">
        <v>5704694.3300000001</v>
      </c>
      <c r="F21" s="107">
        <v>5597459.0899999999</v>
      </c>
      <c r="I21" s="117" t="s">
        <v>332</v>
      </c>
      <c r="J21" s="114" t="s">
        <v>198</v>
      </c>
      <c r="K21" s="108">
        <v>305951140</v>
      </c>
      <c r="L21" s="108"/>
      <c r="M21" s="108">
        <v>325563900</v>
      </c>
    </row>
    <row r="22" spans="1:13" x14ac:dyDescent="0.25">
      <c r="B22" s="119" t="s">
        <v>251</v>
      </c>
      <c r="C22" s="130" t="s">
        <v>198</v>
      </c>
      <c r="D22" s="116">
        <v>426140</v>
      </c>
      <c r="F22" s="116">
        <v>441354.99</v>
      </c>
      <c r="I22" s="107" t="s">
        <v>318</v>
      </c>
      <c r="J22" s="114" t="s">
        <v>198</v>
      </c>
      <c r="K22" s="108">
        <v>0</v>
      </c>
      <c r="L22" s="108"/>
      <c r="M22" s="108">
        <v>0</v>
      </c>
    </row>
    <row r="23" spans="1:13" x14ac:dyDescent="0.25">
      <c r="C23" s="130"/>
      <c r="D23" s="108"/>
      <c r="F23" s="108"/>
      <c r="I23" s="107" t="s">
        <v>252</v>
      </c>
      <c r="J23" s="114" t="s">
        <v>198</v>
      </c>
      <c r="K23" s="107">
        <v>483000000</v>
      </c>
      <c r="M23" s="107">
        <v>383000000</v>
      </c>
    </row>
    <row r="24" spans="1:13" x14ac:dyDescent="0.25">
      <c r="B24" s="119" t="s">
        <v>253</v>
      </c>
      <c r="C24" s="130" t="s">
        <v>198</v>
      </c>
      <c r="D24" s="116">
        <v>24894083.940000001</v>
      </c>
      <c r="F24" s="116">
        <v>22822884.82</v>
      </c>
      <c r="I24" s="107" t="s">
        <v>319</v>
      </c>
      <c r="J24" s="114" t="s">
        <v>198</v>
      </c>
      <c r="K24" s="116">
        <v>433540</v>
      </c>
      <c r="M24" s="116">
        <v>2040500</v>
      </c>
    </row>
    <row r="26" spans="1:13" x14ac:dyDescent="0.25">
      <c r="I26" s="107" t="s">
        <v>320</v>
      </c>
      <c r="J26" s="114" t="s">
        <v>198</v>
      </c>
      <c r="K26" s="108">
        <v>789384680</v>
      </c>
      <c r="M26" s="108">
        <v>710604400</v>
      </c>
    </row>
    <row r="27" spans="1:13" x14ac:dyDescent="0.25">
      <c r="J27" s="114" t="s">
        <v>198</v>
      </c>
      <c r="K27" s="108"/>
      <c r="M27" s="108"/>
    </row>
    <row r="28" spans="1:13" x14ac:dyDescent="0.25">
      <c r="A28" s="119" t="s">
        <v>256</v>
      </c>
      <c r="C28" s="130" t="s">
        <v>198</v>
      </c>
      <c r="I28" s="107" t="s">
        <v>255</v>
      </c>
      <c r="J28" s="114" t="s">
        <v>198</v>
      </c>
      <c r="K28" s="116">
        <v>1982582683.48</v>
      </c>
      <c r="L28" s="108"/>
      <c r="M28" s="116">
        <v>1751981620.02</v>
      </c>
    </row>
    <row r="29" spans="1:13" x14ac:dyDescent="0.25">
      <c r="B29" s="119" t="s">
        <v>257</v>
      </c>
      <c r="C29" s="130" t="s">
        <v>198</v>
      </c>
      <c r="D29" s="107">
        <v>5309005.3899999997</v>
      </c>
      <c r="F29" s="107">
        <v>6611224.1500000004</v>
      </c>
    </row>
    <row r="30" spans="1:13" x14ac:dyDescent="0.25">
      <c r="B30" s="119" t="s">
        <v>259</v>
      </c>
      <c r="C30" s="130" t="s">
        <v>198</v>
      </c>
      <c r="D30" s="107">
        <v>22807516.43</v>
      </c>
      <c r="F30" s="107">
        <v>21598222.100000001</v>
      </c>
      <c r="H30" s="107" t="s">
        <v>258</v>
      </c>
      <c r="J30" s="114"/>
    </row>
    <row r="31" spans="1:13" x14ac:dyDescent="0.25">
      <c r="B31" s="119" t="s">
        <v>260</v>
      </c>
      <c r="C31" s="130" t="s">
        <v>198</v>
      </c>
      <c r="D31" s="107">
        <v>3505.29</v>
      </c>
      <c r="F31" s="107">
        <v>14.45</v>
      </c>
      <c r="I31" s="107" t="s">
        <v>333</v>
      </c>
      <c r="J31" s="114" t="s">
        <v>198</v>
      </c>
      <c r="K31" s="107">
        <v>0</v>
      </c>
      <c r="M31" s="107">
        <v>0</v>
      </c>
    </row>
    <row r="32" spans="1:13" x14ac:dyDescent="0.25">
      <c r="B32" s="119" t="s">
        <v>262</v>
      </c>
      <c r="C32" s="130" t="s">
        <v>198</v>
      </c>
      <c r="D32" s="107">
        <v>123201441.14</v>
      </c>
      <c r="F32" s="107">
        <v>135293520.03</v>
      </c>
      <c r="I32" s="140" t="s">
        <v>334</v>
      </c>
      <c r="J32" s="114" t="s">
        <v>198</v>
      </c>
      <c r="K32" s="107">
        <v>53000000</v>
      </c>
      <c r="M32" s="107">
        <v>36000000</v>
      </c>
    </row>
    <row r="33" spans="1:13" x14ac:dyDescent="0.25">
      <c r="B33" s="119" t="s">
        <v>322</v>
      </c>
      <c r="C33" s="130" t="s">
        <v>198</v>
      </c>
      <c r="D33" s="107">
        <v>0</v>
      </c>
      <c r="F33" s="107">
        <v>0</v>
      </c>
      <c r="I33" s="117" t="s">
        <v>263</v>
      </c>
      <c r="J33" s="114" t="s">
        <v>198</v>
      </c>
      <c r="K33" s="107">
        <v>0</v>
      </c>
      <c r="M33" s="107">
        <v>0</v>
      </c>
    </row>
    <row r="34" spans="1:13" x14ac:dyDescent="0.25">
      <c r="B34" s="119" t="s">
        <v>323</v>
      </c>
      <c r="C34" s="130" t="s">
        <v>198</v>
      </c>
      <c r="D34" s="107">
        <v>50014360.409999996</v>
      </c>
      <c r="F34" s="107">
        <v>31767470.48</v>
      </c>
      <c r="I34" s="107" t="s">
        <v>264</v>
      </c>
      <c r="J34" s="114" t="s">
        <v>198</v>
      </c>
      <c r="K34" s="107">
        <v>97043054</v>
      </c>
      <c r="M34" s="107">
        <v>69665000</v>
      </c>
    </row>
    <row r="35" spans="1:13" x14ac:dyDescent="0.25">
      <c r="B35" s="119" t="s">
        <v>324</v>
      </c>
      <c r="C35" s="130" t="s">
        <v>198</v>
      </c>
      <c r="I35" s="107" t="s">
        <v>266</v>
      </c>
      <c r="J35" s="114" t="s">
        <v>198</v>
      </c>
      <c r="K35" s="107">
        <v>84148386.379999995</v>
      </c>
      <c r="M35" s="107">
        <v>88618507.579999998</v>
      </c>
    </row>
    <row r="36" spans="1:13" x14ac:dyDescent="0.25">
      <c r="B36" s="119" t="s">
        <v>269</v>
      </c>
      <c r="C36" s="130" t="s">
        <v>198</v>
      </c>
      <c r="D36" s="107">
        <v>64221478.600000001</v>
      </c>
      <c r="F36" s="107">
        <v>55589380.770000003</v>
      </c>
      <c r="I36" s="107" t="s">
        <v>268</v>
      </c>
      <c r="J36" s="114" t="s">
        <v>198</v>
      </c>
      <c r="K36" s="107">
        <v>81880154.590000004</v>
      </c>
      <c r="M36" s="107">
        <v>52553228.450000003</v>
      </c>
    </row>
    <row r="37" spans="1:13" x14ac:dyDescent="0.25">
      <c r="B37" s="119" t="s">
        <v>325</v>
      </c>
      <c r="C37" s="130" t="s">
        <v>198</v>
      </c>
      <c r="D37" s="107">
        <v>25951429.350000001</v>
      </c>
      <c r="F37" s="107">
        <v>24713798.640000001</v>
      </c>
      <c r="I37" s="107" t="s">
        <v>270</v>
      </c>
      <c r="J37" s="114" t="s">
        <v>198</v>
      </c>
      <c r="K37" s="107">
        <v>18681706.399999999</v>
      </c>
      <c r="M37" s="107">
        <v>17326596.219999999</v>
      </c>
    </row>
    <row r="38" spans="1:13" x14ac:dyDescent="0.25">
      <c r="B38" s="119" t="s">
        <v>273</v>
      </c>
      <c r="C38" s="130" t="s">
        <v>198</v>
      </c>
      <c r="D38" s="107">
        <v>6386539.0300000003</v>
      </c>
      <c r="F38" s="107">
        <v>6081752.75</v>
      </c>
      <c r="I38" s="107" t="s">
        <v>272</v>
      </c>
      <c r="J38" s="114" t="s">
        <v>198</v>
      </c>
      <c r="K38" s="107">
        <v>5483045.29</v>
      </c>
      <c r="M38" s="107">
        <v>14501541.029999999</v>
      </c>
    </row>
    <row r="39" spans="1:13" x14ac:dyDescent="0.25">
      <c r="B39" s="119" t="s">
        <v>275</v>
      </c>
      <c r="C39" s="119" t="s">
        <v>198</v>
      </c>
      <c r="D39" s="113">
        <v>1670537.83</v>
      </c>
      <c r="F39" s="107">
        <v>1459686.91</v>
      </c>
      <c r="I39" s="107" t="s">
        <v>274</v>
      </c>
      <c r="J39" s="114" t="s">
        <v>198</v>
      </c>
      <c r="K39" s="107">
        <v>7375553.8300000001</v>
      </c>
      <c r="M39" s="107">
        <v>7638970.4299999997</v>
      </c>
    </row>
    <row r="40" spans="1:13" x14ac:dyDescent="0.25">
      <c r="B40" s="119" t="s">
        <v>277</v>
      </c>
      <c r="C40" s="130" t="s">
        <v>198</v>
      </c>
      <c r="D40" s="107">
        <v>5878487.3099999996</v>
      </c>
      <c r="F40" s="107">
        <v>3435902.47</v>
      </c>
      <c r="I40" s="107" t="s">
        <v>276</v>
      </c>
      <c r="J40" s="114" t="s">
        <v>198</v>
      </c>
      <c r="K40" s="107">
        <v>0</v>
      </c>
      <c r="M40" s="107">
        <v>0</v>
      </c>
    </row>
    <row r="41" spans="1:13" x14ac:dyDescent="0.25">
      <c r="B41" s="119" t="s">
        <v>326</v>
      </c>
      <c r="C41" s="130" t="s">
        <v>198</v>
      </c>
      <c r="D41" s="116">
        <v>895626.67</v>
      </c>
      <c r="F41" s="116">
        <v>1619258.95</v>
      </c>
      <c r="I41" s="107" t="s">
        <v>327</v>
      </c>
      <c r="J41" s="114" t="s">
        <v>198</v>
      </c>
      <c r="K41" s="116">
        <v>10751454.699999999</v>
      </c>
      <c r="M41" s="116">
        <v>10246265.85</v>
      </c>
    </row>
    <row r="42" spans="1:13" x14ac:dyDescent="0.25">
      <c r="J42" s="114"/>
    </row>
    <row r="43" spans="1:13" x14ac:dyDescent="0.25">
      <c r="B43" s="119" t="s">
        <v>280</v>
      </c>
      <c r="C43" s="130" t="s">
        <v>198</v>
      </c>
      <c r="D43" s="116">
        <v>306339927.44999999</v>
      </c>
      <c r="F43" s="116">
        <v>288170231.69999999</v>
      </c>
      <c r="I43" s="107" t="s">
        <v>253</v>
      </c>
      <c r="J43" s="114" t="s">
        <v>198</v>
      </c>
      <c r="K43" s="116">
        <v>358363355.19</v>
      </c>
      <c r="M43" s="116">
        <v>296550109.56</v>
      </c>
    </row>
    <row r="44" spans="1:13" x14ac:dyDescent="0.25">
      <c r="J44" s="114"/>
    </row>
    <row r="45" spans="1:13" x14ac:dyDescent="0.25">
      <c r="H45" s="107" t="s">
        <v>281</v>
      </c>
      <c r="J45" s="114"/>
    </row>
    <row r="46" spans="1:13" x14ac:dyDescent="0.25">
      <c r="I46" s="107" t="s">
        <v>282</v>
      </c>
      <c r="J46" s="114" t="s">
        <v>198</v>
      </c>
      <c r="K46" s="113">
        <v>330151853.20999998</v>
      </c>
      <c r="M46" s="107">
        <v>328953646.01999998</v>
      </c>
    </row>
    <row r="47" spans="1:13" x14ac:dyDescent="0.25">
      <c r="A47" s="119" t="s">
        <v>283</v>
      </c>
      <c r="C47" s="130" t="s">
        <v>198</v>
      </c>
      <c r="I47" s="107" t="s">
        <v>284</v>
      </c>
      <c r="J47" s="114" t="s">
        <v>198</v>
      </c>
      <c r="K47" s="113">
        <v>13023775.32</v>
      </c>
      <c r="M47" s="107">
        <v>2105647.3199999998</v>
      </c>
    </row>
    <row r="48" spans="1:13" x14ac:dyDescent="0.25">
      <c r="B48" s="119" t="s">
        <v>285</v>
      </c>
      <c r="C48" s="130" t="s">
        <v>198</v>
      </c>
      <c r="D48" s="107">
        <v>5875218.2699999996</v>
      </c>
      <c r="F48" s="107">
        <v>4960110.07</v>
      </c>
      <c r="I48" s="107" t="s">
        <v>286</v>
      </c>
      <c r="J48" s="114" t="s">
        <v>198</v>
      </c>
      <c r="K48" s="107">
        <v>35939373.479999997</v>
      </c>
      <c r="M48" s="107">
        <v>31624689.09</v>
      </c>
    </row>
    <row r="49" spans="2:13" x14ac:dyDescent="0.25">
      <c r="B49" s="119" t="s">
        <v>287</v>
      </c>
      <c r="C49" s="130" t="s">
        <v>198</v>
      </c>
      <c r="D49" s="107">
        <v>10327192.029999999</v>
      </c>
      <c r="F49" s="107">
        <v>11016396.9</v>
      </c>
      <c r="I49" s="107" t="s">
        <v>288</v>
      </c>
      <c r="J49" s="114" t="s">
        <v>198</v>
      </c>
      <c r="K49" s="113">
        <v>1972866.14</v>
      </c>
      <c r="M49" s="107">
        <v>1491635.79</v>
      </c>
    </row>
    <row r="50" spans="2:13" x14ac:dyDescent="0.25">
      <c r="B50" s="119" t="s">
        <v>282</v>
      </c>
      <c r="C50" s="130" t="s">
        <v>198</v>
      </c>
      <c r="D50" s="107">
        <v>46004036.649999999</v>
      </c>
      <c r="F50" s="107">
        <v>42695366.189999998</v>
      </c>
      <c r="I50" s="107" t="s">
        <v>289</v>
      </c>
      <c r="J50" s="114" t="s">
        <v>198</v>
      </c>
      <c r="K50" s="107">
        <v>28481206.539999999</v>
      </c>
      <c r="M50" s="107">
        <v>26798682.68</v>
      </c>
    </row>
    <row r="51" spans="2:13" x14ac:dyDescent="0.25">
      <c r="B51" s="119" t="s">
        <v>290</v>
      </c>
      <c r="C51" s="130" t="s">
        <v>198</v>
      </c>
      <c r="D51" s="107">
        <v>115016842.94</v>
      </c>
      <c r="F51" s="107">
        <v>65063778.740000002</v>
      </c>
      <c r="I51" s="107" t="s">
        <v>291</v>
      </c>
      <c r="J51" s="114" t="s">
        <v>198</v>
      </c>
      <c r="K51" s="107">
        <v>7283141.96</v>
      </c>
      <c r="M51" s="107">
        <v>15485636.300000001</v>
      </c>
    </row>
    <row r="52" spans="2:13" x14ac:dyDescent="0.25">
      <c r="B52" s="119" t="s">
        <v>292</v>
      </c>
      <c r="C52" s="130" t="s">
        <v>198</v>
      </c>
      <c r="D52" s="116">
        <v>67133954.810000002</v>
      </c>
      <c r="F52" s="116">
        <v>64104227.170000002</v>
      </c>
      <c r="I52" s="107" t="s">
        <v>328</v>
      </c>
      <c r="J52" s="114" t="s">
        <v>198</v>
      </c>
      <c r="K52" s="107">
        <v>59308888.32</v>
      </c>
      <c r="M52" s="107">
        <v>32020605.629999999</v>
      </c>
    </row>
    <row r="53" spans="2:13" ht="15.75" customHeight="1" x14ac:dyDescent="0.25">
      <c r="C53" s="130" t="s">
        <v>198</v>
      </c>
      <c r="I53" s="107" t="s">
        <v>329</v>
      </c>
      <c r="J53" s="114" t="s">
        <v>198</v>
      </c>
      <c r="K53" s="116">
        <v>76450084</v>
      </c>
      <c r="M53" s="116">
        <v>69604710</v>
      </c>
    </row>
    <row r="54" spans="2:13" x14ac:dyDescent="0.25">
      <c r="B54" s="119" t="s">
        <v>280</v>
      </c>
      <c r="C54" s="130" t="s">
        <v>198</v>
      </c>
      <c r="D54" s="116">
        <v>244357244.69999999</v>
      </c>
      <c r="F54" s="116">
        <v>187839879.06999999</v>
      </c>
      <c r="J54" s="114"/>
    </row>
    <row r="55" spans="2:13" x14ac:dyDescent="0.25">
      <c r="I55" s="107" t="s">
        <v>295</v>
      </c>
      <c r="J55" s="114" t="s">
        <v>198</v>
      </c>
      <c r="K55" s="116">
        <v>552611188.97000003</v>
      </c>
      <c r="M55" s="116">
        <v>508085252.82999998</v>
      </c>
    </row>
    <row r="57" spans="2:13" ht="16.5" thickBot="1" x14ac:dyDescent="0.3">
      <c r="B57" s="119" t="s">
        <v>296</v>
      </c>
      <c r="C57" s="130" t="s">
        <v>198</v>
      </c>
      <c r="D57" s="118">
        <v>2893557227.6399999</v>
      </c>
      <c r="F57" s="118">
        <v>2556616982.4099998</v>
      </c>
      <c r="I57" s="107" t="s">
        <v>297</v>
      </c>
      <c r="J57" s="114" t="s">
        <v>198</v>
      </c>
      <c r="K57" s="118">
        <v>2893557227.6399999</v>
      </c>
      <c r="M57" s="118">
        <v>2556616982.4099998</v>
      </c>
    </row>
    <row r="58" spans="2:13" ht="16.5" thickTop="1" x14ac:dyDescent="0.25"/>
  </sheetData>
  <phoneticPr fontId="58" type="noConversion"/>
  <printOptions horizontalCentered="1"/>
  <pageMargins left="0" right="0" top="0.75" bottom="0.7" header="0" footer="0.55000000000000004"/>
  <pageSetup scale="57" orientation="landscape" horizontalDpi="4294967292" verticalDpi="300" r:id="rId1"/>
  <headerFooter alignWithMargins="0">
    <oddFooter>&amp;C&amp;"Times New Roman,Bold"5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R63"/>
  <sheetViews>
    <sheetView showGridLines="0" zoomScale="75" workbookViewId="0">
      <selection activeCell="E11" sqref="E11"/>
    </sheetView>
  </sheetViews>
  <sheetFormatPr defaultColWidth="10.28515625" defaultRowHeight="15.75" customHeight="1" x14ac:dyDescent="0.25"/>
  <cols>
    <col min="1" max="1" width="48.7109375" style="154" customWidth="1"/>
    <col min="2" max="2" width="6.42578125" style="154" customWidth="1"/>
    <col min="3" max="3" width="19" style="107" customWidth="1"/>
    <col min="4" max="4" width="9.85546875" style="107" customWidth="1"/>
    <col min="5" max="5" width="21.5703125" style="107" customWidth="1"/>
    <col min="6" max="6" width="9.85546875" style="107" customWidth="1"/>
    <col min="7" max="7" width="19" style="107" customWidth="1"/>
    <col min="8" max="8" width="6.42578125" style="107" customWidth="1"/>
    <col min="9" max="9" width="14.42578125" style="107" customWidth="1"/>
    <col min="10" max="10" width="10.28515625" style="154" hidden="1" customWidth="1"/>
    <col min="11" max="16384" width="10.28515625" style="154"/>
  </cols>
  <sheetData>
    <row r="1" spans="1:9" ht="15.75" customHeight="1" x14ac:dyDescent="0.25">
      <c r="A1" s="153" t="s">
        <v>189</v>
      </c>
    </row>
    <row r="2" spans="1:9" ht="15.75" customHeight="1" x14ac:dyDescent="0.25">
      <c r="A2" s="155" t="s">
        <v>82</v>
      </c>
      <c r="B2" s="156"/>
      <c r="C2" s="109"/>
      <c r="D2" s="109"/>
      <c r="E2" s="109"/>
      <c r="F2" s="109"/>
      <c r="G2" s="109"/>
      <c r="H2" s="109"/>
      <c r="I2" s="109"/>
    </row>
    <row r="3" spans="1:9" ht="15.75" customHeight="1" x14ac:dyDescent="0.25">
      <c r="A3" s="157" t="s">
        <v>298</v>
      </c>
      <c r="B3" s="156"/>
      <c r="C3" s="109"/>
      <c r="D3" s="109"/>
      <c r="E3" s="109"/>
      <c r="F3" s="109"/>
      <c r="G3" s="109"/>
      <c r="H3" s="109"/>
      <c r="I3" s="109"/>
    </row>
    <row r="4" spans="1:9" s="160" customFormat="1" ht="15.75" customHeight="1" x14ac:dyDescent="0.25">
      <c r="A4" s="158" t="str">
        <f>'[23]1'!A3</f>
        <v>DECEMBER 31, 2005</v>
      </c>
      <c r="B4" s="159"/>
      <c r="C4" s="93"/>
      <c r="D4" s="93"/>
      <c r="E4" s="93"/>
      <c r="F4" s="93"/>
      <c r="G4" s="93"/>
      <c r="H4" s="93"/>
      <c r="I4" s="93"/>
    </row>
    <row r="5" spans="1:9" ht="15.75" customHeight="1" x14ac:dyDescent="0.25">
      <c r="A5" s="161"/>
    </row>
    <row r="7" spans="1:9" ht="15.75" customHeight="1" x14ac:dyDescent="0.25">
      <c r="A7" s="162"/>
      <c r="C7" s="128" t="s">
        <v>299</v>
      </c>
      <c r="D7" s="128"/>
      <c r="E7" s="128"/>
      <c r="F7" s="128"/>
      <c r="G7" s="128"/>
      <c r="H7" s="128"/>
      <c r="I7" s="128"/>
    </row>
    <row r="9" spans="1:9" ht="15.75" customHeight="1" x14ac:dyDescent="0.25">
      <c r="C9" s="129" t="s">
        <v>300</v>
      </c>
      <c r="D9" s="129"/>
      <c r="E9" s="129" t="s">
        <v>301</v>
      </c>
      <c r="F9" s="129"/>
      <c r="G9" s="109" t="s">
        <v>302</v>
      </c>
      <c r="H9" s="109"/>
      <c r="I9" s="109"/>
    </row>
    <row r="10" spans="1:9" ht="15.75" customHeight="1" x14ac:dyDescent="0.25">
      <c r="C10" s="111" t="s">
        <v>303</v>
      </c>
      <c r="D10" s="129"/>
      <c r="E10" s="111" t="s">
        <v>303</v>
      </c>
      <c r="F10" s="129"/>
      <c r="G10" s="111" t="s">
        <v>303</v>
      </c>
      <c r="H10" s="129"/>
      <c r="I10" s="111" t="s">
        <v>196</v>
      </c>
    </row>
    <row r="12" spans="1:9" ht="15.75" customHeight="1" x14ac:dyDescent="0.25">
      <c r="A12" s="154" t="s">
        <v>197</v>
      </c>
      <c r="B12" s="163" t="s">
        <v>198</v>
      </c>
      <c r="C12" s="107">
        <v>1206584986.8199999</v>
      </c>
      <c r="E12" s="107">
        <v>990611603.57000005</v>
      </c>
      <c r="G12" s="107">
        <f>C12-E12</f>
        <v>215973383.24999988</v>
      </c>
      <c r="I12" s="134">
        <f>ROUND(G12/E12*100,4)</f>
        <v>21.802</v>
      </c>
    </row>
    <row r="13" spans="1:9" ht="15.75" customHeight="1" x14ac:dyDescent="0.25">
      <c r="A13" s="154" t="s">
        <v>199</v>
      </c>
      <c r="B13" s="163" t="s">
        <v>198</v>
      </c>
      <c r="C13" s="116">
        <v>0</v>
      </c>
      <c r="E13" s="116">
        <v>4750713.6399999997</v>
      </c>
      <c r="G13" s="116">
        <f>C13-E13</f>
        <v>-4750713.6399999997</v>
      </c>
      <c r="I13" s="132">
        <f>ROUND(G13/E13*100,4)</f>
        <v>-100</v>
      </c>
    </row>
    <row r="14" spans="1:9" ht="15.75" customHeight="1" x14ac:dyDescent="0.25">
      <c r="B14" s="163" t="s">
        <v>198</v>
      </c>
      <c r="I14" s="133"/>
    </row>
    <row r="15" spans="1:9" ht="15.75" customHeight="1" x14ac:dyDescent="0.25">
      <c r="A15" s="154" t="s">
        <v>200</v>
      </c>
      <c r="B15" s="163" t="s">
        <v>198</v>
      </c>
      <c r="C15" s="116">
        <v>1206584986.8199999</v>
      </c>
      <c r="E15" s="116">
        <v>995362317.21000004</v>
      </c>
      <c r="G15" s="116">
        <f>C15-E15</f>
        <v>211222669.6099999</v>
      </c>
      <c r="I15" s="131">
        <f>ROUND(G15/E15*100,4)</f>
        <v>21.220700000000001</v>
      </c>
    </row>
    <row r="16" spans="1:9" ht="15.75" customHeight="1" x14ac:dyDescent="0.25">
      <c r="B16" s="163" t="s">
        <v>198</v>
      </c>
      <c r="I16" s="133"/>
    </row>
    <row r="17" spans="1:18" ht="15.75" customHeight="1" x14ac:dyDescent="0.25">
      <c r="A17" s="154" t="s">
        <v>304</v>
      </c>
      <c r="B17" s="163"/>
      <c r="I17" s="133"/>
    </row>
    <row r="18" spans="1:18" ht="15.75" customHeight="1" x14ac:dyDescent="0.25">
      <c r="A18" s="154" t="s">
        <v>201</v>
      </c>
      <c r="B18" s="163" t="s">
        <v>198</v>
      </c>
      <c r="C18" s="107">
        <v>383147009.33999997</v>
      </c>
      <c r="E18" s="107">
        <v>292046234.60000002</v>
      </c>
      <c r="G18" s="107">
        <f t="shared" ref="G18:G24" si="0">C18-E18</f>
        <v>91100774.73999995</v>
      </c>
      <c r="I18" s="134">
        <f>ROUND(G18/E18*100,4)</f>
        <v>31.193999999999999</v>
      </c>
    </row>
    <row r="19" spans="1:18" ht="15.75" customHeight="1" x14ac:dyDescent="0.25">
      <c r="A19" s="154" t="s">
        <v>202</v>
      </c>
      <c r="B19" s="163" t="s">
        <v>198</v>
      </c>
      <c r="C19" s="107">
        <v>218954118.78</v>
      </c>
      <c r="E19" s="107">
        <v>144232055.66</v>
      </c>
      <c r="G19" s="107">
        <f t="shared" si="0"/>
        <v>74722063.120000005</v>
      </c>
      <c r="I19" s="134">
        <f>ROUND(G19/E19*100,4)</f>
        <v>51.806800000000003</v>
      </c>
    </row>
    <row r="20" spans="1:18" ht="15.75" customHeight="1" x14ac:dyDescent="0.25">
      <c r="A20" s="154" t="s">
        <v>203</v>
      </c>
      <c r="B20" s="163" t="s">
        <v>198</v>
      </c>
      <c r="C20" s="107">
        <v>200111659.41</v>
      </c>
      <c r="E20" s="107">
        <v>145482795.21000001</v>
      </c>
      <c r="G20" s="107">
        <f t="shared" si="0"/>
        <v>54628864.199999988</v>
      </c>
      <c r="I20" s="134">
        <f>ROUND(G20/E20*100,4)</f>
        <v>37.5501</v>
      </c>
    </row>
    <row r="21" spans="1:18" ht="15.75" customHeight="1" x14ac:dyDescent="0.25">
      <c r="A21" s="154" t="s">
        <v>204</v>
      </c>
      <c r="B21" s="163" t="s">
        <v>198</v>
      </c>
      <c r="C21" s="107">
        <v>72256142.829999998</v>
      </c>
      <c r="E21" s="107">
        <v>60891725.68</v>
      </c>
      <c r="G21" s="107">
        <f t="shared" si="0"/>
        <v>11364417.149999999</v>
      </c>
      <c r="I21" s="134">
        <f>ROUND(G21/E21*100,4)</f>
        <v>18.6633</v>
      </c>
    </row>
    <row r="22" spans="1:18" ht="15.75" customHeight="1" x14ac:dyDescent="0.25">
      <c r="A22" s="154" t="s">
        <v>205</v>
      </c>
      <c r="B22" s="163" t="s">
        <v>198</v>
      </c>
      <c r="C22" s="107">
        <v>109646418.40000001</v>
      </c>
      <c r="E22" s="107">
        <v>102621186.70999999</v>
      </c>
      <c r="G22" s="107">
        <f t="shared" si="0"/>
        <v>7025231.6900000125</v>
      </c>
      <c r="I22" s="134">
        <f>ROUND(G22/E22*100,4)</f>
        <v>6.8457999999999997</v>
      </c>
    </row>
    <row r="23" spans="1:18" ht="15.75" customHeight="1" x14ac:dyDescent="0.25">
      <c r="A23" s="154" t="s">
        <v>206</v>
      </c>
      <c r="B23" s="163" t="s">
        <v>198</v>
      </c>
      <c r="C23" s="107">
        <v>5240026.5999999996</v>
      </c>
      <c r="E23" s="107">
        <v>6250772.0700000003</v>
      </c>
      <c r="G23" s="107">
        <f t="shared" si="0"/>
        <v>-1010745.4700000007</v>
      </c>
      <c r="I23" s="134">
        <f>IF((G23/E23*100)&gt;1000,0,ROUND(G23/E23*100,4))</f>
        <v>-16.169899999999998</v>
      </c>
    </row>
    <row r="24" spans="1:18" ht="15.75" customHeight="1" x14ac:dyDescent="0.25">
      <c r="A24" s="154" t="s">
        <v>207</v>
      </c>
      <c r="B24" s="163" t="s">
        <v>198</v>
      </c>
      <c r="C24" s="107">
        <v>-7127021.6600000001</v>
      </c>
      <c r="E24" s="107">
        <v>-1521074.04</v>
      </c>
      <c r="G24" s="107">
        <f t="shared" si="0"/>
        <v>-5605947.6200000001</v>
      </c>
      <c r="I24" s="134">
        <f>IF((G24/E24*100)&gt;1000,0,ROUND(G24/E24*100,4))</f>
        <v>368.55189999999999</v>
      </c>
    </row>
    <row r="25" spans="1:18" ht="15.75" customHeight="1" x14ac:dyDescent="0.25">
      <c r="A25" s="154" t="s">
        <v>208</v>
      </c>
      <c r="B25" s="163" t="s">
        <v>198</v>
      </c>
      <c r="I25" s="134"/>
    </row>
    <row r="26" spans="1:18" ht="15.75" customHeight="1" x14ac:dyDescent="0.25">
      <c r="A26" s="154" t="s">
        <v>209</v>
      </c>
      <c r="B26" s="163" t="s">
        <v>198</v>
      </c>
      <c r="C26" s="107">
        <v>58375979.18</v>
      </c>
      <c r="E26" s="107">
        <v>39821303.280000001</v>
      </c>
      <c r="G26" s="107">
        <f t="shared" ref="G26:G34" si="1">C26-E26</f>
        <v>18554675.899999999</v>
      </c>
      <c r="I26" s="134">
        <f>IF(C26-E26=C26,0,ROUND(G26/E26*100,4))</f>
        <v>46.594799999999999</v>
      </c>
    </row>
    <row r="27" spans="1:18" ht="15.75" customHeight="1" x14ac:dyDescent="0.25">
      <c r="A27" s="154" t="s">
        <v>210</v>
      </c>
      <c r="B27" s="163" t="s">
        <v>198</v>
      </c>
      <c r="C27" s="107">
        <v>10937555.189999999</v>
      </c>
      <c r="E27" s="107">
        <v>17834658.059999999</v>
      </c>
      <c r="G27" s="107">
        <f t="shared" si="1"/>
        <v>-6897102.8699999992</v>
      </c>
      <c r="I27" s="134">
        <f>IF(C27-E27=C27,0,ROUND(G27/E27*100,4))</f>
        <v>-38.672499999999999</v>
      </c>
    </row>
    <row r="28" spans="1:18" ht="15.75" customHeight="1" x14ac:dyDescent="0.25">
      <c r="A28" s="154" t="s">
        <v>211</v>
      </c>
      <c r="B28" s="163" t="s">
        <v>198</v>
      </c>
      <c r="C28" s="107">
        <v>-5809323.7400000002</v>
      </c>
      <c r="E28" s="107">
        <v>21942201.41</v>
      </c>
      <c r="G28" s="107">
        <f t="shared" si="1"/>
        <v>-27751525.149999999</v>
      </c>
      <c r="I28" s="134">
        <f>IF(C28-E28=C28,0,ROUND(G28/E28*100,4))</f>
        <v>-126.4756</v>
      </c>
    </row>
    <row r="29" spans="1:18" ht="15.75" customHeight="1" x14ac:dyDescent="0.25">
      <c r="A29" s="154" t="s">
        <v>212</v>
      </c>
      <c r="B29" s="163" t="s">
        <v>198</v>
      </c>
      <c r="C29" s="107">
        <v>-761253.92</v>
      </c>
      <c r="E29" s="107">
        <v>-468877.67</v>
      </c>
      <c r="G29" s="107">
        <f t="shared" si="1"/>
        <v>-292376.25000000006</v>
      </c>
      <c r="I29" s="134">
        <f>IF(C29-E29=C29,0,ROUND(G29/E29*100,4))</f>
        <v>62.3566</v>
      </c>
    </row>
    <row r="30" spans="1:18" ht="15.75" customHeight="1" x14ac:dyDescent="0.25">
      <c r="A30" s="154" t="s">
        <v>305</v>
      </c>
      <c r="B30" s="163" t="s">
        <v>198</v>
      </c>
      <c r="C30" s="107">
        <v>0</v>
      </c>
      <c r="E30" s="107">
        <v>0</v>
      </c>
      <c r="G30" s="107">
        <f t="shared" si="1"/>
        <v>0</v>
      </c>
      <c r="I30" s="134">
        <v>0</v>
      </c>
      <c r="J30" s="154" t="s">
        <v>215</v>
      </c>
    </row>
    <row r="31" spans="1:18" ht="15.75" customHeight="1" x14ac:dyDescent="0.25">
      <c r="A31" s="154" t="s">
        <v>306</v>
      </c>
      <c r="B31" s="163" t="s">
        <v>198</v>
      </c>
      <c r="C31" s="107">
        <v>0</v>
      </c>
      <c r="E31" s="107">
        <v>0</v>
      </c>
      <c r="G31" s="107">
        <f t="shared" si="1"/>
        <v>0</v>
      </c>
      <c r="I31" s="134">
        <v>0</v>
      </c>
      <c r="J31" s="164" t="s">
        <v>215</v>
      </c>
      <c r="K31" s="164"/>
      <c r="L31" s="164"/>
      <c r="M31" s="164"/>
      <c r="N31" s="164"/>
      <c r="O31" s="164"/>
      <c r="P31" s="164"/>
      <c r="Q31" s="164"/>
      <c r="R31" s="164"/>
    </row>
    <row r="32" spans="1:18" ht="15.75" customHeight="1" x14ac:dyDescent="0.25">
      <c r="A32" s="154" t="s">
        <v>213</v>
      </c>
      <c r="B32" s="163" t="s">
        <v>198</v>
      </c>
      <c r="C32" s="107">
        <v>16456094.35</v>
      </c>
      <c r="E32" s="107">
        <v>16653320.07</v>
      </c>
      <c r="F32" s="108"/>
      <c r="G32" s="108">
        <f t="shared" si="1"/>
        <v>-197225.72000000067</v>
      </c>
      <c r="H32" s="108"/>
      <c r="I32" s="134">
        <f>ROUND(G32/E32*100,4)</f>
        <v>-1.1842999999999999</v>
      </c>
      <c r="J32" s="164"/>
      <c r="K32" s="164"/>
      <c r="L32" s="164"/>
      <c r="M32" s="164"/>
      <c r="N32" s="164"/>
      <c r="O32" s="164"/>
      <c r="P32" s="164"/>
      <c r="Q32" s="164"/>
      <c r="R32" s="164"/>
    </row>
    <row r="33" spans="1:9" ht="15.75" customHeight="1" x14ac:dyDescent="0.25">
      <c r="A33" s="154" t="s">
        <v>216</v>
      </c>
      <c r="B33" s="163" t="s">
        <v>198</v>
      </c>
      <c r="C33" s="108">
        <v>-1108364.26</v>
      </c>
      <c r="D33" s="108"/>
      <c r="E33" s="108">
        <v>-444234.89</v>
      </c>
      <c r="F33" s="108"/>
      <c r="G33" s="108">
        <f t="shared" si="1"/>
        <v>-664129.37</v>
      </c>
      <c r="H33" s="108"/>
      <c r="I33" s="134">
        <f>ROUND(G33/E33*100,4)</f>
        <v>149.49959999999999</v>
      </c>
    </row>
    <row r="34" spans="1:9" ht="15.75" customHeight="1" x14ac:dyDescent="0.25">
      <c r="A34" s="154" t="s">
        <v>217</v>
      </c>
      <c r="B34" s="163" t="s">
        <v>198</v>
      </c>
      <c r="C34" s="116">
        <v>1388148</v>
      </c>
      <c r="D34" s="108"/>
      <c r="E34" s="116">
        <v>1302024</v>
      </c>
      <c r="F34" s="108"/>
      <c r="G34" s="116">
        <f t="shared" si="1"/>
        <v>86124</v>
      </c>
      <c r="H34" s="108"/>
      <c r="I34" s="131">
        <f>ROUND(G34/E34*100,4)</f>
        <v>6.6146000000000003</v>
      </c>
    </row>
    <row r="35" spans="1:9" ht="15.75" customHeight="1" x14ac:dyDescent="0.25">
      <c r="B35" s="163" t="s">
        <v>198</v>
      </c>
      <c r="I35" s="133"/>
    </row>
    <row r="36" spans="1:9" ht="15.75" customHeight="1" x14ac:dyDescent="0.25">
      <c r="A36" s="154" t="s">
        <v>218</v>
      </c>
      <c r="B36" s="163" t="s">
        <v>198</v>
      </c>
      <c r="C36" s="116">
        <v>1061707188.5</v>
      </c>
      <c r="E36" s="116">
        <v>846644090.14999998</v>
      </c>
      <c r="G36" s="116">
        <f>C36-E36</f>
        <v>215063098.35000002</v>
      </c>
      <c r="I36" s="131">
        <f>ROUND(G36/E36*100,4)</f>
        <v>25.401800000000001</v>
      </c>
    </row>
    <row r="37" spans="1:9" ht="15.75" customHeight="1" x14ac:dyDescent="0.25">
      <c r="B37" s="163" t="s">
        <v>198</v>
      </c>
      <c r="I37" s="133"/>
    </row>
    <row r="38" spans="1:9" ht="15.75" customHeight="1" x14ac:dyDescent="0.25">
      <c r="A38" s="154" t="s">
        <v>219</v>
      </c>
      <c r="B38" s="163" t="s">
        <v>198</v>
      </c>
      <c r="C38" s="113">
        <v>144877798.31999999</v>
      </c>
      <c r="E38" s="107">
        <v>148718227.06</v>
      </c>
      <c r="G38" s="107">
        <f>C38-E38</f>
        <v>-3840428.7400000095</v>
      </c>
      <c r="I38" s="134">
        <f>ROUND(G38/E38*100,4)</f>
        <v>-2.5823999999999998</v>
      </c>
    </row>
    <row r="39" spans="1:9" ht="15.75" customHeight="1" x14ac:dyDescent="0.25">
      <c r="A39" s="154" t="s">
        <v>220</v>
      </c>
      <c r="B39" s="163" t="s">
        <v>198</v>
      </c>
      <c r="I39" s="136"/>
    </row>
    <row r="40" spans="1:9" ht="15.75" customHeight="1" x14ac:dyDescent="0.25">
      <c r="A40" s="154" t="s">
        <v>221</v>
      </c>
      <c r="B40" s="163" t="s">
        <v>198</v>
      </c>
      <c r="C40" s="107">
        <v>1609909.87</v>
      </c>
      <c r="E40" s="107">
        <v>9119351.3100000005</v>
      </c>
      <c r="G40" s="107">
        <f>C40-E40</f>
        <v>-7509441.4400000004</v>
      </c>
      <c r="I40" s="134">
        <f>ROUND(G40/E40*100,4)</f>
        <v>-82.346199999999996</v>
      </c>
    </row>
    <row r="41" spans="1:9" ht="15.75" customHeight="1" x14ac:dyDescent="0.25">
      <c r="A41" s="154" t="s">
        <v>222</v>
      </c>
      <c r="B41" s="163" t="s">
        <v>198</v>
      </c>
      <c r="C41" s="116">
        <v>44279.7</v>
      </c>
      <c r="E41" s="116">
        <v>1135466.22</v>
      </c>
      <c r="G41" s="116">
        <f>C41-E41</f>
        <v>-1091186.52</v>
      </c>
      <c r="I41" s="131">
        <f>ROUND(G41/E41*100,4)</f>
        <v>-96.100300000000004</v>
      </c>
    </row>
    <row r="42" spans="1:9" ht="15.75" customHeight="1" x14ac:dyDescent="0.25">
      <c r="B42" s="163" t="s">
        <v>198</v>
      </c>
      <c r="I42" s="133"/>
    </row>
    <row r="43" spans="1:9" ht="15.75" customHeight="1" x14ac:dyDescent="0.25">
      <c r="A43" s="154" t="s">
        <v>223</v>
      </c>
      <c r="B43" s="163" t="s">
        <v>198</v>
      </c>
      <c r="C43" s="116">
        <v>1654189.57</v>
      </c>
      <c r="E43" s="116">
        <v>10254817.529999999</v>
      </c>
      <c r="G43" s="116">
        <f>C43-E43</f>
        <v>-8600627.959999999</v>
      </c>
      <c r="I43" s="131">
        <f>ROUND(G43/E43*100,4)</f>
        <v>-83.869100000000003</v>
      </c>
    </row>
    <row r="44" spans="1:9" ht="15.75" customHeight="1" x14ac:dyDescent="0.25">
      <c r="B44" s="163" t="s">
        <v>198</v>
      </c>
      <c r="I44" s="133"/>
    </row>
    <row r="45" spans="1:9" ht="15.75" customHeight="1" x14ac:dyDescent="0.25">
      <c r="A45" s="154" t="s">
        <v>224</v>
      </c>
      <c r="B45" s="163" t="s">
        <v>198</v>
      </c>
      <c r="C45" s="116">
        <v>146531987.88999999</v>
      </c>
      <c r="E45" s="116">
        <v>158973044.59</v>
      </c>
      <c r="G45" s="116">
        <f>C45-E45</f>
        <v>-12441056.700000018</v>
      </c>
      <c r="I45" s="131">
        <f>ROUND(G45/E45*100,4)</f>
        <v>-7.8258999999999999</v>
      </c>
    </row>
    <row r="46" spans="1:9" ht="15.75" customHeight="1" x14ac:dyDescent="0.25">
      <c r="B46" s="163" t="s">
        <v>198</v>
      </c>
      <c r="I46" s="133"/>
    </row>
    <row r="47" spans="1:9" ht="15.75" customHeight="1" x14ac:dyDescent="0.25">
      <c r="A47" s="154" t="s">
        <v>308</v>
      </c>
      <c r="B47" s="163" t="s">
        <v>198</v>
      </c>
      <c r="C47" s="107">
        <v>24554140.780000001</v>
      </c>
      <c r="E47" s="107">
        <v>21573894.350000001</v>
      </c>
      <c r="G47" s="107">
        <f>C47-E47</f>
        <v>2980246.4299999997</v>
      </c>
      <c r="I47" s="134">
        <f>ROUND(G47/E47*100,4)</f>
        <v>13.8141</v>
      </c>
    </row>
    <row r="48" spans="1:9" ht="15.75" customHeight="1" x14ac:dyDescent="0.25">
      <c r="A48" s="154" t="s">
        <v>226</v>
      </c>
      <c r="B48" s="163" t="s">
        <v>198</v>
      </c>
      <c r="C48" s="107">
        <v>2935870.02</v>
      </c>
      <c r="E48" s="107">
        <v>1014415.91</v>
      </c>
      <c r="G48" s="107">
        <f>C48-E48</f>
        <v>1921454.1099999999</v>
      </c>
      <c r="I48" s="134">
        <f>ROUND(G48/E48*100,4)</f>
        <v>189.41480000000001</v>
      </c>
    </row>
    <row r="49" spans="1:11" ht="15.75" customHeight="1" x14ac:dyDescent="0.25">
      <c r="A49" s="154" t="s">
        <v>227</v>
      </c>
      <c r="B49" s="163" t="s">
        <v>198</v>
      </c>
      <c r="C49" s="107">
        <v>3591335.11</v>
      </c>
      <c r="E49" s="107">
        <v>3139510.06</v>
      </c>
      <c r="G49" s="107">
        <f>C49-E49</f>
        <v>451825.04999999981</v>
      </c>
      <c r="I49" s="134">
        <f>ROUND(G49/E49*100,4)</f>
        <v>14.3916</v>
      </c>
      <c r="J49" s="164"/>
      <c r="K49" s="164"/>
    </row>
    <row r="50" spans="1:11" ht="15.75" customHeight="1" x14ac:dyDescent="0.25">
      <c r="A50" s="154" t="s">
        <v>228</v>
      </c>
      <c r="B50" s="163" t="s">
        <v>198</v>
      </c>
      <c r="C50" s="116">
        <v>-9295.81</v>
      </c>
      <c r="E50" s="116">
        <v>-226256.96</v>
      </c>
      <c r="G50" s="116">
        <f>C50-E50</f>
        <v>216961.15</v>
      </c>
      <c r="I50" s="131">
        <f>ROUND(G50/E50*100,4)</f>
        <v>-95.891499999999994</v>
      </c>
    </row>
    <row r="51" spans="1:11" ht="15.75" customHeight="1" x14ac:dyDescent="0.25">
      <c r="B51" s="163" t="s">
        <v>198</v>
      </c>
      <c r="I51" s="133"/>
    </row>
    <row r="52" spans="1:11" ht="15.75" customHeight="1" x14ac:dyDescent="0.25">
      <c r="A52" s="154" t="s">
        <v>229</v>
      </c>
      <c r="B52" s="163" t="s">
        <v>198</v>
      </c>
      <c r="C52" s="116">
        <v>31072050.100000001</v>
      </c>
      <c r="E52" s="116">
        <v>25501563.359999999</v>
      </c>
      <c r="G52" s="116">
        <f>C52-E52</f>
        <v>5570486.7400000021</v>
      </c>
      <c r="I52" s="131">
        <f>ROUND(G52/E52*100,4)</f>
        <v>21.843699999999998</v>
      </c>
    </row>
    <row r="53" spans="1:11" ht="15.75" customHeight="1" x14ac:dyDescent="0.25">
      <c r="B53" s="163" t="s">
        <v>198</v>
      </c>
      <c r="I53" s="137"/>
    </row>
    <row r="54" spans="1:11" ht="15.75" customHeight="1" x14ac:dyDescent="0.25">
      <c r="A54" s="154" t="s">
        <v>230</v>
      </c>
      <c r="B54" s="163" t="s">
        <v>198</v>
      </c>
      <c r="C54" s="108">
        <v>115459937.79000001</v>
      </c>
      <c r="D54" s="108"/>
      <c r="E54" s="108">
        <v>133471481.23</v>
      </c>
      <c r="F54" s="108"/>
      <c r="G54" s="107">
        <f>C54-E54</f>
        <v>-18011543.439999998</v>
      </c>
      <c r="H54" s="108"/>
      <c r="I54" s="134">
        <f>ROUND(G54/E54*100,4)</f>
        <v>-13.4947</v>
      </c>
    </row>
    <row r="55" spans="1:11" ht="15.75" customHeight="1" x14ac:dyDescent="0.25">
      <c r="B55" s="163" t="s">
        <v>198</v>
      </c>
      <c r="I55" s="133"/>
    </row>
    <row r="56" spans="1:11" ht="15.75" customHeight="1" x14ac:dyDescent="0.25">
      <c r="A56" s="154" t="s">
        <v>231</v>
      </c>
      <c r="B56" s="163" t="s">
        <v>198</v>
      </c>
      <c r="C56" s="116">
        <v>3337340.49</v>
      </c>
      <c r="D56" s="108"/>
      <c r="E56" s="116">
        <v>0</v>
      </c>
      <c r="F56" s="108"/>
      <c r="G56" s="116">
        <f>C56-E56</f>
        <v>3337340.49</v>
      </c>
      <c r="H56" s="108"/>
      <c r="I56" s="131">
        <v>0</v>
      </c>
      <c r="J56" s="154" t="s">
        <v>330</v>
      </c>
    </row>
    <row r="57" spans="1:11" ht="15.75" customHeight="1" x14ac:dyDescent="0.25">
      <c r="B57" s="163"/>
      <c r="I57" s="133"/>
    </row>
    <row r="58" spans="1:11" ht="15.75" customHeight="1" x14ac:dyDescent="0.25">
      <c r="A58" s="154" t="s">
        <v>309</v>
      </c>
      <c r="B58" s="163" t="s">
        <v>198</v>
      </c>
      <c r="C58" s="107">
        <v>112122597.3</v>
      </c>
      <c r="E58" s="107">
        <v>133471481.23</v>
      </c>
      <c r="G58" s="107">
        <f>C58-E58</f>
        <v>-21348883.930000007</v>
      </c>
      <c r="I58" s="134">
        <f>ROUND(G58/E58*100,4)</f>
        <v>-15.995100000000001</v>
      </c>
    </row>
    <row r="59" spans="1:11" ht="15.75" customHeight="1" x14ac:dyDescent="0.25">
      <c r="B59" s="163"/>
      <c r="I59" s="133"/>
    </row>
    <row r="60" spans="1:11" ht="15.75" customHeight="1" x14ac:dyDescent="0.25">
      <c r="A60" s="154" t="s">
        <v>310</v>
      </c>
      <c r="B60" s="163" t="s">
        <v>198</v>
      </c>
      <c r="C60" s="116">
        <v>1836137.92</v>
      </c>
      <c r="E60" s="116">
        <v>2256006.35</v>
      </c>
      <c r="G60" s="116">
        <f>C60-E60</f>
        <v>-419868.43000000017</v>
      </c>
      <c r="I60" s="131">
        <f>ROUND(G60/E60*100,4)</f>
        <v>-18.6111</v>
      </c>
    </row>
    <row r="61" spans="1:11" ht="15.75" customHeight="1" x14ac:dyDescent="0.25">
      <c r="B61" s="163" t="s">
        <v>198</v>
      </c>
      <c r="I61" s="133"/>
    </row>
    <row r="62" spans="1:11" ht="15.75" customHeight="1" thickBot="1" x14ac:dyDescent="0.3">
      <c r="A62" s="154" t="s">
        <v>311</v>
      </c>
      <c r="B62" s="163" t="s">
        <v>198</v>
      </c>
      <c r="C62" s="118">
        <v>110286459.38</v>
      </c>
      <c r="E62" s="118">
        <v>131215474.88</v>
      </c>
      <c r="G62" s="118">
        <f>C62-E62</f>
        <v>-20929015.5</v>
      </c>
      <c r="I62" s="138">
        <f>ROUND(G62/E62*100,4)</f>
        <v>-15.950100000000001</v>
      </c>
    </row>
    <row r="63" spans="1:11" ht="15.75" customHeight="1" thickTop="1" x14ac:dyDescent="0.25"/>
  </sheetData>
  <phoneticPr fontId="58" type="noConversion"/>
  <printOptions horizontalCentered="1"/>
  <pageMargins left="0" right="0" top="0.5" bottom="0.4" header="0" footer="0.28000000000000003"/>
  <pageSetup scale="58" orientation="landscape" horizontalDpi="4294967292" verticalDpi="300" r:id="rId1"/>
  <headerFooter alignWithMargins="0">
    <oddFooter>&amp;C&amp;"Times New Roman,Bold"3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58"/>
  <sheetViews>
    <sheetView showGridLines="0" zoomScale="75" workbookViewId="0">
      <selection activeCell="E11" sqref="E11"/>
    </sheetView>
  </sheetViews>
  <sheetFormatPr defaultColWidth="10.28515625" defaultRowHeight="15.75" x14ac:dyDescent="0.25"/>
  <cols>
    <col min="1" max="1" width="3" style="119" customWidth="1"/>
    <col min="2" max="2" width="47.5703125" style="119" customWidth="1"/>
    <col min="3" max="3" width="1.85546875" style="119" customWidth="1"/>
    <col min="4" max="4" width="20.140625" style="107" customWidth="1"/>
    <col min="5" max="5" width="4.140625" style="107" customWidth="1"/>
    <col min="6" max="6" width="21.28515625" style="107" customWidth="1"/>
    <col min="7" max="7" width="5.140625" style="107" customWidth="1"/>
    <col min="8" max="8" width="3" style="107" customWidth="1"/>
    <col min="9" max="9" width="49" style="107" customWidth="1"/>
    <col min="10" max="10" width="1.85546875" style="107" customWidth="1"/>
    <col min="11" max="11" width="21.28515625" style="107" customWidth="1"/>
    <col min="12" max="12" width="4.140625" style="107" customWidth="1"/>
    <col min="13" max="13" width="21.28515625" style="107" customWidth="1"/>
    <col min="14" max="15" width="10.28515625" style="107" customWidth="1"/>
    <col min="16" max="16384" width="10.28515625" style="119"/>
  </cols>
  <sheetData>
    <row r="1" spans="1:15" x14ac:dyDescent="0.25">
      <c r="A1" s="91" t="s">
        <v>189</v>
      </c>
    </row>
    <row r="2" spans="1:15" x14ac:dyDescent="0.25">
      <c r="A2" s="120" t="s">
        <v>82</v>
      </c>
      <c r="B2" s="121"/>
      <c r="C2" s="121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5" s="125" customFormat="1" x14ac:dyDescent="0.25">
      <c r="A3" s="120" t="s">
        <v>335</v>
      </c>
      <c r="B3" s="139"/>
      <c r="C3" s="139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</row>
    <row r="4" spans="1:15" s="125" customFormat="1" x14ac:dyDescent="0.25"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7" spans="1:15" x14ac:dyDescent="0.25">
      <c r="B7" s="119" t="s">
        <v>313</v>
      </c>
      <c r="D7" s="111" t="s">
        <v>300</v>
      </c>
      <c r="F7" s="111" t="s">
        <v>301</v>
      </c>
      <c r="I7" s="107" t="s">
        <v>314</v>
      </c>
      <c r="K7" s="111" t="s">
        <v>300</v>
      </c>
      <c r="M7" s="111" t="s">
        <v>301</v>
      </c>
    </row>
    <row r="9" spans="1:15" x14ac:dyDescent="0.25">
      <c r="A9" s="119" t="s">
        <v>235</v>
      </c>
      <c r="H9" s="107" t="s">
        <v>27</v>
      </c>
    </row>
    <row r="10" spans="1:15" x14ac:dyDescent="0.25">
      <c r="B10" s="119" t="s">
        <v>236</v>
      </c>
      <c r="C10" s="130" t="s">
        <v>198</v>
      </c>
      <c r="D10" s="113">
        <v>3846886807.04</v>
      </c>
      <c r="F10" s="107">
        <v>3712149192.0799999</v>
      </c>
      <c r="I10" s="107" t="s">
        <v>237</v>
      </c>
      <c r="J10" s="114" t="s">
        <v>198</v>
      </c>
      <c r="K10" s="107">
        <v>308139977.56</v>
      </c>
      <c r="M10" s="107">
        <v>308139977.56</v>
      </c>
    </row>
    <row r="11" spans="1:15" x14ac:dyDescent="0.25">
      <c r="B11" s="119" t="s">
        <v>315</v>
      </c>
      <c r="C11" s="130" t="s">
        <v>198</v>
      </c>
      <c r="D11" s="115">
        <v>1789102820.22</v>
      </c>
      <c r="F11" s="116">
        <v>1681813236.54</v>
      </c>
      <c r="I11" s="107" t="s">
        <v>239</v>
      </c>
      <c r="J11" s="114" t="s">
        <v>198</v>
      </c>
      <c r="K11" s="107">
        <v>-321288.87</v>
      </c>
      <c r="M11" s="107">
        <v>-321288.87</v>
      </c>
    </row>
    <row r="12" spans="1:15" x14ac:dyDescent="0.25">
      <c r="C12" s="130" t="s">
        <v>198</v>
      </c>
      <c r="I12" s="107" t="s">
        <v>240</v>
      </c>
      <c r="J12" s="114" t="s">
        <v>198</v>
      </c>
      <c r="K12" s="107">
        <v>15000000</v>
      </c>
      <c r="M12" s="107">
        <v>15000000</v>
      </c>
    </row>
    <row r="13" spans="1:15" x14ac:dyDescent="0.25">
      <c r="B13" s="119" t="s">
        <v>241</v>
      </c>
      <c r="C13" s="130" t="s">
        <v>198</v>
      </c>
      <c r="D13" s="116">
        <v>2057783986.8199999</v>
      </c>
      <c r="F13" s="116">
        <v>2030335955.54</v>
      </c>
      <c r="I13" s="107" t="s">
        <v>242</v>
      </c>
      <c r="J13" s="114" t="s">
        <v>198</v>
      </c>
      <c r="K13" s="107">
        <v>0</v>
      </c>
      <c r="M13" s="107">
        <v>0</v>
      </c>
    </row>
    <row r="14" spans="1:15" x14ac:dyDescent="0.25">
      <c r="I14" s="107" t="s">
        <v>243</v>
      </c>
      <c r="J14" s="114" t="s">
        <v>198</v>
      </c>
      <c r="K14" s="107">
        <v>704216017.33000004</v>
      </c>
      <c r="M14" s="107">
        <v>647299790.10000002</v>
      </c>
    </row>
    <row r="15" spans="1:15" x14ac:dyDescent="0.25">
      <c r="D15" s="108"/>
      <c r="E15" s="108"/>
      <c r="F15" s="108"/>
      <c r="I15" s="107" t="s">
        <v>244</v>
      </c>
      <c r="J15" s="114" t="s">
        <v>198</v>
      </c>
      <c r="K15" s="116">
        <v>14342514</v>
      </c>
      <c r="M15" s="116">
        <v>12085671</v>
      </c>
    </row>
    <row r="16" spans="1:15" x14ac:dyDescent="0.25">
      <c r="J16" s="114"/>
    </row>
    <row r="17" spans="1:13" x14ac:dyDescent="0.25">
      <c r="A17" s="119" t="s">
        <v>316</v>
      </c>
      <c r="C17" s="130" t="s">
        <v>198</v>
      </c>
      <c r="I17" s="107" t="s">
        <v>245</v>
      </c>
      <c r="J17" s="114" t="s">
        <v>198</v>
      </c>
      <c r="K17" s="116">
        <v>1041377220.02</v>
      </c>
      <c r="M17" s="116">
        <v>982204149.78999996</v>
      </c>
    </row>
    <row r="18" spans="1:13" x14ac:dyDescent="0.25">
      <c r="B18" s="119" t="s">
        <v>246</v>
      </c>
      <c r="C18" s="130" t="s">
        <v>198</v>
      </c>
      <c r="D18" s="107">
        <v>250000</v>
      </c>
      <c r="F18" s="107">
        <v>250000</v>
      </c>
      <c r="J18" s="114"/>
    </row>
    <row r="19" spans="1:13" x14ac:dyDescent="0.25">
      <c r="B19" s="119" t="s">
        <v>247</v>
      </c>
      <c r="C19" s="130" t="s">
        <v>198</v>
      </c>
      <c r="D19" s="107">
        <v>895756.74</v>
      </c>
      <c r="F19" s="107">
        <v>896167.14</v>
      </c>
      <c r="I19" s="107" t="s">
        <v>248</v>
      </c>
      <c r="J19" s="114" t="s">
        <v>198</v>
      </c>
      <c r="K19" s="107">
        <v>0</v>
      </c>
      <c r="M19" s="107">
        <v>39726894.579999998</v>
      </c>
    </row>
    <row r="20" spans="1:13" x14ac:dyDescent="0.25">
      <c r="B20" s="119" t="s">
        <v>249</v>
      </c>
      <c r="C20" s="130" t="s">
        <v>198</v>
      </c>
      <c r="D20" s="107">
        <v>15638314</v>
      </c>
      <c r="F20" s="107">
        <v>13381471</v>
      </c>
      <c r="J20" s="114"/>
    </row>
    <row r="21" spans="1:13" x14ac:dyDescent="0.25">
      <c r="B21" s="119" t="s">
        <v>250</v>
      </c>
      <c r="C21" s="130" t="s">
        <v>198</v>
      </c>
      <c r="D21" s="107">
        <v>5597459.0899999999</v>
      </c>
      <c r="F21" s="107">
        <v>5450439.0999999996</v>
      </c>
      <c r="I21" s="117" t="s">
        <v>332</v>
      </c>
      <c r="J21" s="114" t="s">
        <v>198</v>
      </c>
      <c r="K21" s="108">
        <v>325563900</v>
      </c>
      <c r="L21" s="108"/>
      <c r="M21" s="108">
        <v>385030000</v>
      </c>
    </row>
    <row r="22" spans="1:13" x14ac:dyDescent="0.25">
      <c r="B22" s="119" t="s">
        <v>251</v>
      </c>
      <c r="C22" s="130" t="s">
        <v>198</v>
      </c>
      <c r="D22" s="116">
        <v>441354.99</v>
      </c>
      <c r="F22" s="116">
        <v>500214.99</v>
      </c>
      <c r="I22" s="107" t="s">
        <v>318</v>
      </c>
      <c r="J22" s="114" t="s">
        <v>198</v>
      </c>
      <c r="K22" s="108">
        <v>0</v>
      </c>
      <c r="L22" s="108"/>
      <c r="M22" s="108">
        <v>0</v>
      </c>
    </row>
    <row r="23" spans="1:13" x14ac:dyDescent="0.25">
      <c r="C23" s="130"/>
      <c r="D23" s="108"/>
      <c r="F23" s="108"/>
      <c r="I23" s="107" t="s">
        <v>252</v>
      </c>
      <c r="J23" s="114" t="s">
        <v>198</v>
      </c>
      <c r="K23" s="107">
        <v>383000000</v>
      </c>
      <c r="M23" s="107">
        <v>258000000</v>
      </c>
    </row>
    <row r="24" spans="1:13" x14ac:dyDescent="0.25">
      <c r="B24" s="119" t="s">
        <v>253</v>
      </c>
      <c r="C24" s="130" t="s">
        <v>198</v>
      </c>
      <c r="D24" s="116">
        <v>22822884.82</v>
      </c>
      <c r="F24" s="116">
        <v>20478292.23</v>
      </c>
      <c r="I24" s="107" t="s">
        <v>319</v>
      </c>
      <c r="J24" s="114" t="s">
        <v>198</v>
      </c>
      <c r="K24" s="116">
        <v>2040500</v>
      </c>
      <c r="M24" s="116">
        <v>8180817</v>
      </c>
    </row>
    <row r="26" spans="1:13" x14ac:dyDescent="0.25">
      <c r="I26" s="107" t="s">
        <v>320</v>
      </c>
      <c r="J26" s="114" t="s">
        <v>198</v>
      </c>
      <c r="K26" s="108">
        <v>710604400</v>
      </c>
      <c r="M26" s="108">
        <v>651210817</v>
      </c>
    </row>
    <row r="27" spans="1:13" x14ac:dyDescent="0.25">
      <c r="J27" s="114" t="s">
        <v>198</v>
      </c>
      <c r="K27" s="108"/>
      <c r="M27" s="108"/>
    </row>
    <row r="28" spans="1:13" x14ac:dyDescent="0.25">
      <c r="A28" s="119" t="s">
        <v>256</v>
      </c>
      <c r="C28" s="130" t="s">
        <v>198</v>
      </c>
      <c r="I28" s="107" t="s">
        <v>255</v>
      </c>
      <c r="J28" s="114" t="s">
        <v>198</v>
      </c>
      <c r="K28" s="116">
        <v>1751981620.02</v>
      </c>
      <c r="L28" s="108"/>
      <c r="M28" s="116">
        <v>1673141861.3699999</v>
      </c>
    </row>
    <row r="29" spans="1:13" x14ac:dyDescent="0.25">
      <c r="B29" s="119" t="s">
        <v>257</v>
      </c>
      <c r="C29" s="130" t="s">
        <v>198</v>
      </c>
      <c r="D29" s="107">
        <v>6611224.1500000004</v>
      </c>
      <c r="F29" s="107">
        <v>4344012.0999999996</v>
      </c>
    </row>
    <row r="30" spans="1:13" x14ac:dyDescent="0.25">
      <c r="B30" s="119" t="s">
        <v>259</v>
      </c>
      <c r="C30" s="130" t="s">
        <v>198</v>
      </c>
      <c r="D30" s="107">
        <v>21598222.100000001</v>
      </c>
      <c r="F30" s="107">
        <v>142985.07999999999</v>
      </c>
      <c r="H30" s="107" t="s">
        <v>258</v>
      </c>
      <c r="J30" s="114"/>
    </row>
    <row r="31" spans="1:13" x14ac:dyDescent="0.25">
      <c r="B31" s="119" t="s">
        <v>260</v>
      </c>
      <c r="C31" s="130" t="s">
        <v>198</v>
      </c>
      <c r="D31" s="107">
        <v>14.45</v>
      </c>
      <c r="F31" s="107">
        <v>0</v>
      </c>
      <c r="I31" s="107" t="s">
        <v>333</v>
      </c>
      <c r="J31" s="114" t="s">
        <v>198</v>
      </c>
      <c r="K31" s="107">
        <v>0</v>
      </c>
      <c r="M31" s="107">
        <v>0</v>
      </c>
    </row>
    <row r="32" spans="1:13" x14ac:dyDescent="0.25">
      <c r="B32" s="119" t="s">
        <v>262</v>
      </c>
      <c r="C32" s="130" t="s">
        <v>198</v>
      </c>
      <c r="D32" s="107">
        <v>135293520.03</v>
      </c>
      <c r="F32" s="107">
        <v>112674378.45</v>
      </c>
      <c r="I32" s="140" t="s">
        <v>334</v>
      </c>
      <c r="J32" s="114" t="s">
        <v>198</v>
      </c>
      <c r="K32" s="107">
        <v>36000000</v>
      </c>
      <c r="M32" s="107">
        <v>75000000</v>
      </c>
    </row>
    <row r="33" spans="1:13" x14ac:dyDescent="0.25">
      <c r="B33" s="119" t="s">
        <v>322</v>
      </c>
      <c r="C33" s="130" t="s">
        <v>198</v>
      </c>
      <c r="D33" s="107">
        <v>0</v>
      </c>
      <c r="F33" s="107">
        <v>0</v>
      </c>
      <c r="I33" s="117" t="s">
        <v>263</v>
      </c>
      <c r="J33" s="114" t="s">
        <v>198</v>
      </c>
      <c r="K33" s="107">
        <v>0</v>
      </c>
      <c r="M33" s="107">
        <v>0</v>
      </c>
    </row>
    <row r="34" spans="1:13" x14ac:dyDescent="0.25">
      <c r="B34" s="119" t="s">
        <v>323</v>
      </c>
      <c r="C34" s="130" t="s">
        <v>198</v>
      </c>
      <c r="D34" s="107">
        <v>31767470.48</v>
      </c>
      <c r="F34" s="107">
        <v>199702.85</v>
      </c>
      <c r="I34" s="107" t="s">
        <v>264</v>
      </c>
      <c r="J34" s="114" t="s">
        <v>198</v>
      </c>
      <c r="K34" s="107">
        <v>69665000</v>
      </c>
      <c r="M34" s="107">
        <v>34820000</v>
      </c>
    </row>
    <row r="35" spans="1:13" x14ac:dyDescent="0.25">
      <c r="B35" s="119" t="s">
        <v>324</v>
      </c>
      <c r="C35" s="130" t="s">
        <v>198</v>
      </c>
      <c r="I35" s="107" t="s">
        <v>266</v>
      </c>
      <c r="J35" s="114" t="s">
        <v>198</v>
      </c>
      <c r="K35" s="107">
        <v>88618507.579999998</v>
      </c>
      <c r="M35" s="107">
        <v>77885213.629999995</v>
      </c>
    </row>
    <row r="36" spans="1:13" x14ac:dyDescent="0.25">
      <c r="B36" s="119" t="s">
        <v>269</v>
      </c>
      <c r="C36" s="130" t="s">
        <v>198</v>
      </c>
      <c r="D36" s="107">
        <v>55589380.770000003</v>
      </c>
      <c r="F36" s="107">
        <v>52248631.979999997</v>
      </c>
      <c r="I36" s="107" t="s">
        <v>268</v>
      </c>
      <c r="J36" s="114" t="s">
        <v>198</v>
      </c>
      <c r="K36" s="107">
        <v>52553228.450000003</v>
      </c>
      <c r="M36" s="107">
        <v>33033677.899999999</v>
      </c>
    </row>
    <row r="37" spans="1:13" x14ac:dyDescent="0.25">
      <c r="B37" s="119" t="s">
        <v>325</v>
      </c>
      <c r="C37" s="130" t="s">
        <v>198</v>
      </c>
      <c r="D37" s="107">
        <v>24713798.640000001</v>
      </c>
      <c r="F37" s="107">
        <v>22573864.100000001</v>
      </c>
      <c r="I37" s="107" t="s">
        <v>270</v>
      </c>
      <c r="J37" s="114" t="s">
        <v>198</v>
      </c>
      <c r="K37" s="107">
        <v>17326596.219999999</v>
      </c>
      <c r="M37" s="107">
        <v>14998571.640000001</v>
      </c>
    </row>
    <row r="38" spans="1:13" x14ac:dyDescent="0.25">
      <c r="B38" s="119" t="s">
        <v>273</v>
      </c>
      <c r="C38" s="130" t="s">
        <v>198</v>
      </c>
      <c r="D38" s="107">
        <v>6081752.75</v>
      </c>
      <c r="F38" s="107">
        <v>5397803.7300000004</v>
      </c>
      <c r="I38" s="107" t="s">
        <v>272</v>
      </c>
      <c r="J38" s="114" t="s">
        <v>198</v>
      </c>
      <c r="K38" s="107">
        <v>14501541.029999999</v>
      </c>
      <c r="M38" s="107">
        <v>8137951.46</v>
      </c>
    </row>
    <row r="39" spans="1:13" x14ac:dyDescent="0.25">
      <c r="B39" s="119" t="s">
        <v>275</v>
      </c>
      <c r="C39" s="119" t="s">
        <v>198</v>
      </c>
      <c r="D39" s="113">
        <v>1459686.91</v>
      </c>
      <c r="F39" s="107">
        <v>3710299.41</v>
      </c>
      <c r="I39" s="107" t="s">
        <v>274</v>
      </c>
      <c r="J39" s="114" t="s">
        <v>198</v>
      </c>
      <c r="K39" s="107">
        <v>7638970.4299999997</v>
      </c>
      <c r="M39" s="107">
        <v>5788973.3899999997</v>
      </c>
    </row>
    <row r="40" spans="1:13" x14ac:dyDescent="0.25">
      <c r="B40" s="119" t="s">
        <v>277</v>
      </c>
      <c r="C40" s="130" t="s">
        <v>198</v>
      </c>
      <c r="D40" s="107">
        <v>3435902.47</v>
      </c>
      <c r="F40" s="107">
        <v>6199918.8799999999</v>
      </c>
      <c r="I40" s="107" t="s">
        <v>276</v>
      </c>
      <c r="J40" s="114" t="s">
        <v>198</v>
      </c>
      <c r="K40" s="107">
        <v>0</v>
      </c>
      <c r="M40" s="107">
        <v>188000</v>
      </c>
    </row>
    <row r="41" spans="1:13" x14ac:dyDescent="0.25">
      <c r="B41" s="119" t="s">
        <v>326</v>
      </c>
      <c r="C41" s="130" t="s">
        <v>198</v>
      </c>
      <c r="D41" s="116">
        <v>1619258.95</v>
      </c>
      <c r="F41" s="116">
        <v>0</v>
      </c>
      <c r="I41" s="107" t="s">
        <v>327</v>
      </c>
      <c r="J41" s="114" t="s">
        <v>198</v>
      </c>
      <c r="K41" s="116">
        <v>10246265.85</v>
      </c>
      <c r="M41" s="116">
        <v>7692624.3600000003</v>
      </c>
    </row>
    <row r="42" spans="1:13" x14ac:dyDescent="0.25">
      <c r="J42" s="114"/>
    </row>
    <row r="43" spans="1:13" x14ac:dyDescent="0.25">
      <c r="B43" s="119" t="s">
        <v>280</v>
      </c>
      <c r="C43" s="130" t="s">
        <v>198</v>
      </c>
      <c r="D43" s="116">
        <v>288170231.69999999</v>
      </c>
      <c r="F43" s="116">
        <v>207491596.58000001</v>
      </c>
      <c r="I43" s="107" t="s">
        <v>253</v>
      </c>
      <c r="J43" s="114" t="s">
        <v>198</v>
      </c>
      <c r="K43" s="116">
        <v>296550109.56</v>
      </c>
      <c r="M43" s="116">
        <v>257545012.38</v>
      </c>
    </row>
    <row r="44" spans="1:13" x14ac:dyDescent="0.25">
      <c r="J44" s="114"/>
    </row>
    <row r="45" spans="1:13" x14ac:dyDescent="0.25">
      <c r="H45" s="107" t="s">
        <v>281</v>
      </c>
      <c r="J45" s="114"/>
    </row>
    <row r="46" spans="1:13" x14ac:dyDescent="0.25">
      <c r="I46" s="107" t="s">
        <v>282</v>
      </c>
      <c r="J46" s="114" t="s">
        <v>198</v>
      </c>
      <c r="K46" s="113">
        <v>328953646.01999998</v>
      </c>
      <c r="M46" s="107">
        <v>346526480.69999999</v>
      </c>
    </row>
    <row r="47" spans="1:13" x14ac:dyDescent="0.25">
      <c r="A47" s="119" t="s">
        <v>283</v>
      </c>
      <c r="C47" s="130" t="s">
        <v>198</v>
      </c>
      <c r="I47" s="107" t="s">
        <v>284</v>
      </c>
      <c r="J47" s="114" t="s">
        <v>198</v>
      </c>
      <c r="K47" s="113">
        <v>2105647.3199999998</v>
      </c>
      <c r="M47" s="107">
        <v>3805051.32</v>
      </c>
    </row>
    <row r="48" spans="1:13" x14ac:dyDescent="0.25">
      <c r="B48" s="119" t="s">
        <v>285</v>
      </c>
      <c r="C48" s="130" t="s">
        <v>198</v>
      </c>
      <c r="D48" s="107">
        <v>4960110.07</v>
      </c>
      <c r="F48" s="107">
        <v>4732446.8</v>
      </c>
      <c r="I48" s="107" t="s">
        <v>286</v>
      </c>
      <c r="J48" s="114" t="s">
        <v>198</v>
      </c>
      <c r="K48" s="107">
        <v>31624689.09</v>
      </c>
      <c r="M48" s="107">
        <v>46829541.789999999</v>
      </c>
    </row>
    <row r="49" spans="2:13" x14ac:dyDescent="0.25">
      <c r="B49" s="119" t="s">
        <v>287</v>
      </c>
      <c r="C49" s="130" t="s">
        <v>198</v>
      </c>
      <c r="D49" s="107">
        <v>11016396.9</v>
      </c>
      <c r="F49" s="107">
        <v>11369947.699999999</v>
      </c>
      <c r="I49" s="107" t="s">
        <v>288</v>
      </c>
      <c r="J49" s="114" t="s">
        <v>198</v>
      </c>
      <c r="K49" s="113">
        <v>1491635.79</v>
      </c>
      <c r="M49" s="107">
        <v>1611500.49</v>
      </c>
    </row>
    <row r="50" spans="2:13" x14ac:dyDescent="0.25">
      <c r="B50" s="119" t="s">
        <v>282</v>
      </c>
      <c r="C50" s="130" t="s">
        <v>198</v>
      </c>
      <c r="D50" s="107">
        <v>42695366.189999998</v>
      </c>
      <c r="F50" s="107">
        <v>54918233.380000003</v>
      </c>
      <c r="I50" s="107" t="s">
        <v>289</v>
      </c>
      <c r="J50" s="114" t="s">
        <v>198</v>
      </c>
      <c r="K50" s="107">
        <v>26798682.68</v>
      </c>
      <c r="M50" s="107">
        <v>20953440.550000001</v>
      </c>
    </row>
    <row r="51" spans="2:13" x14ac:dyDescent="0.25">
      <c r="B51" s="119" t="s">
        <v>290</v>
      </c>
      <c r="C51" s="130" t="s">
        <v>198</v>
      </c>
      <c r="D51" s="107">
        <v>65063778.740000002</v>
      </c>
      <c r="F51" s="107">
        <v>79971943.170000002</v>
      </c>
      <c r="I51" s="107" t="s">
        <v>291</v>
      </c>
      <c r="J51" s="114" t="s">
        <v>198</v>
      </c>
      <c r="K51" s="107">
        <v>15485636.300000001</v>
      </c>
      <c r="M51" s="107">
        <v>9221484.6799999997</v>
      </c>
    </row>
    <row r="52" spans="2:13" x14ac:dyDescent="0.25">
      <c r="B52" s="119" t="s">
        <v>292</v>
      </c>
      <c r="C52" s="130" t="s">
        <v>198</v>
      </c>
      <c r="D52" s="116">
        <v>64104227.170000002</v>
      </c>
      <c r="F52" s="116">
        <v>37313064.520000003</v>
      </c>
      <c r="I52" s="107" t="s">
        <v>328</v>
      </c>
      <c r="J52" s="114" t="s">
        <v>198</v>
      </c>
      <c r="K52" s="107">
        <v>32020605.629999999</v>
      </c>
      <c r="M52" s="107">
        <v>17821726.260000002</v>
      </c>
    </row>
    <row r="53" spans="2:13" ht="15.75" customHeight="1" x14ac:dyDescent="0.25">
      <c r="C53" s="130" t="s">
        <v>198</v>
      </c>
      <c r="I53" s="107" t="s">
        <v>329</v>
      </c>
      <c r="J53" s="114" t="s">
        <v>198</v>
      </c>
      <c r="K53" s="116">
        <v>69604710</v>
      </c>
      <c r="M53" s="116">
        <v>69155380.379999995</v>
      </c>
    </row>
    <row r="54" spans="2:13" x14ac:dyDescent="0.25">
      <c r="B54" s="119" t="s">
        <v>280</v>
      </c>
      <c r="C54" s="130" t="s">
        <v>198</v>
      </c>
      <c r="D54" s="116">
        <f>SUM(D48:D53)</f>
        <v>187839879.06999999</v>
      </c>
      <c r="F54" s="116">
        <v>188305635.56999999</v>
      </c>
      <c r="J54" s="114"/>
    </row>
    <row r="55" spans="2:13" x14ac:dyDescent="0.25">
      <c r="I55" s="107" t="s">
        <v>295</v>
      </c>
      <c r="J55" s="114" t="s">
        <v>198</v>
      </c>
      <c r="K55" s="116">
        <f>SUM(K46:K54)</f>
        <v>508085252.82999998</v>
      </c>
      <c r="M55" s="116">
        <v>515924606.17000002</v>
      </c>
    </row>
    <row r="57" spans="2:13" ht="16.5" thickBot="1" x14ac:dyDescent="0.3">
      <c r="B57" s="119" t="s">
        <v>296</v>
      </c>
      <c r="C57" s="130" t="s">
        <v>198</v>
      </c>
      <c r="D57" s="118">
        <f>D13+D24+D43+D54</f>
        <v>2556616982.4099998</v>
      </c>
      <c r="F57" s="118">
        <v>2446611479.9200001</v>
      </c>
      <c r="I57" s="107" t="s">
        <v>297</v>
      </c>
      <c r="J57" s="114" t="s">
        <v>198</v>
      </c>
      <c r="K57" s="118">
        <f>K28+K43+K55</f>
        <v>2556616982.4099998</v>
      </c>
      <c r="M57" s="118">
        <v>2446611479.9200001</v>
      </c>
    </row>
    <row r="58" spans="2:13" ht="16.5" thickTop="1" x14ac:dyDescent="0.25"/>
  </sheetData>
  <phoneticPr fontId="58" type="noConversion"/>
  <printOptions horizontalCentered="1"/>
  <pageMargins left="0" right="0" top="0.75" bottom="0.7" header="0" footer="0.55000000000000004"/>
  <pageSetup scale="57" orientation="landscape" horizontalDpi="4294967292" verticalDpi="300" r:id="rId1"/>
  <headerFooter alignWithMargins="0">
    <oddFooter>&amp;C&amp;"Times New Roman,Bold"5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65"/>
  <sheetViews>
    <sheetView showGridLines="0" zoomScale="75" workbookViewId="0">
      <selection activeCell="E11" sqref="E11"/>
    </sheetView>
  </sheetViews>
  <sheetFormatPr defaultColWidth="10.28515625" defaultRowHeight="15.75" customHeight="1" x14ac:dyDescent="0.25"/>
  <cols>
    <col min="1" max="1" width="48.7109375" style="166" customWidth="1"/>
    <col min="2" max="2" width="6.42578125" style="166" customWidth="1"/>
    <col min="3" max="3" width="19" style="107" customWidth="1"/>
    <col min="4" max="4" width="9.85546875" style="107" customWidth="1"/>
    <col min="5" max="5" width="21.5703125" style="107" customWidth="1"/>
    <col min="6" max="6" width="9.85546875" style="107" customWidth="1"/>
    <col min="7" max="7" width="19" style="107" customWidth="1"/>
    <col min="8" max="8" width="6.42578125" style="107" customWidth="1"/>
    <col min="9" max="9" width="14.42578125" style="107" customWidth="1"/>
    <col min="10" max="10" width="10.28515625" style="166" hidden="1" customWidth="1"/>
    <col min="11" max="16384" width="10.28515625" style="166"/>
  </cols>
  <sheetData>
    <row r="1" spans="1:9" ht="15.75" customHeight="1" x14ac:dyDescent="0.25">
      <c r="A1" s="165" t="s">
        <v>189</v>
      </c>
    </row>
    <row r="2" spans="1:9" ht="15.75" customHeight="1" x14ac:dyDescent="0.25">
      <c r="A2" s="167" t="s">
        <v>82</v>
      </c>
      <c r="B2" s="168"/>
      <c r="C2" s="109"/>
      <c r="D2" s="109"/>
      <c r="E2" s="109"/>
      <c r="F2" s="109"/>
      <c r="G2" s="109"/>
      <c r="H2" s="109"/>
      <c r="I2" s="109"/>
    </row>
    <row r="3" spans="1:9" ht="15.75" customHeight="1" x14ac:dyDescent="0.25">
      <c r="A3" s="169" t="s">
        <v>298</v>
      </c>
      <c r="B3" s="168"/>
      <c r="C3" s="109"/>
      <c r="D3" s="109"/>
      <c r="E3" s="109"/>
      <c r="F3" s="109"/>
      <c r="G3" s="109"/>
      <c r="H3" s="109"/>
      <c r="I3" s="109"/>
    </row>
    <row r="4" spans="1:9" s="172" customFormat="1" ht="15.75" customHeight="1" x14ac:dyDescent="0.25">
      <c r="A4" s="170" t="str">
        <f>'[24]1'!A3</f>
        <v>DECEMBER 31, 2004</v>
      </c>
      <c r="B4" s="171"/>
      <c r="C4" s="93"/>
      <c r="D4" s="93"/>
      <c r="E4" s="93"/>
      <c r="F4" s="93"/>
      <c r="G4" s="93"/>
      <c r="H4" s="93"/>
      <c r="I4" s="93"/>
    </row>
    <row r="5" spans="1:9" ht="15.75" customHeight="1" x14ac:dyDescent="0.25">
      <c r="A5" s="173"/>
    </row>
    <row r="7" spans="1:9" ht="15.75" customHeight="1" x14ac:dyDescent="0.25">
      <c r="A7" s="174"/>
      <c r="C7" s="128" t="s">
        <v>299</v>
      </c>
      <c r="D7" s="128"/>
      <c r="E7" s="128"/>
      <c r="F7" s="128"/>
      <c r="G7" s="128"/>
      <c r="H7" s="128"/>
      <c r="I7" s="128"/>
    </row>
    <row r="9" spans="1:9" ht="15.75" customHeight="1" x14ac:dyDescent="0.25">
      <c r="C9" s="129" t="s">
        <v>300</v>
      </c>
      <c r="D9" s="129"/>
      <c r="E9" s="129" t="s">
        <v>301</v>
      </c>
      <c r="F9" s="129"/>
      <c r="G9" s="109" t="s">
        <v>302</v>
      </c>
      <c r="H9" s="109"/>
      <c r="I9" s="109"/>
    </row>
    <row r="10" spans="1:9" ht="15.75" customHeight="1" x14ac:dyDescent="0.25">
      <c r="C10" s="111" t="s">
        <v>303</v>
      </c>
      <c r="D10" s="129"/>
      <c r="E10" s="111" t="s">
        <v>303</v>
      </c>
      <c r="F10" s="129"/>
      <c r="G10" s="111" t="s">
        <v>303</v>
      </c>
      <c r="H10" s="129"/>
      <c r="I10" s="111" t="s">
        <v>196</v>
      </c>
    </row>
    <row r="12" spans="1:9" ht="15.75" customHeight="1" x14ac:dyDescent="0.25">
      <c r="A12" s="166" t="s">
        <v>197</v>
      </c>
      <c r="B12" s="175" t="s">
        <v>198</v>
      </c>
      <c r="C12" s="107">
        <v>990611603.57000005</v>
      </c>
      <c r="E12" s="107">
        <v>900312631.13999999</v>
      </c>
      <c r="G12" s="107">
        <f>C12-E12</f>
        <v>90298972.430000067</v>
      </c>
      <c r="I12" s="134">
        <f>ROUND(G12/E12*100,4)</f>
        <v>10.0297</v>
      </c>
    </row>
    <row r="13" spans="1:9" ht="15.75" customHeight="1" x14ac:dyDescent="0.25">
      <c r="A13" s="166" t="s">
        <v>199</v>
      </c>
      <c r="B13" s="175" t="s">
        <v>198</v>
      </c>
      <c r="C13" s="116">
        <v>4750713.6399999997</v>
      </c>
      <c r="E13" s="116">
        <v>-8534280.4900000002</v>
      </c>
      <c r="G13" s="116">
        <f>C13-E13</f>
        <v>13284994.129999999</v>
      </c>
      <c r="I13" s="132">
        <f>ROUND(G13/E13*100,4)</f>
        <v>-155.6662</v>
      </c>
    </row>
    <row r="14" spans="1:9" ht="15.75" customHeight="1" x14ac:dyDescent="0.25">
      <c r="B14" s="175" t="s">
        <v>198</v>
      </c>
      <c r="I14" s="133"/>
    </row>
    <row r="15" spans="1:9" ht="15.75" customHeight="1" x14ac:dyDescent="0.25">
      <c r="A15" s="166" t="s">
        <v>200</v>
      </c>
      <c r="B15" s="175" t="s">
        <v>198</v>
      </c>
      <c r="C15" s="116">
        <f>C12+C13</f>
        <v>995362317.21000004</v>
      </c>
      <c r="E15" s="116">
        <v>891778350.64999998</v>
      </c>
      <c r="G15" s="116">
        <f>C15-E15</f>
        <v>103583966.56000006</v>
      </c>
      <c r="I15" s="131">
        <f>ROUND(G15/E15*100,4)</f>
        <v>11.615399999999999</v>
      </c>
    </row>
    <row r="16" spans="1:9" ht="15.75" customHeight="1" x14ac:dyDescent="0.25">
      <c r="B16" s="175" t="s">
        <v>198</v>
      </c>
      <c r="I16" s="133"/>
    </row>
    <row r="17" spans="1:18" ht="15.75" customHeight="1" x14ac:dyDescent="0.25">
      <c r="A17" s="166" t="s">
        <v>304</v>
      </c>
      <c r="B17" s="175"/>
      <c r="I17" s="133"/>
    </row>
    <row r="18" spans="1:18" ht="15.75" customHeight="1" x14ac:dyDescent="0.25">
      <c r="A18" s="166" t="s">
        <v>201</v>
      </c>
      <c r="B18" s="175" t="s">
        <v>198</v>
      </c>
      <c r="C18" s="107">
        <v>292046234.60000002</v>
      </c>
      <c r="E18" s="107">
        <v>265934737.87</v>
      </c>
      <c r="G18" s="107">
        <f t="shared" ref="G18:G24" si="0">C18-E18</f>
        <v>26111496.730000019</v>
      </c>
      <c r="I18" s="134">
        <f>ROUND(G18/E18*100,4)</f>
        <v>9.8187999999999995</v>
      </c>
    </row>
    <row r="19" spans="1:18" ht="15.75" customHeight="1" x14ac:dyDescent="0.25">
      <c r="A19" s="166" t="s">
        <v>202</v>
      </c>
      <c r="B19" s="175" t="s">
        <v>198</v>
      </c>
      <c r="C19" s="107">
        <v>144232055.66</v>
      </c>
      <c r="E19" s="107">
        <v>140062568.11000001</v>
      </c>
      <c r="G19" s="107">
        <f t="shared" si="0"/>
        <v>4169487.5499999821</v>
      </c>
      <c r="I19" s="134">
        <f>ROUND(G19/E19*100,4)</f>
        <v>2.9769000000000001</v>
      </c>
    </row>
    <row r="20" spans="1:18" ht="15.75" customHeight="1" x14ac:dyDescent="0.25">
      <c r="A20" s="166" t="s">
        <v>203</v>
      </c>
      <c r="B20" s="175" t="s">
        <v>198</v>
      </c>
      <c r="C20" s="107">
        <v>145482795.21000001</v>
      </c>
      <c r="E20" s="107">
        <v>145892627.83000001</v>
      </c>
      <c r="G20" s="107">
        <f t="shared" si="0"/>
        <v>-409832.62000000477</v>
      </c>
      <c r="I20" s="134">
        <f>ROUND(G20/E20*100,4)</f>
        <v>-0.28089999999999998</v>
      </c>
    </row>
    <row r="21" spans="1:18" ht="15.75" customHeight="1" x14ac:dyDescent="0.25">
      <c r="A21" s="166" t="s">
        <v>204</v>
      </c>
      <c r="B21" s="175" t="s">
        <v>198</v>
      </c>
      <c r="C21" s="107">
        <v>60891725.68</v>
      </c>
      <c r="E21" s="107">
        <v>60270511.43</v>
      </c>
      <c r="G21" s="107">
        <f t="shared" si="0"/>
        <v>621214.25</v>
      </c>
      <c r="I21" s="134">
        <f>ROUND(G21/E21*100,4)</f>
        <v>1.0306999999999999</v>
      </c>
    </row>
    <row r="22" spans="1:18" ht="15.75" customHeight="1" x14ac:dyDescent="0.25">
      <c r="A22" s="166" t="s">
        <v>205</v>
      </c>
      <c r="B22" s="175" t="s">
        <v>198</v>
      </c>
      <c r="C22" s="107">
        <v>102621186.70999999</v>
      </c>
      <c r="E22" s="107">
        <v>97239877.159999996</v>
      </c>
      <c r="G22" s="107">
        <f t="shared" si="0"/>
        <v>5381309.549999997</v>
      </c>
      <c r="I22" s="134">
        <f>ROUND(G22/E22*100,4)</f>
        <v>5.5340999999999996</v>
      </c>
    </row>
    <row r="23" spans="1:18" ht="15.75" customHeight="1" x14ac:dyDescent="0.25">
      <c r="A23" s="166" t="s">
        <v>206</v>
      </c>
      <c r="B23" s="175" t="s">
        <v>198</v>
      </c>
      <c r="C23" s="107">
        <v>6250772.0700000003</v>
      </c>
      <c r="E23" s="107">
        <v>4740498.2699999996</v>
      </c>
      <c r="G23" s="107">
        <f t="shared" si="0"/>
        <v>1510273.8000000007</v>
      </c>
      <c r="I23" s="134">
        <f>IF((G23/E23*100)&gt;1000,0,ROUND(G23/E23*100,4))</f>
        <v>31.859000000000002</v>
      </c>
    </row>
    <row r="24" spans="1:18" ht="15.75" customHeight="1" x14ac:dyDescent="0.25">
      <c r="A24" s="166" t="s">
        <v>207</v>
      </c>
      <c r="B24" s="175" t="s">
        <v>198</v>
      </c>
      <c r="C24" s="107">
        <v>-1521074.04</v>
      </c>
      <c r="E24" s="107">
        <v>-11322694.51</v>
      </c>
      <c r="G24" s="107">
        <f t="shared" si="0"/>
        <v>9801620.4699999988</v>
      </c>
      <c r="I24" s="134">
        <f>IF((G24/E24*100)&gt;1000,0,ROUND(G24/E24*100,4))</f>
        <v>-86.566100000000006</v>
      </c>
    </row>
    <row r="25" spans="1:18" ht="15.75" customHeight="1" x14ac:dyDescent="0.25">
      <c r="A25" s="166" t="s">
        <v>208</v>
      </c>
      <c r="B25" s="175" t="s">
        <v>198</v>
      </c>
      <c r="I25" s="134"/>
    </row>
    <row r="26" spans="1:18" ht="15.75" customHeight="1" x14ac:dyDescent="0.25">
      <c r="A26" s="166" t="s">
        <v>209</v>
      </c>
      <c r="B26" s="175" t="s">
        <v>198</v>
      </c>
      <c r="C26" s="107">
        <v>39821303.280000001</v>
      </c>
      <c r="E26" s="107">
        <v>31082439.699999999</v>
      </c>
      <c r="G26" s="107">
        <f t="shared" ref="G26:G35" si="1">C26-E26</f>
        <v>8738863.5800000019</v>
      </c>
      <c r="I26" s="134">
        <f t="shared" ref="I26:I31" si="2">IF(C26-E26=C26,0,ROUND(G26/E26*100,4))</f>
        <v>28.115100000000002</v>
      </c>
    </row>
    <row r="27" spans="1:18" ht="15.75" customHeight="1" x14ac:dyDescent="0.25">
      <c r="A27" s="166" t="s">
        <v>210</v>
      </c>
      <c r="B27" s="175" t="s">
        <v>198</v>
      </c>
      <c r="C27" s="107">
        <v>17834658.059999999</v>
      </c>
      <c r="E27" s="107">
        <v>11457237.57</v>
      </c>
      <c r="G27" s="107">
        <f t="shared" si="1"/>
        <v>6377420.4899999984</v>
      </c>
      <c r="I27" s="134">
        <f t="shared" si="2"/>
        <v>55.662799999999997</v>
      </c>
    </row>
    <row r="28" spans="1:18" ht="15.75" customHeight="1" x14ac:dyDescent="0.25">
      <c r="A28" s="166" t="s">
        <v>211</v>
      </c>
      <c r="B28" s="175" t="s">
        <v>198</v>
      </c>
      <c r="C28" s="107">
        <v>21942201.41</v>
      </c>
      <c r="E28" s="107">
        <v>14385149.52</v>
      </c>
      <c r="G28" s="107">
        <f t="shared" si="1"/>
        <v>7557051.8900000006</v>
      </c>
      <c r="I28" s="134">
        <f t="shared" si="2"/>
        <v>52.533700000000003</v>
      </c>
    </row>
    <row r="29" spans="1:18" ht="15.75" customHeight="1" x14ac:dyDescent="0.25">
      <c r="A29" s="166" t="s">
        <v>212</v>
      </c>
      <c r="B29" s="175" t="s">
        <v>198</v>
      </c>
      <c r="C29" s="107">
        <v>-468877.67</v>
      </c>
      <c r="E29" s="107">
        <v>1742010.6</v>
      </c>
      <c r="G29" s="107">
        <f t="shared" si="1"/>
        <v>-2210888.27</v>
      </c>
      <c r="I29" s="134">
        <f t="shared" si="2"/>
        <v>-126.91589999999999</v>
      </c>
    </row>
    <row r="30" spans="1:18" ht="15.75" customHeight="1" x14ac:dyDescent="0.25">
      <c r="A30" s="166" t="s">
        <v>305</v>
      </c>
      <c r="B30" s="175" t="s">
        <v>198</v>
      </c>
      <c r="C30" s="107">
        <v>0</v>
      </c>
      <c r="E30" s="107">
        <v>0</v>
      </c>
      <c r="G30" s="107">
        <f t="shared" si="1"/>
        <v>0</v>
      </c>
      <c r="I30" s="134">
        <f t="shared" si="2"/>
        <v>0</v>
      </c>
    </row>
    <row r="31" spans="1:18" ht="15.75" customHeight="1" x14ac:dyDescent="0.25">
      <c r="A31" s="166" t="s">
        <v>306</v>
      </c>
      <c r="B31" s="175" t="s">
        <v>198</v>
      </c>
      <c r="C31" s="107">
        <v>0</v>
      </c>
      <c r="E31" s="107">
        <v>0</v>
      </c>
      <c r="G31" s="107">
        <f t="shared" si="1"/>
        <v>0</v>
      </c>
      <c r="I31" s="134">
        <f t="shared" si="2"/>
        <v>0</v>
      </c>
      <c r="J31" s="176"/>
      <c r="K31" s="176"/>
      <c r="L31" s="176"/>
      <c r="M31" s="176"/>
      <c r="N31" s="176"/>
      <c r="O31" s="176"/>
      <c r="P31" s="176"/>
      <c r="Q31" s="176"/>
      <c r="R31" s="176"/>
    </row>
    <row r="32" spans="1:18" ht="15.75" customHeight="1" x14ac:dyDescent="0.25">
      <c r="A32" s="166" t="s">
        <v>213</v>
      </c>
      <c r="B32" s="175" t="s">
        <v>198</v>
      </c>
      <c r="C32" s="107">
        <v>16653320.07</v>
      </c>
      <c r="E32" s="107">
        <v>15888439.800000001</v>
      </c>
      <c r="F32" s="108"/>
      <c r="G32" s="108">
        <f t="shared" si="1"/>
        <v>764880.26999999955</v>
      </c>
      <c r="H32" s="108"/>
      <c r="I32" s="134">
        <f>ROUND(G32/E32*100,4)</f>
        <v>4.8140999999999998</v>
      </c>
      <c r="J32" s="176"/>
      <c r="K32" s="176"/>
      <c r="L32" s="176"/>
      <c r="M32" s="176"/>
      <c r="N32" s="176"/>
      <c r="O32" s="176"/>
      <c r="P32" s="176"/>
      <c r="Q32" s="176"/>
      <c r="R32" s="176"/>
    </row>
    <row r="33" spans="1:10" ht="15.75" hidden="1" customHeight="1" x14ac:dyDescent="0.25">
      <c r="A33" s="166" t="s">
        <v>336</v>
      </c>
      <c r="B33" s="175" t="s">
        <v>198</v>
      </c>
      <c r="C33" s="107">
        <v>0</v>
      </c>
      <c r="E33" s="107">
        <v>0</v>
      </c>
      <c r="G33" s="107">
        <f t="shared" si="1"/>
        <v>0</v>
      </c>
      <c r="I33" s="134">
        <v>0</v>
      </c>
      <c r="J33" s="166" t="s">
        <v>330</v>
      </c>
    </row>
    <row r="34" spans="1:10" ht="15.75" customHeight="1" x14ac:dyDescent="0.25">
      <c r="A34" s="166" t="s">
        <v>216</v>
      </c>
      <c r="B34" s="175" t="s">
        <v>198</v>
      </c>
      <c r="C34" s="108">
        <v>-444234.89</v>
      </c>
      <c r="D34" s="108"/>
      <c r="E34" s="108">
        <v>-286165.87</v>
      </c>
      <c r="F34" s="108"/>
      <c r="G34" s="108">
        <f t="shared" si="1"/>
        <v>-158069.02000000002</v>
      </c>
      <c r="H34" s="108"/>
      <c r="I34" s="134">
        <f>ROUND(G34/E34*100,4)</f>
        <v>55.236899999999999</v>
      </c>
    </row>
    <row r="35" spans="1:10" ht="15.75" customHeight="1" x14ac:dyDescent="0.25">
      <c r="A35" s="166" t="s">
        <v>217</v>
      </c>
      <c r="B35" s="175" t="s">
        <v>198</v>
      </c>
      <c r="C35" s="116">
        <v>1302024</v>
      </c>
      <c r="D35" s="108"/>
      <c r="E35" s="116">
        <v>1221311.5</v>
      </c>
      <c r="F35" s="108"/>
      <c r="G35" s="116">
        <f t="shared" si="1"/>
        <v>80712.5</v>
      </c>
      <c r="H35" s="108"/>
      <c r="I35" s="131">
        <f>ROUND(G35/E35*100,4)</f>
        <v>6.6086999999999998</v>
      </c>
    </row>
    <row r="36" spans="1:10" ht="15.75" customHeight="1" x14ac:dyDescent="0.25">
      <c r="B36" s="175" t="s">
        <v>198</v>
      </c>
      <c r="I36" s="133"/>
    </row>
    <row r="37" spans="1:10" ht="15.75" customHeight="1" x14ac:dyDescent="0.25">
      <c r="A37" s="166" t="s">
        <v>218</v>
      </c>
      <c r="B37" s="175" t="s">
        <v>198</v>
      </c>
      <c r="C37" s="116">
        <f>SUM(C18:C35)</f>
        <v>846644090.1500001</v>
      </c>
      <c r="E37" s="116">
        <v>778308549.98000002</v>
      </c>
      <c r="G37" s="116">
        <f>C37-E37</f>
        <v>68335540.170000076</v>
      </c>
      <c r="I37" s="131">
        <f>ROUND(G37/E37*100,4)</f>
        <v>8.7799999999999994</v>
      </c>
    </row>
    <row r="38" spans="1:10" ht="15.75" customHeight="1" x14ac:dyDescent="0.25">
      <c r="B38" s="175" t="s">
        <v>198</v>
      </c>
      <c r="I38" s="133"/>
    </row>
    <row r="39" spans="1:10" ht="15.75" customHeight="1" x14ac:dyDescent="0.25">
      <c r="A39" s="166" t="s">
        <v>219</v>
      </c>
      <c r="B39" s="175" t="s">
        <v>198</v>
      </c>
      <c r="C39" s="113">
        <v>148718227.06</v>
      </c>
      <c r="E39" s="107">
        <v>113469801.67</v>
      </c>
      <c r="G39" s="107">
        <f>C39-E39</f>
        <v>35248425.390000001</v>
      </c>
      <c r="I39" s="134">
        <f>ROUND(G39/E39*100,4)</f>
        <v>31.0641</v>
      </c>
    </row>
    <row r="40" spans="1:10" ht="15.75" customHeight="1" x14ac:dyDescent="0.25">
      <c r="A40" s="166" t="s">
        <v>220</v>
      </c>
      <c r="B40" s="175" t="s">
        <v>198</v>
      </c>
      <c r="I40" s="136"/>
    </row>
    <row r="41" spans="1:10" ht="15.75" customHeight="1" x14ac:dyDescent="0.25">
      <c r="A41" s="166" t="s">
        <v>337</v>
      </c>
      <c r="B41" s="175" t="s">
        <v>198</v>
      </c>
      <c r="C41" s="107">
        <v>602550.73</v>
      </c>
      <c r="E41" s="107">
        <v>689671.83</v>
      </c>
      <c r="G41" s="107">
        <f>C41-E41</f>
        <v>-87121.099999999977</v>
      </c>
      <c r="I41" s="134">
        <f>ROUND(G41/E41*100,4)</f>
        <v>-12.632300000000001</v>
      </c>
    </row>
    <row r="42" spans="1:10" ht="15.75" customHeight="1" x14ac:dyDescent="0.25">
      <c r="A42" s="166" t="s">
        <v>221</v>
      </c>
      <c r="B42" s="175" t="s">
        <v>198</v>
      </c>
      <c r="C42" s="107">
        <v>8516800.5800000001</v>
      </c>
      <c r="E42" s="107">
        <v>7370026.4800000004</v>
      </c>
      <c r="G42" s="107">
        <f>C42-E42</f>
        <v>1146774.0999999996</v>
      </c>
      <c r="I42" s="134">
        <f>ROUND(G42/E42*100,4)</f>
        <v>15.56</v>
      </c>
    </row>
    <row r="43" spans="1:10" ht="15.75" customHeight="1" x14ac:dyDescent="0.25">
      <c r="A43" s="166" t="s">
        <v>222</v>
      </c>
      <c r="B43" s="175" t="s">
        <v>198</v>
      </c>
      <c r="C43" s="116">
        <v>1135466.22</v>
      </c>
      <c r="E43" s="116">
        <v>1037111.47</v>
      </c>
      <c r="G43" s="116">
        <f>C43-E43</f>
        <v>98354.75</v>
      </c>
      <c r="I43" s="131">
        <f>ROUND(G43/E43*100,4)</f>
        <v>9.4834999999999994</v>
      </c>
    </row>
    <row r="44" spans="1:10" ht="15.75" customHeight="1" x14ac:dyDescent="0.25">
      <c r="B44" s="175" t="s">
        <v>198</v>
      </c>
      <c r="I44" s="133"/>
    </row>
    <row r="45" spans="1:10" ht="15.75" customHeight="1" x14ac:dyDescent="0.25">
      <c r="A45" s="166" t="s">
        <v>223</v>
      </c>
      <c r="B45" s="175" t="s">
        <v>198</v>
      </c>
      <c r="C45" s="116">
        <v>10254817.529999999</v>
      </c>
      <c r="E45" s="116">
        <v>9096809.7799999993</v>
      </c>
      <c r="G45" s="116">
        <f>C45-E45</f>
        <v>1158007.75</v>
      </c>
      <c r="I45" s="131">
        <f>ROUND(G45/E45*100,4)</f>
        <v>12.729799999999999</v>
      </c>
    </row>
    <row r="46" spans="1:10" ht="15.75" customHeight="1" x14ac:dyDescent="0.25">
      <c r="B46" s="175" t="s">
        <v>198</v>
      </c>
      <c r="I46" s="133"/>
    </row>
    <row r="47" spans="1:10" ht="15.75" customHeight="1" x14ac:dyDescent="0.25">
      <c r="A47" s="166" t="s">
        <v>224</v>
      </c>
      <c r="B47" s="175" t="s">
        <v>198</v>
      </c>
      <c r="C47" s="116">
        <v>158973044.59</v>
      </c>
      <c r="E47" s="116">
        <v>122566611.45</v>
      </c>
      <c r="G47" s="116">
        <f>C47-E47</f>
        <v>36406433.140000001</v>
      </c>
      <c r="I47" s="131">
        <f>ROUND(G47/E47*100,4)</f>
        <v>29.703399999999998</v>
      </c>
    </row>
    <row r="48" spans="1:10" ht="15.75" customHeight="1" x14ac:dyDescent="0.25">
      <c r="B48" s="175" t="s">
        <v>198</v>
      </c>
      <c r="I48" s="133"/>
    </row>
    <row r="49" spans="1:11" ht="15.75" customHeight="1" x14ac:dyDescent="0.25">
      <c r="A49" s="166" t="s">
        <v>308</v>
      </c>
      <c r="B49" s="175" t="s">
        <v>198</v>
      </c>
      <c r="C49" s="107">
        <v>21573894.350000001</v>
      </c>
      <c r="E49" s="107">
        <v>20035785.34</v>
      </c>
      <c r="G49" s="107">
        <f>C49-E49</f>
        <v>1538109.0100000016</v>
      </c>
      <c r="I49" s="134">
        <f>ROUND(G49/E49*100,4)</f>
        <v>7.6768000000000001</v>
      </c>
    </row>
    <row r="50" spans="1:11" ht="15.75" customHeight="1" x14ac:dyDescent="0.25">
      <c r="A50" s="166" t="s">
        <v>226</v>
      </c>
      <c r="B50" s="175" t="s">
        <v>198</v>
      </c>
      <c r="C50" s="107">
        <v>1014415.91</v>
      </c>
      <c r="E50" s="107">
        <v>1097851.19</v>
      </c>
      <c r="G50" s="107">
        <f>C50-E50</f>
        <v>-83435.279999999912</v>
      </c>
      <c r="I50" s="134">
        <f>ROUND(G50/E50*100,4)</f>
        <v>-7.5998999999999999</v>
      </c>
    </row>
    <row r="51" spans="1:11" ht="15.75" customHeight="1" x14ac:dyDescent="0.25">
      <c r="A51" s="166" t="s">
        <v>227</v>
      </c>
      <c r="B51" s="175" t="s">
        <v>198</v>
      </c>
      <c r="C51" s="107">
        <v>3139510.06</v>
      </c>
      <c r="E51" s="107">
        <v>4554251.0999999996</v>
      </c>
      <c r="G51" s="107">
        <f>C51-E51</f>
        <v>-1414741.0399999996</v>
      </c>
      <c r="I51" s="134">
        <f>ROUND(G51/E51*100,4)</f>
        <v>-31.0642</v>
      </c>
      <c r="J51" s="176"/>
      <c r="K51" s="176"/>
    </row>
    <row r="52" spans="1:11" ht="15.75" customHeight="1" x14ac:dyDescent="0.25">
      <c r="A52" s="166" t="s">
        <v>228</v>
      </c>
      <c r="B52" s="175" t="s">
        <v>198</v>
      </c>
      <c r="C52" s="116">
        <v>-226256.96</v>
      </c>
      <c r="E52" s="116">
        <v>-449783.96</v>
      </c>
      <c r="G52" s="116">
        <f>C52-E52</f>
        <v>223527.00000000003</v>
      </c>
      <c r="I52" s="131">
        <f>ROUND(G52/E52*100,4)</f>
        <v>-49.6965</v>
      </c>
    </row>
    <row r="53" spans="1:11" ht="15.75" customHeight="1" x14ac:dyDescent="0.25">
      <c r="B53" s="175" t="s">
        <v>198</v>
      </c>
      <c r="I53" s="133"/>
    </row>
    <row r="54" spans="1:11" ht="15.75" customHeight="1" x14ac:dyDescent="0.25">
      <c r="A54" s="166" t="s">
        <v>229</v>
      </c>
      <c r="B54" s="175" t="s">
        <v>198</v>
      </c>
      <c r="C54" s="116">
        <v>25501563.359999999</v>
      </c>
      <c r="E54" s="116">
        <v>25238103.670000002</v>
      </c>
      <c r="G54" s="116">
        <f>C54-E54</f>
        <v>263459.68999999762</v>
      </c>
      <c r="I54" s="131">
        <f>ROUND(G54/E54*100,4)</f>
        <v>1.0439000000000001</v>
      </c>
    </row>
    <row r="55" spans="1:11" ht="15.75" customHeight="1" x14ac:dyDescent="0.25">
      <c r="B55" s="175" t="s">
        <v>198</v>
      </c>
      <c r="I55" s="137"/>
    </row>
    <row r="56" spans="1:11" ht="15.75" customHeight="1" x14ac:dyDescent="0.25">
      <c r="A56" s="166" t="s">
        <v>230</v>
      </c>
      <c r="B56" s="175" t="s">
        <v>198</v>
      </c>
      <c r="C56" s="108">
        <v>133471481.23</v>
      </c>
      <c r="D56" s="108"/>
      <c r="E56" s="108">
        <v>97328507.780000001</v>
      </c>
      <c r="F56" s="108"/>
      <c r="G56" s="107">
        <f>C56-E56</f>
        <v>36142973.450000003</v>
      </c>
      <c r="H56" s="108"/>
      <c r="I56" s="134">
        <f>ROUND(G56/E56*100,4)</f>
        <v>37.134999999999998</v>
      </c>
    </row>
    <row r="57" spans="1:11" ht="15.75" customHeight="1" x14ac:dyDescent="0.25">
      <c r="B57" s="175" t="s">
        <v>198</v>
      </c>
      <c r="I57" s="133"/>
    </row>
    <row r="58" spans="1:11" ht="15.75" customHeight="1" x14ac:dyDescent="0.25">
      <c r="A58" s="166" t="s">
        <v>231</v>
      </c>
      <c r="B58" s="175" t="s">
        <v>198</v>
      </c>
      <c r="C58" s="116">
        <v>0</v>
      </c>
      <c r="D58" s="108"/>
      <c r="E58" s="116">
        <v>5919827</v>
      </c>
      <c r="F58" s="108"/>
      <c r="G58" s="116">
        <f>C58-E58</f>
        <v>-5919827</v>
      </c>
      <c r="H58" s="108"/>
      <c r="I58" s="131">
        <f>ROUND(G58/E58*100,4)</f>
        <v>-100</v>
      </c>
    </row>
    <row r="59" spans="1:11" ht="15.75" customHeight="1" x14ac:dyDescent="0.25">
      <c r="B59" s="175"/>
      <c r="I59" s="133"/>
    </row>
    <row r="60" spans="1:11" ht="15.75" customHeight="1" x14ac:dyDescent="0.25">
      <c r="A60" s="166" t="s">
        <v>309</v>
      </c>
      <c r="B60" s="175" t="s">
        <v>198</v>
      </c>
      <c r="C60" s="107">
        <v>133471481.23</v>
      </c>
      <c r="E60" s="107">
        <v>91408680.780000001</v>
      </c>
      <c r="G60" s="107">
        <f>C60-E60</f>
        <v>42062800.450000003</v>
      </c>
      <c r="I60" s="134">
        <f>ROUND(G60/E60*100,4)</f>
        <v>46.016199999999998</v>
      </c>
    </row>
    <row r="61" spans="1:11" ht="15.75" customHeight="1" x14ac:dyDescent="0.25">
      <c r="B61" s="175"/>
      <c r="I61" s="133"/>
    </row>
    <row r="62" spans="1:11" ht="15.75" customHeight="1" x14ac:dyDescent="0.25">
      <c r="A62" s="166" t="s">
        <v>310</v>
      </c>
      <c r="B62" s="175" t="s">
        <v>198</v>
      </c>
      <c r="C62" s="116">
        <v>2256006.35</v>
      </c>
      <c r="E62" s="116">
        <v>2256006.5699999998</v>
      </c>
      <c r="G62" s="116">
        <f>C62-E62</f>
        <v>-0.21999999973922968</v>
      </c>
      <c r="I62" s="131">
        <v>0</v>
      </c>
      <c r="J62" s="166" t="s">
        <v>330</v>
      </c>
    </row>
    <row r="63" spans="1:11" ht="15.75" customHeight="1" x14ac:dyDescent="0.25">
      <c r="B63" s="175" t="s">
        <v>198</v>
      </c>
      <c r="I63" s="133"/>
    </row>
    <row r="64" spans="1:11" ht="15.75" customHeight="1" thickBot="1" x14ac:dyDescent="0.3">
      <c r="A64" s="166" t="s">
        <v>311</v>
      </c>
      <c r="B64" s="175" t="s">
        <v>198</v>
      </c>
      <c r="C64" s="118">
        <f>C60-C62</f>
        <v>131215474.88000001</v>
      </c>
      <c r="E64" s="118">
        <v>89152674.209999993</v>
      </c>
      <c r="G64" s="118">
        <f>C64-E64</f>
        <v>42062800.670000017</v>
      </c>
      <c r="I64" s="138">
        <f>ROUND(G64/E64*100,4)</f>
        <v>47.180599999999998</v>
      </c>
    </row>
    <row r="65" ht="15.75" customHeight="1" thickTop="1" x14ac:dyDescent="0.25"/>
  </sheetData>
  <phoneticPr fontId="58" type="noConversion"/>
  <printOptions horizontalCentered="1"/>
  <pageMargins left="0" right="0" top="0.5" bottom="0.4" header="0" footer="0.28000000000000003"/>
  <pageSetup scale="57" orientation="landscape" horizontalDpi="4294967292" verticalDpi="300" r:id="rId1"/>
  <headerFooter alignWithMargins="0">
    <oddFooter>&amp;C&amp;"Times New Roman,Bold"3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58"/>
  <sheetViews>
    <sheetView showGridLines="0" zoomScale="75" workbookViewId="0">
      <selection activeCell="E11" sqref="E11"/>
    </sheetView>
  </sheetViews>
  <sheetFormatPr defaultColWidth="10.28515625" defaultRowHeight="15.75" x14ac:dyDescent="0.25"/>
  <cols>
    <col min="1" max="1" width="3" style="119" customWidth="1"/>
    <col min="2" max="2" width="47.5703125" style="119" customWidth="1"/>
    <col min="3" max="3" width="1.85546875" style="119" customWidth="1"/>
    <col min="4" max="4" width="20.140625" style="107" customWidth="1"/>
    <col min="5" max="5" width="4.140625" style="107" customWidth="1"/>
    <col min="6" max="6" width="21.28515625" style="107" customWidth="1"/>
    <col min="7" max="7" width="5.140625" style="107" customWidth="1"/>
    <col min="8" max="8" width="3" style="107" customWidth="1"/>
    <col min="9" max="9" width="49" style="107" customWidth="1"/>
    <col min="10" max="10" width="1.85546875" style="107" customWidth="1"/>
    <col min="11" max="11" width="21.28515625" style="107" customWidth="1"/>
    <col min="12" max="12" width="4.140625" style="107" customWidth="1"/>
    <col min="13" max="13" width="21.28515625" style="107" customWidth="1"/>
    <col min="14" max="15" width="10.28515625" style="107" customWidth="1"/>
    <col min="16" max="16384" width="10.28515625" style="119"/>
  </cols>
  <sheetData>
    <row r="1" spans="1:15" x14ac:dyDescent="0.25">
      <c r="A1" s="91" t="s">
        <v>189</v>
      </c>
    </row>
    <row r="2" spans="1:15" x14ac:dyDescent="0.25">
      <c r="A2" s="120" t="s">
        <v>82</v>
      </c>
      <c r="B2" s="121"/>
      <c r="C2" s="121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5" s="125" customFormat="1" x14ac:dyDescent="0.25">
      <c r="A3" s="120" t="s">
        <v>338</v>
      </c>
      <c r="B3" s="139"/>
      <c r="C3" s="139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</row>
    <row r="4" spans="1:15" s="125" customFormat="1" x14ac:dyDescent="0.25"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7" spans="1:15" x14ac:dyDescent="0.25">
      <c r="B7" s="119" t="s">
        <v>313</v>
      </c>
      <c r="D7" s="111" t="s">
        <v>300</v>
      </c>
      <c r="F7" s="111" t="s">
        <v>301</v>
      </c>
      <c r="I7" s="107" t="s">
        <v>314</v>
      </c>
      <c r="K7" s="111" t="s">
        <v>300</v>
      </c>
      <c r="M7" s="111" t="s">
        <v>301</v>
      </c>
    </row>
    <row r="9" spans="1:15" x14ac:dyDescent="0.25">
      <c r="A9" s="119" t="s">
        <v>235</v>
      </c>
      <c r="H9" s="107" t="s">
        <v>27</v>
      </c>
    </row>
    <row r="10" spans="1:15" x14ac:dyDescent="0.25">
      <c r="B10" s="119" t="s">
        <v>236</v>
      </c>
      <c r="C10" s="130" t="s">
        <v>198</v>
      </c>
      <c r="D10" s="113">
        <v>3712149192.0799999</v>
      </c>
      <c r="F10" s="107">
        <v>3596656510.6700001</v>
      </c>
      <c r="I10" s="107" t="s">
        <v>237</v>
      </c>
      <c r="J10" s="114" t="s">
        <v>198</v>
      </c>
      <c r="K10" s="107">
        <v>308139977.56</v>
      </c>
      <c r="M10" s="107">
        <v>308139977.56</v>
      </c>
    </row>
    <row r="11" spans="1:15" x14ac:dyDescent="0.25">
      <c r="B11" s="119" t="s">
        <v>315</v>
      </c>
      <c r="C11" s="130" t="s">
        <v>198</v>
      </c>
      <c r="D11" s="115">
        <v>1681813236.54</v>
      </c>
      <c r="F11" s="116">
        <v>1616996905.23</v>
      </c>
      <c r="I11" s="107" t="s">
        <v>239</v>
      </c>
      <c r="J11" s="114" t="s">
        <v>198</v>
      </c>
      <c r="K11" s="107">
        <v>-321288.87</v>
      </c>
      <c r="M11" s="107">
        <v>-321288.87</v>
      </c>
    </row>
    <row r="12" spans="1:15" x14ac:dyDescent="0.25">
      <c r="C12" s="130" t="s">
        <v>198</v>
      </c>
      <c r="I12" s="107" t="s">
        <v>240</v>
      </c>
      <c r="J12" s="114" t="s">
        <v>198</v>
      </c>
      <c r="K12" s="107">
        <v>15000000</v>
      </c>
      <c r="M12" s="107">
        <v>15000000</v>
      </c>
    </row>
    <row r="13" spans="1:15" x14ac:dyDescent="0.25">
      <c r="B13" s="119" t="s">
        <v>241</v>
      </c>
      <c r="C13" s="130" t="s">
        <v>198</v>
      </c>
      <c r="D13" s="116">
        <v>2030335955.54</v>
      </c>
      <c r="F13" s="116">
        <v>1979659605.4400001</v>
      </c>
      <c r="I13" s="107" t="s">
        <v>242</v>
      </c>
      <c r="J13" s="114" t="s">
        <v>198</v>
      </c>
      <c r="K13" s="107">
        <v>0</v>
      </c>
      <c r="M13" s="107">
        <v>-6030985.7999999998</v>
      </c>
    </row>
    <row r="14" spans="1:15" x14ac:dyDescent="0.25">
      <c r="I14" s="107" t="s">
        <v>243</v>
      </c>
      <c r="J14" s="114" t="s">
        <v>198</v>
      </c>
      <c r="K14" s="107">
        <v>647299790.10000002</v>
      </c>
      <c r="M14" s="107">
        <v>581633929.76999998</v>
      </c>
    </row>
    <row r="15" spans="1:15" x14ac:dyDescent="0.25">
      <c r="D15" s="108"/>
      <c r="E15" s="108"/>
      <c r="F15" s="108"/>
      <c r="I15" s="107" t="s">
        <v>244</v>
      </c>
      <c r="J15" s="114" t="s">
        <v>198</v>
      </c>
      <c r="K15" s="116">
        <v>12085671</v>
      </c>
      <c r="M15" s="116">
        <v>9526459</v>
      </c>
    </row>
    <row r="16" spans="1:15" x14ac:dyDescent="0.25">
      <c r="A16" s="119" t="s">
        <v>316</v>
      </c>
      <c r="C16" s="119" t="s">
        <v>198</v>
      </c>
      <c r="J16" s="114"/>
    </row>
    <row r="17" spans="1:13" x14ac:dyDescent="0.25">
      <c r="B17" s="119" t="s">
        <v>247</v>
      </c>
      <c r="C17" s="130" t="s">
        <v>198</v>
      </c>
      <c r="D17" s="107">
        <v>896167.14</v>
      </c>
      <c r="F17" s="107">
        <v>896577.54</v>
      </c>
      <c r="I17" s="107" t="s">
        <v>245</v>
      </c>
      <c r="J17" s="114" t="s">
        <v>198</v>
      </c>
      <c r="K17" s="116">
        <f>SUM(K10:K15)</f>
        <v>982204149.78999996</v>
      </c>
      <c r="M17" s="116">
        <v>907948091.65999997</v>
      </c>
    </row>
    <row r="18" spans="1:13" x14ac:dyDescent="0.25">
      <c r="B18" s="119" t="s">
        <v>249</v>
      </c>
      <c r="C18" s="130" t="s">
        <v>198</v>
      </c>
      <c r="D18" s="107">
        <v>13381471</v>
      </c>
      <c r="F18" s="107">
        <v>10822259</v>
      </c>
      <c r="J18" s="114"/>
    </row>
    <row r="19" spans="1:13" x14ac:dyDescent="0.25">
      <c r="B19" s="119" t="s">
        <v>339</v>
      </c>
      <c r="C19" s="130" t="s">
        <v>198</v>
      </c>
      <c r="D19" s="107">
        <v>0</v>
      </c>
      <c r="F19" s="107">
        <v>3000000</v>
      </c>
      <c r="I19" s="107" t="s">
        <v>248</v>
      </c>
      <c r="J19" s="114" t="s">
        <v>198</v>
      </c>
      <c r="K19" s="107">
        <v>39726894.579999998</v>
      </c>
      <c r="M19" s="107">
        <v>39726894.579999998</v>
      </c>
    </row>
    <row r="20" spans="1:13" x14ac:dyDescent="0.25">
      <c r="B20" s="119" t="s">
        <v>246</v>
      </c>
      <c r="C20" s="130" t="s">
        <v>198</v>
      </c>
      <c r="D20" s="107">
        <v>250000</v>
      </c>
      <c r="F20" s="107">
        <v>250000</v>
      </c>
      <c r="J20" s="114"/>
    </row>
    <row r="21" spans="1:13" x14ac:dyDescent="0.25">
      <c r="B21" s="119" t="s">
        <v>251</v>
      </c>
      <c r="C21" s="130" t="s">
        <v>198</v>
      </c>
      <c r="D21" s="107">
        <v>500214.99</v>
      </c>
      <c r="F21" s="107">
        <v>543562.16</v>
      </c>
      <c r="I21" s="117" t="s">
        <v>332</v>
      </c>
      <c r="J21" s="114" t="s">
        <v>198</v>
      </c>
      <c r="K21" s="108">
        <v>385030000</v>
      </c>
      <c r="L21" s="108"/>
      <c r="M21" s="108">
        <v>389830000</v>
      </c>
    </row>
    <row r="22" spans="1:13" x14ac:dyDescent="0.25">
      <c r="B22" s="119" t="s">
        <v>250</v>
      </c>
      <c r="C22" s="130" t="s">
        <v>198</v>
      </c>
      <c r="D22" s="116">
        <v>5450439.0999999996</v>
      </c>
      <c r="F22" s="116">
        <v>5349941.97</v>
      </c>
      <c r="I22" s="107" t="s">
        <v>318</v>
      </c>
      <c r="J22" s="114" t="s">
        <v>198</v>
      </c>
      <c r="K22" s="108">
        <v>0</v>
      </c>
      <c r="L22" s="108"/>
      <c r="M22" s="108">
        <v>0</v>
      </c>
    </row>
    <row r="23" spans="1:13" x14ac:dyDescent="0.25">
      <c r="C23" s="130"/>
      <c r="D23" s="108"/>
      <c r="F23" s="108"/>
      <c r="I23" s="107" t="s">
        <v>252</v>
      </c>
      <c r="J23" s="114" t="s">
        <v>198</v>
      </c>
      <c r="K23" s="107">
        <v>258000000</v>
      </c>
      <c r="M23" s="107">
        <v>283000000</v>
      </c>
    </row>
    <row r="24" spans="1:13" x14ac:dyDescent="0.25">
      <c r="B24" s="119" t="s">
        <v>253</v>
      </c>
      <c r="C24" s="130" t="s">
        <v>198</v>
      </c>
      <c r="D24" s="116">
        <f>SUM(D17:D22)</f>
        <v>20478292.23</v>
      </c>
      <c r="F24" s="116">
        <f>SUM(F17:F22)</f>
        <v>20862340.669999998</v>
      </c>
      <c r="I24" s="107" t="s">
        <v>319</v>
      </c>
      <c r="J24" s="114" t="s">
        <v>198</v>
      </c>
      <c r="K24" s="116">
        <v>8180817</v>
      </c>
      <c r="M24" s="116">
        <v>14745889</v>
      </c>
    </row>
    <row r="25" spans="1:13" x14ac:dyDescent="0.25">
      <c r="C25" s="119" t="s">
        <v>198</v>
      </c>
    </row>
    <row r="26" spans="1:13" x14ac:dyDescent="0.25">
      <c r="I26" s="107" t="s">
        <v>320</v>
      </c>
      <c r="J26" s="114" t="s">
        <v>198</v>
      </c>
      <c r="K26" s="108">
        <f>SUM(K21:K24)</f>
        <v>651210817</v>
      </c>
      <c r="M26" s="108">
        <v>687575889</v>
      </c>
    </row>
    <row r="27" spans="1:13" x14ac:dyDescent="0.25">
      <c r="J27" s="114" t="s">
        <v>198</v>
      </c>
      <c r="K27" s="108"/>
      <c r="M27" s="108"/>
    </row>
    <row r="28" spans="1:13" x14ac:dyDescent="0.25">
      <c r="A28" s="119" t="s">
        <v>256</v>
      </c>
      <c r="C28" s="130" t="s">
        <v>198</v>
      </c>
      <c r="I28" s="107" t="s">
        <v>255</v>
      </c>
      <c r="J28" s="114" t="s">
        <v>198</v>
      </c>
      <c r="K28" s="116">
        <f>K17+K19+K26</f>
        <v>1673141861.3699999</v>
      </c>
      <c r="L28" s="108"/>
      <c r="M28" s="116">
        <v>1635250875.24</v>
      </c>
    </row>
    <row r="29" spans="1:13" x14ac:dyDescent="0.25">
      <c r="B29" s="119" t="s">
        <v>257</v>
      </c>
      <c r="C29" s="130" t="s">
        <v>198</v>
      </c>
      <c r="D29" s="107">
        <v>4344012.0999999996</v>
      </c>
      <c r="F29" s="107">
        <v>4727537.72</v>
      </c>
    </row>
    <row r="30" spans="1:13" x14ac:dyDescent="0.25">
      <c r="B30" s="119" t="s">
        <v>259</v>
      </c>
      <c r="C30" s="130" t="s">
        <v>198</v>
      </c>
      <c r="D30" s="107">
        <v>142985.07999999999</v>
      </c>
      <c r="F30" s="107">
        <v>141887.98000000001</v>
      </c>
      <c r="H30" s="107" t="s">
        <v>258</v>
      </c>
      <c r="J30" s="114"/>
    </row>
    <row r="31" spans="1:13" x14ac:dyDescent="0.25">
      <c r="B31" s="119" t="s">
        <v>262</v>
      </c>
      <c r="C31" s="130" t="s">
        <v>198</v>
      </c>
      <c r="D31" s="107">
        <v>112674378.45</v>
      </c>
      <c r="F31" s="107">
        <v>24974460.77</v>
      </c>
      <c r="I31" s="107" t="s">
        <v>333</v>
      </c>
      <c r="J31" s="114" t="s">
        <v>198</v>
      </c>
      <c r="K31" s="107">
        <v>0</v>
      </c>
      <c r="M31" s="107">
        <v>0</v>
      </c>
    </row>
    <row r="32" spans="1:13" x14ac:dyDescent="0.25">
      <c r="B32" s="119" t="s">
        <v>322</v>
      </c>
      <c r="C32" s="130" t="s">
        <v>198</v>
      </c>
      <c r="D32" s="107">
        <v>0</v>
      </c>
      <c r="F32" s="107">
        <v>0</v>
      </c>
      <c r="I32" s="140" t="s">
        <v>334</v>
      </c>
      <c r="J32" s="114" t="s">
        <v>198</v>
      </c>
      <c r="K32" s="107">
        <v>75000000</v>
      </c>
      <c r="M32" s="107">
        <v>0</v>
      </c>
    </row>
    <row r="33" spans="1:13" x14ac:dyDescent="0.25">
      <c r="B33" s="119" t="s">
        <v>340</v>
      </c>
      <c r="C33" s="130" t="s">
        <v>198</v>
      </c>
      <c r="D33" s="107">
        <v>0</v>
      </c>
      <c r="F33" s="107">
        <v>21298453</v>
      </c>
      <c r="I33" s="117" t="s">
        <v>263</v>
      </c>
      <c r="J33" s="114" t="s">
        <v>198</v>
      </c>
      <c r="K33" s="107">
        <v>0</v>
      </c>
      <c r="M33" s="107">
        <v>0</v>
      </c>
    </row>
    <row r="34" spans="1:13" x14ac:dyDescent="0.25">
      <c r="B34" s="119" t="s">
        <v>323</v>
      </c>
      <c r="C34" s="130" t="s">
        <v>198</v>
      </c>
      <c r="D34" s="107">
        <v>199702.85</v>
      </c>
      <c r="F34" s="107">
        <v>0</v>
      </c>
      <c r="I34" s="107" t="s">
        <v>264</v>
      </c>
      <c r="J34" s="114" t="s">
        <v>198</v>
      </c>
      <c r="K34" s="107">
        <v>34820000</v>
      </c>
      <c r="M34" s="107">
        <v>43230541.950000003</v>
      </c>
    </row>
    <row r="35" spans="1:13" x14ac:dyDescent="0.25">
      <c r="B35" s="119" t="s">
        <v>324</v>
      </c>
      <c r="C35" s="130" t="s">
        <v>198</v>
      </c>
      <c r="I35" s="107" t="s">
        <v>266</v>
      </c>
      <c r="J35" s="114" t="s">
        <v>198</v>
      </c>
      <c r="K35" s="107">
        <v>77885213.629999995</v>
      </c>
      <c r="M35" s="107">
        <v>69946839.769999996</v>
      </c>
    </row>
    <row r="36" spans="1:13" x14ac:dyDescent="0.25">
      <c r="B36" s="119" t="s">
        <v>269</v>
      </c>
      <c r="C36" s="130" t="s">
        <v>198</v>
      </c>
      <c r="D36" s="107">
        <v>52248631.979999997</v>
      </c>
      <c r="F36" s="107">
        <v>45538384.939999998</v>
      </c>
      <c r="I36" s="107" t="s">
        <v>268</v>
      </c>
      <c r="J36" s="114" t="s">
        <v>198</v>
      </c>
      <c r="K36" s="107">
        <v>33033677.899999999</v>
      </c>
      <c r="M36" s="107">
        <v>26426650.140000001</v>
      </c>
    </row>
    <row r="37" spans="1:13" x14ac:dyDescent="0.25">
      <c r="B37" s="119" t="s">
        <v>325</v>
      </c>
      <c r="C37" s="130" t="s">
        <v>198</v>
      </c>
      <c r="D37" s="107">
        <v>22573864.100000001</v>
      </c>
      <c r="F37" s="107">
        <v>22127209.170000002</v>
      </c>
      <c r="I37" s="107" t="s">
        <v>270</v>
      </c>
      <c r="J37" s="114" t="s">
        <v>198</v>
      </c>
      <c r="K37" s="107">
        <v>14998571.640000001</v>
      </c>
      <c r="M37" s="107">
        <v>13453033.35</v>
      </c>
    </row>
    <row r="38" spans="1:13" x14ac:dyDescent="0.25">
      <c r="B38" s="119" t="s">
        <v>273</v>
      </c>
      <c r="C38" s="130" t="s">
        <v>198</v>
      </c>
      <c r="D38" s="107">
        <v>5397803.7300000004</v>
      </c>
      <c r="F38" s="107">
        <v>4966337.8899999997</v>
      </c>
      <c r="I38" s="107" t="s">
        <v>272</v>
      </c>
      <c r="J38" s="114" t="s">
        <v>198</v>
      </c>
      <c r="K38" s="107">
        <v>8137951.46</v>
      </c>
      <c r="M38" s="107">
        <v>8802145.4700000007</v>
      </c>
    </row>
    <row r="39" spans="1:13" x14ac:dyDescent="0.25">
      <c r="B39" s="119" t="s">
        <v>275</v>
      </c>
      <c r="C39" s="119" t="s">
        <v>198</v>
      </c>
      <c r="D39" s="113">
        <v>3710299.41</v>
      </c>
      <c r="F39" s="107">
        <v>8244261.5099999998</v>
      </c>
      <c r="I39" s="107" t="s">
        <v>274</v>
      </c>
      <c r="J39" s="114" t="s">
        <v>198</v>
      </c>
      <c r="K39" s="107">
        <v>5788973.3899999997</v>
      </c>
      <c r="M39" s="107">
        <v>4477984.38</v>
      </c>
    </row>
    <row r="40" spans="1:13" x14ac:dyDescent="0.25">
      <c r="B40" s="119" t="s">
        <v>277</v>
      </c>
      <c r="C40" s="130" t="s">
        <v>198</v>
      </c>
      <c r="D40" s="107">
        <v>6199918.8799999999</v>
      </c>
      <c r="F40" s="107">
        <v>4208390.59</v>
      </c>
      <c r="I40" s="107" t="s">
        <v>276</v>
      </c>
      <c r="J40" s="114" t="s">
        <v>198</v>
      </c>
      <c r="K40" s="107">
        <v>188000</v>
      </c>
      <c r="M40" s="107">
        <v>188000</v>
      </c>
    </row>
    <row r="41" spans="1:13" x14ac:dyDescent="0.25">
      <c r="B41" s="119" t="s">
        <v>326</v>
      </c>
      <c r="C41" s="130" t="s">
        <v>198</v>
      </c>
      <c r="D41" s="116">
        <v>0</v>
      </c>
      <c r="F41" s="116">
        <v>646963.31999999995</v>
      </c>
      <c r="I41" s="107" t="s">
        <v>327</v>
      </c>
      <c r="J41" s="114" t="s">
        <v>198</v>
      </c>
      <c r="K41" s="116">
        <v>7692624.3600000003</v>
      </c>
      <c r="M41" s="116">
        <v>6988146.4299999997</v>
      </c>
    </row>
    <row r="42" spans="1:13" x14ac:dyDescent="0.25">
      <c r="J42" s="114"/>
    </row>
    <row r="43" spans="1:13" x14ac:dyDescent="0.25">
      <c r="B43" s="119" t="s">
        <v>280</v>
      </c>
      <c r="C43" s="130" t="s">
        <v>198</v>
      </c>
      <c r="D43" s="116">
        <f>SUM(D29:D41)</f>
        <v>207491596.57999995</v>
      </c>
      <c r="F43" s="116">
        <v>136873886.88999999</v>
      </c>
      <c r="I43" s="107" t="s">
        <v>253</v>
      </c>
      <c r="J43" s="114" t="s">
        <v>198</v>
      </c>
      <c r="K43" s="116">
        <f>SUM(K31:K41)</f>
        <v>257545012.38000003</v>
      </c>
      <c r="M43" s="116">
        <v>173513341.49000001</v>
      </c>
    </row>
    <row r="44" spans="1:13" x14ac:dyDescent="0.25">
      <c r="J44" s="114"/>
    </row>
    <row r="45" spans="1:13" x14ac:dyDescent="0.25">
      <c r="H45" s="107" t="s">
        <v>281</v>
      </c>
      <c r="J45" s="114"/>
    </row>
    <row r="46" spans="1:13" x14ac:dyDescent="0.25">
      <c r="I46" s="107" t="s">
        <v>282</v>
      </c>
      <c r="J46" s="114" t="s">
        <v>198</v>
      </c>
      <c r="K46" s="113">
        <v>346526480.69999999</v>
      </c>
      <c r="M46" s="107">
        <v>327854612.12</v>
      </c>
    </row>
    <row r="47" spans="1:13" x14ac:dyDescent="0.25">
      <c r="A47" s="119" t="s">
        <v>283</v>
      </c>
      <c r="C47" s="130" t="s">
        <v>198</v>
      </c>
      <c r="I47" s="107" t="s">
        <v>284</v>
      </c>
      <c r="J47" s="114" t="s">
        <v>198</v>
      </c>
      <c r="K47" s="113">
        <v>3805051.32</v>
      </c>
      <c r="M47" s="107">
        <v>5858899</v>
      </c>
    </row>
    <row r="48" spans="1:13" x14ac:dyDescent="0.25">
      <c r="B48" s="119" t="s">
        <v>285</v>
      </c>
      <c r="C48" s="130" t="s">
        <v>198</v>
      </c>
      <c r="D48" s="107">
        <v>4732446.8</v>
      </c>
      <c r="F48" s="107">
        <v>4481389.96</v>
      </c>
      <c r="I48" s="107" t="s">
        <v>286</v>
      </c>
      <c r="J48" s="114" t="s">
        <v>198</v>
      </c>
      <c r="K48" s="107">
        <v>46829541.789999999</v>
      </c>
      <c r="M48" s="107">
        <v>51322786.719999999</v>
      </c>
    </row>
    <row r="49" spans="2:13" x14ac:dyDescent="0.25">
      <c r="B49" s="119" t="s">
        <v>287</v>
      </c>
      <c r="C49" s="130" t="s">
        <v>198</v>
      </c>
      <c r="D49" s="107">
        <v>11369947.699999999</v>
      </c>
      <c r="F49" s="107">
        <v>10510908.09</v>
      </c>
      <c r="I49" s="107" t="s">
        <v>288</v>
      </c>
      <c r="J49" s="114" t="s">
        <v>198</v>
      </c>
      <c r="K49" s="113">
        <v>1611500.49</v>
      </c>
      <c r="M49" s="107">
        <v>1564386.76</v>
      </c>
    </row>
    <row r="50" spans="2:13" x14ac:dyDescent="0.25">
      <c r="B50" s="119" t="s">
        <v>282</v>
      </c>
      <c r="C50" s="130" t="s">
        <v>198</v>
      </c>
      <c r="D50" s="107">
        <v>54918233.380000003</v>
      </c>
      <c r="F50" s="107">
        <v>66596286.18</v>
      </c>
      <c r="I50" s="107" t="s">
        <v>289</v>
      </c>
      <c r="J50" s="114" t="s">
        <v>198</v>
      </c>
      <c r="K50" s="107">
        <v>20953440.550000001</v>
      </c>
      <c r="M50" s="107">
        <v>19697911.5</v>
      </c>
    </row>
    <row r="51" spans="2:13" x14ac:dyDescent="0.25">
      <c r="B51" s="119" t="s">
        <v>290</v>
      </c>
      <c r="C51" s="130" t="s">
        <v>198</v>
      </c>
      <c r="D51" s="107">
        <v>79971943.170000002</v>
      </c>
      <c r="F51" s="107">
        <v>64318373.579999998</v>
      </c>
      <c r="I51" s="107" t="s">
        <v>291</v>
      </c>
      <c r="J51" s="114" t="s">
        <v>198</v>
      </c>
      <c r="K51" s="107">
        <v>9221484.6799999997</v>
      </c>
      <c r="M51" s="107">
        <v>11074521.4</v>
      </c>
    </row>
    <row r="52" spans="2:13" x14ac:dyDescent="0.25">
      <c r="B52" s="119" t="s">
        <v>292</v>
      </c>
      <c r="C52" s="130" t="s">
        <v>198</v>
      </c>
      <c r="D52" s="116">
        <v>37313064.520000003</v>
      </c>
      <c r="F52" s="116">
        <v>55112445.200000003</v>
      </c>
      <c r="I52" s="107" t="s">
        <v>328</v>
      </c>
      <c r="J52" s="114" t="s">
        <v>198</v>
      </c>
      <c r="K52" s="107">
        <v>17821726.260000002</v>
      </c>
      <c r="M52" s="107">
        <v>48137513.079999998</v>
      </c>
    </row>
    <row r="53" spans="2:13" ht="15.75" customHeight="1" x14ac:dyDescent="0.25">
      <c r="C53" s="130" t="s">
        <v>198</v>
      </c>
      <c r="I53" s="107" t="s">
        <v>329</v>
      </c>
      <c r="J53" s="114" t="s">
        <v>198</v>
      </c>
      <c r="K53" s="116">
        <v>69155380.379999995</v>
      </c>
      <c r="M53" s="116">
        <v>64140388.700000003</v>
      </c>
    </row>
    <row r="54" spans="2:13" x14ac:dyDescent="0.25">
      <c r="B54" s="119" t="s">
        <v>280</v>
      </c>
      <c r="C54" s="130" t="s">
        <v>198</v>
      </c>
      <c r="D54" s="116">
        <f>SUM(D48:D52)</f>
        <v>188305635.57000002</v>
      </c>
      <c r="F54" s="116">
        <v>201019403.00999999</v>
      </c>
      <c r="J54" s="114"/>
    </row>
    <row r="55" spans="2:13" x14ac:dyDescent="0.25">
      <c r="I55" s="107" t="s">
        <v>295</v>
      </c>
      <c r="J55" s="114" t="s">
        <v>198</v>
      </c>
      <c r="K55" s="116">
        <v>515924606.17000002</v>
      </c>
      <c r="M55" s="116">
        <v>529651019.27999997</v>
      </c>
    </row>
    <row r="57" spans="2:13" ht="16.5" thickBot="1" x14ac:dyDescent="0.3">
      <c r="B57" s="119" t="s">
        <v>296</v>
      </c>
      <c r="C57" s="130" t="s">
        <v>198</v>
      </c>
      <c r="D57" s="118">
        <f>D13+D24+D43+D54</f>
        <v>2446611479.9200001</v>
      </c>
      <c r="F57" s="118">
        <v>2338415236.0100002</v>
      </c>
      <c r="I57" s="107" t="s">
        <v>297</v>
      </c>
      <c r="J57" s="114" t="s">
        <v>198</v>
      </c>
      <c r="K57" s="118">
        <f>K28+K43+K55</f>
        <v>2446611479.9200001</v>
      </c>
      <c r="M57" s="118">
        <v>2338415236.0100002</v>
      </c>
    </row>
    <row r="58" spans="2:13" ht="16.5" thickTop="1" x14ac:dyDescent="0.25"/>
  </sheetData>
  <phoneticPr fontId="58" type="noConversion"/>
  <printOptions horizontalCentered="1"/>
  <pageMargins left="0" right="0" top="0.75" bottom="0.7" header="0" footer="0.55000000000000004"/>
  <pageSetup scale="57" orientation="landscape" horizontalDpi="4294967292" verticalDpi="300" r:id="rId1"/>
  <headerFooter alignWithMargins="0">
    <oddFooter>&amp;C&amp;"Times New Roman,Bold"5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2"/>
  <sheetViews>
    <sheetView zoomScale="65" workbookViewId="0">
      <selection activeCell="E11" sqref="E11"/>
    </sheetView>
  </sheetViews>
  <sheetFormatPr defaultColWidth="9.7109375" defaultRowHeight="15" x14ac:dyDescent="0.2"/>
  <cols>
    <col min="1" max="1" width="11.42578125" style="179" customWidth="1"/>
    <col min="2" max="2" width="9.7109375" style="179"/>
    <col min="3" max="3" width="2.7109375" style="179" customWidth="1"/>
    <col min="4" max="4" width="41.5703125" style="179" customWidth="1"/>
    <col min="5" max="5" width="13.7109375" style="179" customWidth="1"/>
    <col min="6" max="6" width="1.7109375" style="179" customWidth="1"/>
    <col min="7" max="7" width="10.7109375" style="179" customWidth="1"/>
    <col min="8" max="8" width="1.7109375" style="179" customWidth="1"/>
    <col min="9" max="9" width="16.7109375" style="179" customWidth="1"/>
    <col min="10" max="10" width="2.140625" style="179" customWidth="1"/>
    <col min="11" max="11" width="16.5703125" style="179" customWidth="1"/>
    <col min="12" max="12" width="3.140625" style="179" customWidth="1"/>
    <col min="13" max="13" width="14.7109375" style="179" customWidth="1"/>
    <col min="14" max="14" width="3.7109375" style="179" customWidth="1"/>
    <col min="15" max="15" width="10.7109375" style="179" customWidth="1"/>
    <col min="16" max="16" width="1.7109375" style="179" customWidth="1"/>
    <col min="17" max="17" width="15.85546875" style="179" customWidth="1"/>
    <col min="18" max="18" width="3.7109375" style="179" customWidth="1"/>
    <col min="19" max="19" width="15.7109375" style="179" customWidth="1"/>
    <col min="20" max="20" width="1.7109375" style="179" customWidth="1"/>
    <col min="21" max="21" width="2.7109375" style="179" customWidth="1"/>
    <col min="22" max="22" width="11.85546875" style="179" customWidth="1"/>
    <col min="23" max="23" width="4.7109375" style="179" customWidth="1"/>
    <col min="24" max="16384" width="9.7109375" style="179"/>
  </cols>
  <sheetData>
    <row r="1" spans="4:23" ht="15.75" x14ac:dyDescent="0.25">
      <c r="D1" s="177" t="s">
        <v>82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4:23" ht="15.75" x14ac:dyDescent="0.25">
      <c r="D2" s="177" t="s">
        <v>341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4:23" ht="18" x14ac:dyDescent="0.25">
      <c r="D3" s="180">
        <v>39568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</row>
    <row r="4" spans="4:23" x14ac:dyDescent="0.2">
      <c r="D4" s="181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</row>
    <row r="5" spans="4:23" x14ac:dyDescent="0.2"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</row>
    <row r="6" spans="4:23" ht="20.25" x14ac:dyDescent="0.3">
      <c r="D6" s="182" t="s">
        <v>342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4"/>
    </row>
    <row r="7" spans="4:23" ht="20.25" x14ac:dyDescent="0.3"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7"/>
    </row>
    <row r="8" spans="4:23" x14ac:dyDescent="0.2">
      <c r="D8" s="188"/>
      <c r="E8" s="189"/>
      <c r="F8" s="189"/>
      <c r="G8" s="189"/>
      <c r="H8" s="189"/>
      <c r="I8" s="189"/>
      <c r="J8" s="189"/>
      <c r="K8" s="190" t="s">
        <v>343</v>
      </c>
      <c r="L8" s="190"/>
      <c r="M8" s="190"/>
      <c r="N8" s="190"/>
      <c r="O8" s="190"/>
      <c r="P8" s="190"/>
      <c r="Q8" s="190"/>
      <c r="R8" s="190"/>
      <c r="S8" s="190"/>
      <c r="T8" s="189"/>
      <c r="U8" s="189"/>
      <c r="V8" s="191"/>
      <c r="W8" s="187"/>
    </row>
    <row r="9" spans="4:23" x14ac:dyDescent="0.2">
      <c r="D9" s="188"/>
      <c r="E9" s="189"/>
      <c r="F9" s="189"/>
      <c r="G9" s="189"/>
      <c r="H9" s="189"/>
      <c r="I9" s="189"/>
      <c r="J9" s="189"/>
      <c r="K9" s="189"/>
      <c r="L9" s="189"/>
      <c r="M9" s="189" t="s">
        <v>344</v>
      </c>
      <c r="N9" s="189"/>
      <c r="O9" s="189"/>
      <c r="P9" s="189"/>
      <c r="Q9" s="191" t="s">
        <v>345</v>
      </c>
      <c r="R9" s="189"/>
      <c r="S9" s="189"/>
      <c r="T9" s="189"/>
      <c r="U9" s="189"/>
      <c r="V9" s="191" t="s">
        <v>346</v>
      </c>
      <c r="W9" s="192"/>
    </row>
    <row r="10" spans="4:23" x14ac:dyDescent="0.2">
      <c r="D10" s="188"/>
      <c r="E10" s="193" t="s">
        <v>347</v>
      </c>
      <c r="F10" s="191"/>
      <c r="G10" s="193" t="s">
        <v>36</v>
      </c>
      <c r="H10" s="191"/>
      <c r="I10" s="193" t="s">
        <v>348</v>
      </c>
      <c r="J10" s="191"/>
      <c r="K10" s="193" t="s">
        <v>349</v>
      </c>
      <c r="L10" s="189"/>
      <c r="M10" s="193" t="s">
        <v>350</v>
      </c>
      <c r="N10" s="189"/>
      <c r="O10" s="193" t="s">
        <v>351</v>
      </c>
      <c r="P10" s="189"/>
      <c r="Q10" s="193" t="s">
        <v>352</v>
      </c>
      <c r="R10" s="189"/>
      <c r="S10" s="193" t="s">
        <v>16</v>
      </c>
      <c r="T10" s="189"/>
      <c r="U10" s="189"/>
      <c r="V10" s="193" t="s">
        <v>353</v>
      </c>
      <c r="W10" s="192"/>
    </row>
    <row r="11" spans="4:23" x14ac:dyDescent="0.2">
      <c r="D11" s="188"/>
      <c r="E11" s="194"/>
      <c r="F11" s="189"/>
      <c r="G11" s="195"/>
      <c r="H11" s="189"/>
      <c r="I11" s="196"/>
      <c r="J11" s="189"/>
      <c r="K11" s="196"/>
      <c r="L11" s="189"/>
      <c r="M11" s="197"/>
      <c r="N11" s="198"/>
      <c r="O11" s="198"/>
      <c r="P11" s="196"/>
      <c r="Q11" s="196"/>
      <c r="R11" s="196"/>
      <c r="S11" s="196"/>
      <c r="T11" s="189"/>
      <c r="U11" s="189"/>
      <c r="V11" s="199"/>
      <c r="W11" s="192"/>
    </row>
    <row r="12" spans="4:23" x14ac:dyDescent="0.2">
      <c r="D12" s="200" t="s">
        <v>354</v>
      </c>
      <c r="E12" s="194"/>
      <c r="F12" s="189"/>
      <c r="G12" s="195"/>
      <c r="H12" s="189"/>
      <c r="I12" s="196"/>
      <c r="J12" s="189"/>
      <c r="K12" s="196"/>
      <c r="L12" s="189"/>
      <c r="M12" s="197"/>
      <c r="N12" s="198"/>
      <c r="O12" s="198"/>
      <c r="P12" s="196"/>
      <c r="Q12" s="196"/>
      <c r="R12" s="196"/>
      <c r="S12" s="196"/>
      <c r="T12" s="189"/>
      <c r="U12" s="189"/>
      <c r="V12" s="201"/>
      <c r="W12" s="192"/>
    </row>
    <row r="13" spans="4:23" x14ac:dyDescent="0.2">
      <c r="D13" s="202" t="s">
        <v>355</v>
      </c>
      <c r="E13" s="194">
        <v>45047</v>
      </c>
      <c r="F13" s="189"/>
      <c r="G13" s="203">
        <v>7.8750000000000001E-2</v>
      </c>
      <c r="H13" s="189" t="s">
        <v>356</v>
      </c>
      <c r="I13" s="196">
        <v>12900000</v>
      </c>
      <c r="J13" s="189"/>
      <c r="K13" s="196">
        <f t="shared" ref="K13:K26" si="0">ROUND(G13*I13,0)</f>
        <v>1015875</v>
      </c>
      <c r="L13" s="189"/>
      <c r="M13" s="197">
        <f>1441*12</f>
        <v>17292</v>
      </c>
      <c r="N13" s="198"/>
      <c r="O13" s="198" t="s">
        <v>357</v>
      </c>
      <c r="P13" s="196"/>
      <c r="Q13" s="196">
        <f>1399*12</f>
        <v>16788</v>
      </c>
      <c r="R13" s="196"/>
      <c r="S13" s="196">
        <f t="shared" ref="S13:S27" si="1">SUM(K13:R13)</f>
        <v>1049955</v>
      </c>
      <c r="T13" s="189"/>
      <c r="U13" s="189"/>
      <c r="V13" s="201">
        <f t="shared" ref="V13:V26" si="2">ROUND((S13/I13)*100,2)</f>
        <v>8.14</v>
      </c>
      <c r="W13" s="192"/>
    </row>
    <row r="14" spans="4:23" x14ac:dyDescent="0.2">
      <c r="D14" s="202" t="s">
        <v>358</v>
      </c>
      <c r="E14" s="194">
        <v>11720</v>
      </c>
      <c r="F14" s="189"/>
      <c r="G14" s="203">
        <v>1.6500000000000001E-2</v>
      </c>
      <c r="H14" s="189" t="s">
        <v>356</v>
      </c>
      <c r="I14" s="196">
        <v>20930000</v>
      </c>
      <c r="J14" s="189"/>
      <c r="K14" s="196">
        <f t="shared" si="0"/>
        <v>345345</v>
      </c>
      <c r="L14" s="189"/>
      <c r="M14" s="197">
        <f>342*12</f>
        <v>4104</v>
      </c>
      <c r="N14" s="198"/>
      <c r="O14" s="198" t="s">
        <v>357</v>
      </c>
      <c r="P14" s="196"/>
      <c r="Q14" s="196">
        <f>3025*12</f>
        <v>36300</v>
      </c>
      <c r="R14" s="196"/>
      <c r="S14" s="196">
        <f t="shared" si="1"/>
        <v>385749</v>
      </c>
      <c r="T14" s="189"/>
      <c r="U14" s="189"/>
      <c r="V14" s="201">
        <f t="shared" si="2"/>
        <v>1.84</v>
      </c>
      <c r="W14" s="192"/>
    </row>
    <row r="15" spans="4:23" x14ac:dyDescent="0.2">
      <c r="D15" s="202" t="s">
        <v>359</v>
      </c>
      <c r="E15" s="194">
        <v>11720</v>
      </c>
      <c r="F15" s="189"/>
      <c r="G15" s="203">
        <v>1.6500000000000001E-2</v>
      </c>
      <c r="H15" s="189" t="s">
        <v>356</v>
      </c>
      <c r="I15" s="196">
        <v>2400000</v>
      </c>
      <c r="J15" s="189"/>
      <c r="K15" s="196">
        <f t="shared" si="0"/>
        <v>39600</v>
      </c>
      <c r="L15" s="189"/>
      <c r="M15" s="197">
        <f>238*12</f>
        <v>2856</v>
      </c>
      <c r="N15" s="198"/>
      <c r="O15" s="198" t="s">
        <v>357</v>
      </c>
      <c r="P15" s="196"/>
      <c r="Q15" s="196">
        <f>347*12</f>
        <v>4164</v>
      </c>
      <c r="R15" s="196"/>
      <c r="S15" s="196">
        <f t="shared" si="1"/>
        <v>46620</v>
      </c>
      <c r="T15" s="189"/>
      <c r="U15" s="189"/>
      <c r="V15" s="201">
        <f t="shared" si="2"/>
        <v>1.94</v>
      </c>
      <c r="W15" s="192"/>
    </row>
    <row r="16" spans="4:23" x14ac:dyDescent="0.2">
      <c r="D16" s="202" t="s">
        <v>360</v>
      </c>
      <c r="E16" s="194">
        <v>11720</v>
      </c>
      <c r="F16" s="189"/>
      <c r="G16" s="203">
        <v>1.6500000000000001E-2</v>
      </c>
      <c r="H16" s="189" t="s">
        <v>356</v>
      </c>
      <c r="I16" s="196">
        <v>7400000</v>
      </c>
      <c r="J16" s="189"/>
      <c r="K16" s="196">
        <f t="shared" si="0"/>
        <v>122100</v>
      </c>
      <c r="L16" s="189"/>
      <c r="M16" s="197">
        <f>265*12</f>
        <v>3180</v>
      </c>
      <c r="N16" s="198"/>
      <c r="O16" s="198" t="s">
        <v>357</v>
      </c>
      <c r="P16" s="196"/>
      <c r="Q16" s="196">
        <f>(230+1075)*12</f>
        <v>15660</v>
      </c>
      <c r="R16" s="196"/>
      <c r="S16" s="196">
        <f t="shared" si="1"/>
        <v>140940</v>
      </c>
      <c r="T16" s="189"/>
      <c r="U16" s="189"/>
      <c r="V16" s="201">
        <f t="shared" si="2"/>
        <v>1.9</v>
      </c>
      <c r="W16" s="192"/>
    </row>
    <row r="17" spans="4:23" x14ac:dyDescent="0.2">
      <c r="D17" s="202" t="s">
        <v>361</v>
      </c>
      <c r="E17" s="194">
        <v>11720</v>
      </c>
      <c r="F17" s="189"/>
      <c r="G17" s="203">
        <v>1.6500000000000001E-2</v>
      </c>
      <c r="H17" s="189" t="s">
        <v>356</v>
      </c>
      <c r="I17" s="196">
        <v>2400000</v>
      </c>
      <c r="J17" s="189"/>
      <c r="K17" s="196">
        <f t="shared" si="0"/>
        <v>39600</v>
      </c>
      <c r="L17" s="189"/>
      <c r="M17" s="197">
        <f>95*12</f>
        <v>1140</v>
      </c>
      <c r="N17" s="198"/>
      <c r="O17" s="198" t="s">
        <v>357</v>
      </c>
      <c r="P17" s="196"/>
      <c r="Q17" s="196">
        <f>1062*12</f>
        <v>12744</v>
      </c>
      <c r="R17" s="196"/>
      <c r="S17" s="196">
        <f t="shared" si="1"/>
        <v>53484</v>
      </c>
      <c r="T17" s="189"/>
      <c r="U17" s="189"/>
      <c r="V17" s="201">
        <f t="shared" si="2"/>
        <v>2.23</v>
      </c>
      <c r="W17" s="192"/>
    </row>
    <row r="18" spans="4:23" x14ac:dyDescent="0.2">
      <c r="D18" s="202" t="s">
        <v>362</v>
      </c>
      <c r="E18" s="194">
        <v>11963</v>
      </c>
      <c r="F18" s="189"/>
      <c r="G18" s="203">
        <v>4.3159999999999997E-2</v>
      </c>
      <c r="H18" s="189" t="s">
        <v>356</v>
      </c>
      <c r="I18" s="196">
        <v>96000000</v>
      </c>
      <c r="J18" s="189"/>
      <c r="K18" s="196">
        <f t="shared" si="0"/>
        <v>4143360</v>
      </c>
      <c r="L18" s="189"/>
      <c r="M18" s="197">
        <f>6059*12</f>
        <v>72708</v>
      </c>
      <c r="N18" s="198"/>
      <c r="O18" s="198"/>
      <c r="P18" s="196"/>
      <c r="Q18" s="196">
        <f>15503*12</f>
        <v>186036</v>
      </c>
      <c r="R18" s="196"/>
      <c r="S18" s="196">
        <f t="shared" si="1"/>
        <v>4402104</v>
      </c>
      <c r="T18" s="189"/>
      <c r="U18" s="189"/>
      <c r="V18" s="201">
        <f t="shared" si="2"/>
        <v>4.59</v>
      </c>
      <c r="W18" s="192"/>
    </row>
    <row r="19" spans="4:23" x14ac:dyDescent="0.2">
      <c r="D19" s="202" t="s">
        <v>363</v>
      </c>
      <c r="E19" s="194">
        <v>49218</v>
      </c>
      <c r="F19" s="189"/>
      <c r="G19" s="203">
        <v>0.06</v>
      </c>
      <c r="H19" s="189" t="s">
        <v>356</v>
      </c>
      <c r="I19" s="196">
        <v>50000000</v>
      </c>
      <c r="J19" s="189"/>
      <c r="K19" s="196">
        <f t="shared" si="0"/>
        <v>3000000</v>
      </c>
      <c r="L19" s="189"/>
      <c r="M19" s="197">
        <f>3339*12</f>
        <v>40068</v>
      </c>
      <c r="N19" s="198"/>
      <c r="O19" s="198"/>
      <c r="P19" s="196"/>
      <c r="Q19" s="196">
        <f>4495*12</f>
        <v>53940</v>
      </c>
      <c r="R19" s="196"/>
      <c r="S19" s="196">
        <f t="shared" si="1"/>
        <v>3094008</v>
      </c>
      <c r="T19" s="189"/>
      <c r="U19" s="189"/>
      <c r="V19" s="201">
        <f t="shared" si="2"/>
        <v>6.19</v>
      </c>
      <c r="W19" s="192"/>
    </row>
    <row r="20" spans="4:23" x14ac:dyDescent="0.2">
      <c r="D20" s="202" t="s">
        <v>364</v>
      </c>
      <c r="E20" s="194">
        <v>49461</v>
      </c>
      <c r="F20" s="189"/>
      <c r="G20" s="203">
        <v>3.8899999999999997E-2</v>
      </c>
      <c r="H20" s="189" t="s">
        <v>356</v>
      </c>
      <c r="I20" s="196">
        <v>13266950</v>
      </c>
      <c r="J20" s="189"/>
      <c r="K20" s="196">
        <f t="shared" si="0"/>
        <v>516084</v>
      </c>
      <c r="L20" s="189"/>
      <c r="M20" s="197">
        <f>1475*12</f>
        <v>17700</v>
      </c>
      <c r="N20" s="198"/>
      <c r="O20" s="198"/>
      <c r="P20" s="196"/>
      <c r="Q20" s="204">
        <v>0</v>
      </c>
      <c r="R20" s="196"/>
      <c r="S20" s="196">
        <f t="shared" si="1"/>
        <v>533784</v>
      </c>
      <c r="T20" s="189"/>
      <c r="U20" s="189"/>
      <c r="V20" s="201">
        <f t="shared" si="2"/>
        <v>4.0199999999999996</v>
      </c>
      <c r="W20" s="192"/>
    </row>
    <row r="21" spans="4:23" x14ac:dyDescent="0.2">
      <c r="D21" s="202" t="s">
        <v>365</v>
      </c>
      <c r="E21" s="194">
        <v>49461</v>
      </c>
      <c r="F21" s="189"/>
      <c r="G21" s="203">
        <v>3.8899999999999997E-2</v>
      </c>
      <c r="H21" s="189" t="s">
        <v>356</v>
      </c>
      <c r="I21" s="196">
        <v>13266950</v>
      </c>
      <c r="J21" s="189"/>
      <c r="K21" s="196">
        <f t="shared" si="0"/>
        <v>516084</v>
      </c>
      <c r="L21" s="189"/>
      <c r="M21" s="197">
        <f>1499*12</f>
        <v>17988</v>
      </c>
      <c r="N21" s="198"/>
      <c r="O21" s="198"/>
      <c r="P21" s="196"/>
      <c r="Q21" s="204">
        <v>0</v>
      </c>
      <c r="R21" s="196"/>
      <c r="S21" s="196">
        <f t="shared" si="1"/>
        <v>534072</v>
      </c>
      <c r="T21" s="189"/>
      <c r="U21" s="189"/>
      <c r="V21" s="201">
        <f t="shared" si="2"/>
        <v>4.03</v>
      </c>
      <c r="W21" s="192"/>
    </row>
    <row r="22" spans="4:23" x14ac:dyDescent="0.2">
      <c r="D22" s="202" t="s">
        <v>366</v>
      </c>
      <c r="E22" s="194">
        <v>49827</v>
      </c>
      <c r="F22" s="189"/>
      <c r="G22" s="203">
        <v>4.0739999999999998E-2</v>
      </c>
      <c r="H22" s="189" t="s">
        <v>356</v>
      </c>
      <c r="I22" s="196">
        <v>16693620</v>
      </c>
      <c r="J22" s="189"/>
      <c r="K22" s="196">
        <f t="shared" si="0"/>
        <v>680098</v>
      </c>
      <c r="L22" s="189"/>
      <c r="M22" s="197">
        <f>1724*12</f>
        <v>20688</v>
      </c>
      <c r="N22" s="198"/>
      <c r="O22" s="198"/>
      <c r="P22" s="196"/>
      <c r="Q22" s="204">
        <v>0</v>
      </c>
      <c r="R22" s="196"/>
      <c r="S22" s="196">
        <f t="shared" si="1"/>
        <v>700786</v>
      </c>
      <c r="T22" s="189"/>
      <c r="U22" s="189"/>
      <c r="V22" s="201">
        <f t="shared" si="2"/>
        <v>4.2</v>
      </c>
      <c r="W22" s="192"/>
    </row>
    <row r="23" spans="4:23" x14ac:dyDescent="0.2">
      <c r="D23" s="202" t="s">
        <v>367</v>
      </c>
      <c r="E23" s="194">
        <v>49827</v>
      </c>
      <c r="F23" s="189"/>
      <c r="G23" s="203">
        <v>2.4299999999999999E-2</v>
      </c>
      <c r="H23" s="189" t="s">
        <v>356</v>
      </c>
      <c r="I23" s="196">
        <v>16693620</v>
      </c>
      <c r="J23" s="205">
        <v>2</v>
      </c>
      <c r="K23" s="196">
        <f t="shared" si="0"/>
        <v>405655</v>
      </c>
      <c r="L23" s="189"/>
      <c r="M23" s="197">
        <f>0*12</f>
        <v>0</v>
      </c>
      <c r="N23" s="198"/>
      <c r="O23" s="198"/>
      <c r="P23" s="196"/>
      <c r="Q23" s="204">
        <f>1731.22*12</f>
        <v>20774.64</v>
      </c>
      <c r="R23" s="196"/>
      <c r="S23" s="196">
        <f t="shared" si="1"/>
        <v>426429.64</v>
      </c>
      <c r="T23" s="189"/>
      <c r="U23" s="189"/>
      <c r="V23" s="201">
        <f t="shared" si="2"/>
        <v>2.5499999999999998</v>
      </c>
      <c r="W23" s="192"/>
    </row>
    <row r="24" spans="4:23" x14ac:dyDescent="0.2">
      <c r="D24" s="202" t="s">
        <v>368</v>
      </c>
      <c r="E24" s="194">
        <v>49218</v>
      </c>
      <c r="F24" s="189"/>
      <c r="G24" s="203">
        <v>4.3200000000000002E-2</v>
      </c>
      <c r="H24" s="189" t="s">
        <v>356</v>
      </c>
      <c r="I24" s="196">
        <v>54000000</v>
      </c>
      <c r="J24" s="189"/>
      <c r="K24" s="196">
        <f t="shared" si="0"/>
        <v>2332800</v>
      </c>
      <c r="L24" s="189"/>
      <c r="M24" s="197">
        <f>3111.91*12</f>
        <v>37342.92</v>
      </c>
      <c r="N24" s="198"/>
      <c r="O24" s="198"/>
      <c r="P24" s="196"/>
      <c r="Q24" s="204">
        <v>0</v>
      </c>
      <c r="R24" s="196"/>
      <c r="S24" s="196">
        <f t="shared" si="1"/>
        <v>2370142.92</v>
      </c>
      <c r="T24" s="189"/>
      <c r="U24" s="189"/>
      <c r="V24" s="201">
        <f t="shared" si="2"/>
        <v>4.3899999999999997</v>
      </c>
      <c r="W24" s="192"/>
    </row>
    <row r="25" spans="4:23" x14ac:dyDescent="0.2">
      <c r="D25" s="202" t="s">
        <v>369</v>
      </c>
      <c r="E25" s="194">
        <v>46054</v>
      </c>
      <c r="F25" s="189"/>
      <c r="G25" s="203">
        <v>5.7500000000000002E-2</v>
      </c>
      <c r="H25" s="189" t="s">
        <v>356</v>
      </c>
      <c r="I25" s="196">
        <v>17875000</v>
      </c>
      <c r="J25" s="189"/>
      <c r="K25" s="196">
        <f t="shared" si="0"/>
        <v>1027813</v>
      </c>
      <c r="L25" s="189"/>
      <c r="M25" s="197">
        <f>2420.67*12</f>
        <v>29048.04</v>
      </c>
      <c r="N25" s="198"/>
      <c r="O25" s="198"/>
      <c r="P25" s="196"/>
      <c r="Q25" s="204">
        <v>0</v>
      </c>
      <c r="R25" s="196"/>
      <c r="S25" s="196">
        <f t="shared" si="1"/>
        <v>1056861.04</v>
      </c>
      <c r="T25" s="189"/>
      <c r="U25" s="189"/>
      <c r="V25" s="201">
        <f t="shared" si="2"/>
        <v>5.91</v>
      </c>
      <c r="W25" s="192"/>
    </row>
    <row r="26" spans="4:23" x14ac:dyDescent="0.2">
      <c r="D26" s="202" t="s">
        <v>370</v>
      </c>
      <c r="E26" s="194">
        <v>50100</v>
      </c>
      <c r="F26" s="189"/>
      <c r="G26" s="203">
        <v>0.06</v>
      </c>
      <c r="H26" s="189" t="s">
        <v>356</v>
      </c>
      <c r="I26" s="196">
        <v>8927000</v>
      </c>
      <c r="J26" s="189"/>
      <c r="K26" s="196">
        <f t="shared" si="0"/>
        <v>535620</v>
      </c>
      <c r="L26" s="189"/>
      <c r="M26" s="197">
        <f>1079.78*12</f>
        <v>12957.36</v>
      </c>
      <c r="N26" s="198"/>
      <c r="O26" s="198"/>
      <c r="P26" s="196"/>
      <c r="Q26" s="204">
        <v>0</v>
      </c>
      <c r="R26" s="196"/>
      <c r="S26" s="196">
        <f t="shared" si="1"/>
        <v>548577.36</v>
      </c>
      <c r="T26" s="189"/>
      <c r="U26" s="189"/>
      <c r="V26" s="201">
        <f t="shared" si="2"/>
        <v>6.15</v>
      </c>
      <c r="W26" s="192"/>
    </row>
    <row r="27" spans="4:23" ht="15.75" thickBot="1" x14ac:dyDescent="0.25">
      <c r="D27" s="202" t="s">
        <v>371</v>
      </c>
      <c r="E27" s="189"/>
      <c r="F27" s="189"/>
      <c r="G27" s="206"/>
      <c r="H27" s="189"/>
      <c r="I27" s="207" t="s">
        <v>372</v>
      </c>
      <c r="J27" s="189"/>
      <c r="K27" s="207" t="s">
        <v>357</v>
      </c>
      <c r="L27" s="189"/>
      <c r="M27" s="207" t="s">
        <v>357</v>
      </c>
      <c r="N27" s="198"/>
      <c r="O27" s="207" t="s">
        <v>357</v>
      </c>
      <c r="P27" s="196"/>
      <c r="Q27" s="208">
        <f>+(6627+1515+1100)*12</f>
        <v>110904</v>
      </c>
      <c r="R27" s="209">
        <v>1</v>
      </c>
      <c r="S27" s="208">
        <f t="shared" si="1"/>
        <v>110905</v>
      </c>
      <c r="T27" s="189"/>
      <c r="U27" s="189"/>
      <c r="V27" s="210" t="s">
        <v>357</v>
      </c>
      <c r="W27" s="192"/>
    </row>
    <row r="28" spans="4:23" ht="18.75" thickBot="1" x14ac:dyDescent="0.3">
      <c r="D28" s="211" t="s">
        <v>373</v>
      </c>
      <c r="E28" s="189"/>
      <c r="F28" s="189"/>
      <c r="G28" s="206"/>
      <c r="H28" s="189"/>
      <c r="I28" s="212">
        <f>SUM(I13:I27)</f>
        <v>332753140</v>
      </c>
      <c r="J28" s="189"/>
      <c r="K28" s="212">
        <f>SUM(K13:K27)</f>
        <v>14720034</v>
      </c>
      <c r="L28" s="189"/>
      <c r="M28" s="212">
        <f>SUM(M13:M27)</f>
        <v>277072.31999999995</v>
      </c>
      <c r="N28" s="198"/>
      <c r="O28" s="207"/>
      <c r="P28" s="196"/>
      <c r="Q28" s="212">
        <f>SUM(Q13:Q27)</f>
        <v>457310.64</v>
      </c>
      <c r="R28" s="209"/>
      <c r="S28" s="212">
        <f>SUM(S13:S27)</f>
        <v>15454417.960000001</v>
      </c>
      <c r="T28" s="189"/>
      <c r="U28" s="189"/>
      <c r="V28" s="213">
        <f>+S28/I48</f>
        <v>1.2228984815816166E-2</v>
      </c>
      <c r="W28" s="192"/>
    </row>
    <row r="29" spans="4:23" x14ac:dyDescent="0.2">
      <c r="D29" s="202"/>
      <c r="E29" s="189"/>
      <c r="F29" s="189"/>
      <c r="G29" s="206"/>
      <c r="H29" s="189"/>
      <c r="I29" s="198"/>
      <c r="J29" s="189"/>
      <c r="K29" s="198"/>
      <c r="L29" s="189"/>
      <c r="M29" s="198"/>
      <c r="N29" s="198"/>
      <c r="O29" s="198"/>
      <c r="P29" s="196"/>
      <c r="Q29" s="196"/>
      <c r="R29" s="209"/>
      <c r="S29" s="196"/>
      <c r="T29" s="189"/>
      <c r="U29" s="189"/>
      <c r="V29" s="210"/>
      <c r="W29" s="192"/>
    </row>
    <row r="30" spans="4:23" x14ac:dyDescent="0.2">
      <c r="D30" s="200"/>
      <c r="E30" s="189"/>
      <c r="F30" s="189"/>
      <c r="G30" s="206"/>
      <c r="H30" s="189"/>
      <c r="I30" s="214"/>
      <c r="J30" s="189"/>
      <c r="K30" s="214"/>
      <c r="L30" s="189"/>
      <c r="M30" s="198"/>
      <c r="N30" s="198"/>
      <c r="O30" s="198"/>
      <c r="P30" s="196"/>
      <c r="Q30" s="196"/>
      <c r="R30" s="209"/>
      <c r="S30" s="196"/>
      <c r="T30" s="189"/>
      <c r="U30" s="189"/>
      <c r="V30" s="215"/>
      <c r="W30" s="192"/>
    </row>
    <row r="31" spans="4:23" ht="15.75" customHeight="1" x14ac:dyDescent="0.2">
      <c r="D31" s="216" t="s">
        <v>374</v>
      </c>
      <c r="E31" s="194">
        <v>41394</v>
      </c>
      <c r="F31" s="189"/>
      <c r="G31" s="195">
        <v>4.5499999999999999E-2</v>
      </c>
      <c r="H31" s="189"/>
      <c r="I31" s="196">
        <v>100000000</v>
      </c>
      <c r="J31" s="189"/>
      <c r="K31" s="196">
        <f t="shared" ref="K31:K44" si="3">ROUND(G31*I31,0)</f>
        <v>4550000</v>
      </c>
      <c r="L31" s="189"/>
      <c r="M31" s="217">
        <v>0</v>
      </c>
      <c r="N31" s="217"/>
      <c r="O31" s="217">
        <v>0</v>
      </c>
      <c r="P31" s="217"/>
      <c r="Q31" s="217">
        <v>0</v>
      </c>
      <c r="R31" s="189"/>
      <c r="S31" s="196">
        <f t="shared" ref="S31:S44" si="4">SUM(K31,M31,Q31)</f>
        <v>4550000</v>
      </c>
      <c r="T31" s="189"/>
      <c r="U31" s="189"/>
      <c r="V31" s="218">
        <f t="shared" ref="V31:V44" si="5">K31/I31*100</f>
        <v>4.55</v>
      </c>
      <c r="W31" s="192"/>
    </row>
    <row r="32" spans="4:23" ht="15.75" customHeight="1" x14ac:dyDescent="0.2">
      <c r="D32" s="216" t="s">
        <v>374</v>
      </c>
      <c r="E32" s="194">
        <v>41501</v>
      </c>
      <c r="F32" s="189"/>
      <c r="G32" s="195">
        <v>5.3100000000000001E-2</v>
      </c>
      <c r="H32" s="189"/>
      <c r="I32" s="196">
        <v>75000000</v>
      </c>
      <c r="J32" s="189"/>
      <c r="K32" s="196">
        <f t="shared" si="3"/>
        <v>3982500</v>
      </c>
      <c r="L32" s="189"/>
      <c r="M32" s="217">
        <v>0</v>
      </c>
      <c r="N32" s="217"/>
      <c r="O32" s="217">
        <v>0</v>
      </c>
      <c r="P32" s="217"/>
      <c r="Q32" s="217">
        <v>0</v>
      </c>
      <c r="R32" s="189"/>
      <c r="S32" s="196">
        <f t="shared" si="4"/>
        <v>3982500</v>
      </c>
      <c r="T32" s="189"/>
      <c r="U32" s="189"/>
      <c r="V32" s="218">
        <f t="shared" si="5"/>
        <v>5.3100000000000005</v>
      </c>
      <c r="W32" s="192"/>
    </row>
    <row r="33" spans="4:28" ht="15.75" customHeight="1" x14ac:dyDescent="0.2">
      <c r="D33" s="216" t="s">
        <v>374</v>
      </c>
      <c r="E33" s="194">
        <v>40506</v>
      </c>
      <c r="F33" s="189"/>
      <c r="G33" s="195">
        <v>4.24E-2</v>
      </c>
      <c r="H33" s="189"/>
      <c r="I33" s="196">
        <v>33000000</v>
      </c>
      <c r="J33" s="189"/>
      <c r="K33" s="196">
        <f t="shared" si="3"/>
        <v>1399200</v>
      </c>
      <c r="L33" s="189"/>
      <c r="M33" s="217">
        <v>0</v>
      </c>
      <c r="N33" s="217"/>
      <c r="O33" s="217">
        <v>0</v>
      </c>
      <c r="P33" s="217"/>
      <c r="Q33" s="217">
        <v>0</v>
      </c>
      <c r="R33" s="189"/>
      <c r="S33" s="196">
        <f t="shared" si="4"/>
        <v>1399200</v>
      </c>
      <c r="T33" s="189"/>
      <c r="U33" s="189"/>
      <c r="V33" s="218">
        <f t="shared" si="5"/>
        <v>4.24</v>
      </c>
      <c r="W33" s="192"/>
    </row>
    <row r="34" spans="4:28" ht="15.75" customHeight="1" x14ac:dyDescent="0.2">
      <c r="D34" s="216" t="s">
        <v>374</v>
      </c>
      <c r="E34" s="194">
        <v>40924</v>
      </c>
      <c r="F34" s="189"/>
      <c r="G34" s="195">
        <v>4.3900000000000002E-2</v>
      </c>
      <c r="H34" s="189"/>
      <c r="I34" s="196">
        <v>50000000</v>
      </c>
      <c r="J34" s="189"/>
      <c r="K34" s="196">
        <f t="shared" si="3"/>
        <v>2195000</v>
      </c>
      <c r="L34" s="189"/>
      <c r="M34" s="217">
        <v>0</v>
      </c>
      <c r="N34" s="217"/>
      <c r="O34" s="217">
        <v>0</v>
      </c>
      <c r="P34" s="217"/>
      <c r="Q34" s="217">
        <v>0</v>
      </c>
      <c r="R34" s="189"/>
      <c r="S34" s="196">
        <f t="shared" si="4"/>
        <v>2195000</v>
      </c>
      <c r="T34" s="189"/>
      <c r="U34" s="189"/>
      <c r="V34" s="218">
        <f t="shared" si="5"/>
        <v>4.3900000000000006</v>
      </c>
      <c r="W34" s="192"/>
    </row>
    <row r="35" spans="4:28" ht="15.75" customHeight="1" x14ac:dyDescent="0.2">
      <c r="D35" s="216" t="s">
        <v>374</v>
      </c>
      <c r="E35" s="194">
        <v>42193</v>
      </c>
      <c r="F35" s="189"/>
      <c r="G35" s="195">
        <v>4.7350000000000003E-2</v>
      </c>
      <c r="H35" s="189"/>
      <c r="I35" s="196">
        <v>50000000</v>
      </c>
      <c r="J35" s="189"/>
      <c r="K35" s="196">
        <f t="shared" si="3"/>
        <v>2367500</v>
      </c>
      <c r="L35" s="189"/>
      <c r="M35" s="217">
        <v>0</v>
      </c>
      <c r="N35" s="217"/>
      <c r="O35" s="217">
        <v>0</v>
      </c>
      <c r="P35" s="217"/>
      <c r="Q35" s="217">
        <v>0</v>
      </c>
      <c r="R35" s="189"/>
      <c r="S35" s="196">
        <f t="shared" si="4"/>
        <v>2367500</v>
      </c>
      <c r="T35" s="189"/>
      <c r="U35" s="189"/>
      <c r="V35" s="218">
        <f t="shared" si="5"/>
        <v>4.7350000000000003</v>
      </c>
      <c r="W35" s="192"/>
    </row>
    <row r="36" spans="4:28" ht="15.75" customHeight="1" x14ac:dyDescent="0.2">
      <c r="D36" s="216" t="s">
        <v>374</v>
      </c>
      <c r="E36" s="194">
        <v>42359</v>
      </c>
      <c r="F36" s="189"/>
      <c r="G36" s="195">
        <v>5.3600000000000002E-2</v>
      </c>
      <c r="H36" s="189"/>
      <c r="I36" s="196">
        <v>75000000</v>
      </c>
      <c r="J36" s="189"/>
      <c r="K36" s="196">
        <f t="shared" si="3"/>
        <v>4020000</v>
      </c>
      <c r="L36" s="189"/>
      <c r="M36" s="217">
        <v>0</v>
      </c>
      <c r="N36" s="217"/>
      <c r="O36" s="217">
        <v>0</v>
      </c>
      <c r="P36" s="217"/>
      <c r="Q36" s="217">
        <v>0</v>
      </c>
      <c r="R36" s="189"/>
      <c r="S36" s="196">
        <f t="shared" si="4"/>
        <v>4020000</v>
      </c>
      <c r="T36" s="189"/>
      <c r="U36" s="189"/>
      <c r="V36" s="218">
        <f t="shared" si="5"/>
        <v>5.36</v>
      </c>
      <c r="W36" s="192"/>
    </row>
    <row r="37" spans="4:28" ht="15.75" customHeight="1" x14ac:dyDescent="0.2">
      <c r="D37" s="216" t="s">
        <v>374</v>
      </c>
      <c r="E37" s="194">
        <v>13324</v>
      </c>
      <c r="F37" s="189"/>
      <c r="G37" s="195">
        <v>6.3299999999999995E-2</v>
      </c>
      <c r="H37" s="189"/>
      <c r="I37" s="196">
        <v>50000000</v>
      </c>
      <c r="J37" s="189"/>
      <c r="K37" s="196">
        <f t="shared" si="3"/>
        <v>3165000</v>
      </c>
      <c r="L37" s="189"/>
      <c r="M37" s="217">
        <v>0</v>
      </c>
      <c r="N37" s="217"/>
      <c r="O37" s="217">
        <v>0</v>
      </c>
      <c r="P37" s="217"/>
      <c r="Q37" s="217">
        <v>0</v>
      </c>
      <c r="R37" s="189"/>
      <c r="S37" s="196">
        <f t="shared" si="4"/>
        <v>3165000</v>
      </c>
      <c r="T37" s="189"/>
      <c r="U37" s="189"/>
      <c r="V37" s="218">
        <f t="shared" si="5"/>
        <v>6.3299999999999992</v>
      </c>
      <c r="W37" s="192"/>
    </row>
    <row r="38" spans="4:28" ht="15.75" customHeight="1" x14ac:dyDescent="0.25">
      <c r="D38" s="216" t="s">
        <v>374</v>
      </c>
      <c r="E38" s="194">
        <v>42668</v>
      </c>
      <c r="F38" s="189"/>
      <c r="G38" s="195">
        <v>5.6750000000000002E-2</v>
      </c>
      <c r="H38" s="189"/>
      <c r="I38" s="196">
        <v>50000000</v>
      </c>
      <c r="J38" s="189"/>
      <c r="K38" s="196">
        <f t="shared" si="3"/>
        <v>2837500</v>
      </c>
      <c r="L38" s="189"/>
      <c r="M38" s="217">
        <v>0</v>
      </c>
      <c r="N38" s="217"/>
      <c r="O38" s="217">
        <v>0</v>
      </c>
      <c r="P38" s="217"/>
      <c r="Q38" s="217">
        <v>0</v>
      </c>
      <c r="R38" s="189"/>
      <c r="S38" s="196">
        <f t="shared" si="4"/>
        <v>2837500</v>
      </c>
      <c r="T38" s="189"/>
      <c r="U38" s="189"/>
      <c r="V38" s="218">
        <f t="shared" si="5"/>
        <v>5.6749999999999998</v>
      </c>
      <c r="W38" s="192"/>
      <c r="AB38" s="219"/>
    </row>
    <row r="39" spans="4:28" ht="15.75" customHeight="1" x14ac:dyDescent="0.2">
      <c r="D39" s="216" t="s">
        <v>374</v>
      </c>
      <c r="E39" s="194">
        <v>44599</v>
      </c>
      <c r="F39" s="189"/>
      <c r="G39" s="195">
        <v>5.6899999999999999E-2</v>
      </c>
      <c r="H39" s="189"/>
      <c r="I39" s="196">
        <v>53000000</v>
      </c>
      <c r="J39" s="189"/>
      <c r="K39" s="196">
        <f t="shared" si="3"/>
        <v>3015700</v>
      </c>
      <c r="L39" s="189"/>
      <c r="M39" s="217">
        <v>0</v>
      </c>
      <c r="N39" s="217"/>
      <c r="O39" s="217">
        <v>0</v>
      </c>
      <c r="P39" s="217"/>
      <c r="Q39" s="217">
        <v>0</v>
      </c>
      <c r="R39" s="189"/>
      <c r="S39" s="196">
        <f t="shared" si="4"/>
        <v>3015700</v>
      </c>
      <c r="T39" s="189"/>
      <c r="U39" s="189"/>
      <c r="V39" s="218">
        <f t="shared" si="5"/>
        <v>5.6899999999999995</v>
      </c>
      <c r="W39" s="192"/>
    </row>
    <row r="40" spans="4:28" ht="15.75" customHeight="1" x14ac:dyDescent="0.2">
      <c r="D40" s="216" t="s">
        <v>374</v>
      </c>
      <c r="E40" s="194">
        <v>50129</v>
      </c>
      <c r="F40" s="189"/>
      <c r="G40" s="195">
        <v>5.8599999999999999E-2</v>
      </c>
      <c r="H40" s="189"/>
      <c r="I40" s="196">
        <v>75000000</v>
      </c>
      <c r="J40" s="189"/>
      <c r="K40" s="196">
        <f t="shared" si="3"/>
        <v>4395000</v>
      </c>
      <c r="L40" s="189"/>
      <c r="M40" s="217">
        <v>0</v>
      </c>
      <c r="N40" s="217"/>
      <c r="O40" s="217">
        <v>0</v>
      </c>
      <c r="P40" s="217"/>
      <c r="Q40" s="217">
        <v>0</v>
      </c>
      <c r="R40" s="189"/>
      <c r="S40" s="196">
        <f t="shared" si="4"/>
        <v>4395000</v>
      </c>
      <c r="T40" s="189"/>
      <c r="U40" s="189"/>
      <c r="V40" s="218">
        <f t="shared" si="5"/>
        <v>5.86</v>
      </c>
      <c r="W40" s="192"/>
    </row>
    <row r="41" spans="4:28" ht="15.75" customHeight="1" x14ac:dyDescent="0.2">
      <c r="D41" s="216" t="s">
        <v>374</v>
      </c>
      <c r="E41" s="194">
        <v>42906</v>
      </c>
      <c r="F41" s="189"/>
      <c r="G41" s="195">
        <v>5.9799999999999999E-2</v>
      </c>
      <c r="H41" s="189"/>
      <c r="I41" s="196">
        <v>50000000</v>
      </c>
      <c r="J41" s="189"/>
      <c r="K41" s="196">
        <f t="shared" si="3"/>
        <v>2990000</v>
      </c>
      <c r="L41" s="189"/>
      <c r="M41" s="217">
        <v>0</v>
      </c>
      <c r="N41" s="217"/>
      <c r="O41" s="217">
        <v>0</v>
      </c>
      <c r="P41" s="217"/>
      <c r="Q41" s="217">
        <v>0</v>
      </c>
      <c r="R41" s="189"/>
      <c r="S41" s="196">
        <f t="shared" si="4"/>
        <v>2990000</v>
      </c>
      <c r="T41" s="189"/>
      <c r="U41" s="189"/>
      <c r="V41" s="218">
        <f t="shared" si="5"/>
        <v>5.9799999999999995</v>
      </c>
      <c r="W41" s="192"/>
    </row>
    <row r="42" spans="4:28" ht="18" customHeight="1" x14ac:dyDescent="0.2">
      <c r="D42" s="216" t="s">
        <v>374</v>
      </c>
      <c r="E42" s="194">
        <v>47010</v>
      </c>
      <c r="F42" s="189"/>
      <c r="G42" s="195">
        <v>5.96E-2</v>
      </c>
      <c r="H42" s="189"/>
      <c r="I42" s="196">
        <v>100000000</v>
      </c>
      <c r="J42" s="189"/>
      <c r="K42" s="196">
        <f t="shared" si="3"/>
        <v>5960000</v>
      </c>
      <c r="L42" s="189"/>
      <c r="M42" s="217">
        <v>0</v>
      </c>
      <c r="N42" s="217"/>
      <c r="O42" s="217">
        <v>0</v>
      </c>
      <c r="P42" s="217"/>
      <c r="Q42" s="217">
        <v>0</v>
      </c>
      <c r="R42" s="189"/>
      <c r="S42" s="196">
        <f t="shared" si="4"/>
        <v>5960000</v>
      </c>
      <c r="T42" s="189"/>
      <c r="U42" s="189"/>
      <c r="V42" s="218">
        <f t="shared" si="5"/>
        <v>5.96</v>
      </c>
      <c r="W42" s="192"/>
    </row>
    <row r="43" spans="4:28" ht="18" customHeight="1" x14ac:dyDescent="0.2">
      <c r="D43" s="216" t="s">
        <v>374</v>
      </c>
      <c r="E43" s="194">
        <v>43763</v>
      </c>
      <c r="F43" s="189"/>
      <c r="G43" s="195">
        <v>5.7099999999999998E-2</v>
      </c>
      <c r="H43" s="189"/>
      <c r="I43" s="196">
        <v>70000000</v>
      </c>
      <c r="J43" s="189"/>
      <c r="K43" s="196">
        <f t="shared" si="3"/>
        <v>3997000</v>
      </c>
      <c r="L43" s="189"/>
      <c r="M43" s="217">
        <v>0</v>
      </c>
      <c r="N43" s="217"/>
      <c r="O43" s="217">
        <v>0</v>
      </c>
      <c r="P43" s="217"/>
      <c r="Q43" s="217">
        <v>0</v>
      </c>
      <c r="R43" s="189"/>
      <c r="S43" s="196">
        <f t="shared" si="4"/>
        <v>3997000</v>
      </c>
      <c r="T43" s="189"/>
      <c r="U43" s="189"/>
      <c r="V43" s="218">
        <f t="shared" si="5"/>
        <v>5.71</v>
      </c>
      <c r="W43" s="192"/>
    </row>
    <row r="44" spans="4:28" ht="18" customHeight="1" thickBot="1" x14ac:dyDescent="0.25">
      <c r="D44" s="216" t="s">
        <v>374</v>
      </c>
      <c r="E44" s="194">
        <v>41992</v>
      </c>
      <c r="F44" s="189"/>
      <c r="G44" s="195">
        <v>5.45E-2</v>
      </c>
      <c r="H44" s="189"/>
      <c r="I44" s="208">
        <v>100000000</v>
      </c>
      <c r="J44" s="189"/>
      <c r="K44" s="208">
        <f t="shared" si="3"/>
        <v>5450000</v>
      </c>
      <c r="L44" s="189"/>
      <c r="M44" s="220">
        <v>0</v>
      </c>
      <c r="N44" s="217"/>
      <c r="O44" s="220">
        <v>0</v>
      </c>
      <c r="P44" s="217"/>
      <c r="Q44" s="220">
        <v>0</v>
      </c>
      <c r="R44" s="189"/>
      <c r="S44" s="196">
        <f t="shared" si="4"/>
        <v>5450000</v>
      </c>
      <c r="T44" s="189"/>
      <c r="U44" s="189"/>
      <c r="V44" s="218">
        <f t="shared" si="5"/>
        <v>5.45</v>
      </c>
      <c r="W44" s="192"/>
    </row>
    <row r="45" spans="4:28" ht="18.75" thickBot="1" x14ac:dyDescent="0.3">
      <c r="D45" s="211" t="s">
        <v>375</v>
      </c>
      <c r="E45" s="189"/>
      <c r="F45" s="189"/>
      <c r="G45" s="206"/>
      <c r="H45" s="189"/>
      <c r="I45" s="221">
        <f>SUM(I31:I44)</f>
        <v>931000000</v>
      </c>
      <c r="J45" s="189"/>
      <c r="K45" s="221">
        <f>SUM(K31:K44)</f>
        <v>50324400</v>
      </c>
      <c r="L45" s="189"/>
      <c r="M45" s="222">
        <f>SUM(M31:M44)</f>
        <v>0</v>
      </c>
      <c r="N45" s="223"/>
      <c r="O45" s="222">
        <f>SUM(O31:O44)</f>
        <v>0</v>
      </c>
      <c r="P45" s="224"/>
      <c r="Q45" s="222">
        <f>SUM(Q31:Q44)</f>
        <v>0</v>
      </c>
      <c r="R45" s="196"/>
      <c r="S45" s="221">
        <f>SUM(S31:S44)</f>
        <v>50324400</v>
      </c>
      <c r="T45" s="189"/>
      <c r="U45" s="189"/>
      <c r="V45" s="213">
        <f>+S45/I48</f>
        <v>3.9821384736579174E-2</v>
      </c>
      <c r="W45" s="192"/>
    </row>
    <row r="46" spans="4:28" x14ac:dyDescent="0.2">
      <c r="D46" s="188"/>
      <c r="E46" s="189"/>
      <c r="F46" s="189"/>
      <c r="G46" s="206"/>
      <c r="H46" s="189"/>
      <c r="I46" s="196"/>
      <c r="J46" s="189"/>
      <c r="K46" s="196"/>
      <c r="L46" s="189"/>
      <c r="M46" s="198"/>
      <c r="N46" s="198"/>
      <c r="O46" s="198"/>
      <c r="P46" s="196"/>
      <c r="Q46" s="196"/>
      <c r="R46" s="196"/>
      <c r="S46" s="196"/>
      <c r="T46" s="189"/>
      <c r="U46" s="189"/>
      <c r="V46" s="199"/>
      <c r="W46" s="192"/>
    </row>
    <row r="47" spans="4:28" ht="15.75" thickBot="1" x14ac:dyDescent="0.25">
      <c r="D47" s="188"/>
      <c r="E47" s="189"/>
      <c r="F47" s="189"/>
      <c r="G47" s="206"/>
      <c r="H47" s="189"/>
      <c r="I47" s="196"/>
      <c r="J47" s="189"/>
      <c r="K47" s="196"/>
      <c r="L47" s="189"/>
      <c r="M47" s="198"/>
      <c r="N47" s="198"/>
      <c r="O47" s="198"/>
      <c r="P47" s="196"/>
      <c r="Q47" s="196"/>
      <c r="R47" s="196"/>
      <c r="S47" s="196"/>
      <c r="T47" s="189"/>
      <c r="U47" s="189"/>
      <c r="V47" s="199"/>
      <c r="W47" s="192"/>
    </row>
    <row r="48" spans="4:28" ht="18.75" thickBot="1" x14ac:dyDescent="0.3">
      <c r="D48" s="188"/>
      <c r="E48" s="189"/>
      <c r="F48" s="189"/>
      <c r="G48" s="225" t="s">
        <v>16</v>
      </c>
      <c r="H48" s="189"/>
      <c r="I48" s="226">
        <f>I28+I45</f>
        <v>1263753140</v>
      </c>
      <c r="J48" s="189"/>
      <c r="K48" s="226">
        <f>K28+K45</f>
        <v>65044434</v>
      </c>
      <c r="L48" s="189"/>
      <c r="M48" s="226">
        <f>M28+M45</f>
        <v>277072.31999999995</v>
      </c>
      <c r="N48" s="189"/>
      <c r="O48" s="226">
        <f>O28+O45</f>
        <v>0</v>
      </c>
      <c r="P48" s="196"/>
      <c r="Q48" s="226">
        <f>Q28+Q45</f>
        <v>457310.64</v>
      </c>
      <c r="R48" s="196"/>
      <c r="S48" s="226">
        <f>S28+S45</f>
        <v>65778817.960000001</v>
      </c>
      <c r="T48" s="189"/>
      <c r="U48" s="189"/>
      <c r="V48" s="213">
        <f>+S48/I48</f>
        <v>5.2050369552395337E-2</v>
      </c>
      <c r="W48" s="192"/>
    </row>
    <row r="49" spans="4:25" ht="16.5" thickTop="1" x14ac:dyDescent="0.25">
      <c r="D49" s="227"/>
      <c r="E49" s="228"/>
      <c r="F49" s="228"/>
      <c r="G49" s="229"/>
      <c r="H49" s="228"/>
      <c r="I49" s="208"/>
      <c r="J49" s="228"/>
      <c r="K49" s="208"/>
      <c r="L49" s="228"/>
      <c r="M49" s="208"/>
      <c r="N49" s="208"/>
      <c r="O49" s="208"/>
      <c r="P49" s="208"/>
      <c r="Q49" s="208"/>
      <c r="R49" s="208"/>
      <c r="S49" s="208"/>
      <c r="T49" s="228"/>
      <c r="U49" s="228"/>
      <c r="V49" s="230"/>
      <c r="W49" s="231"/>
    </row>
    <row r="50" spans="4:25" ht="15.75" x14ac:dyDescent="0.25">
      <c r="G50" s="232"/>
      <c r="I50" s="233"/>
      <c r="K50" s="233"/>
      <c r="M50" s="233"/>
      <c r="N50" s="233"/>
      <c r="O50" s="233"/>
      <c r="P50" s="233"/>
      <c r="Q50" s="233"/>
      <c r="R50" s="233"/>
      <c r="S50" s="233"/>
      <c r="V50" s="234"/>
    </row>
    <row r="51" spans="4:25" ht="15.75" x14ac:dyDescent="0.25">
      <c r="G51" s="232"/>
      <c r="I51" s="233"/>
      <c r="K51" s="233"/>
      <c r="M51" s="233"/>
      <c r="N51" s="233"/>
      <c r="O51" s="233"/>
      <c r="P51" s="233"/>
      <c r="Q51" s="233"/>
      <c r="R51" s="233"/>
      <c r="S51" s="233"/>
      <c r="V51" s="234"/>
    </row>
    <row r="52" spans="4:25" ht="15.75" x14ac:dyDescent="0.25">
      <c r="G52" s="232"/>
      <c r="I52" s="233"/>
      <c r="K52" s="233"/>
      <c r="M52" s="233"/>
      <c r="N52" s="233"/>
      <c r="O52" s="233"/>
      <c r="P52" s="233"/>
      <c r="Q52" s="233"/>
      <c r="R52" s="233"/>
      <c r="S52" s="233"/>
      <c r="V52" s="234"/>
    </row>
    <row r="53" spans="4:25" ht="15.75" x14ac:dyDescent="0.25">
      <c r="G53" s="232"/>
      <c r="I53" s="233"/>
      <c r="K53" s="233"/>
      <c r="M53" s="233"/>
      <c r="N53" s="233"/>
      <c r="O53" s="233"/>
      <c r="P53" s="233"/>
      <c r="Q53" s="233"/>
      <c r="R53" s="233"/>
      <c r="S53" s="233"/>
      <c r="V53" s="234"/>
    </row>
    <row r="54" spans="4:25" ht="20.25" x14ac:dyDescent="0.3">
      <c r="D54" s="235" t="s">
        <v>376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7"/>
    </row>
    <row r="55" spans="4:25" x14ac:dyDescent="0.2">
      <c r="D55" s="216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9"/>
    </row>
    <row r="56" spans="4:25" x14ac:dyDescent="0.2">
      <c r="D56" s="216"/>
      <c r="E56" s="238"/>
      <c r="F56" s="238"/>
      <c r="G56" s="238"/>
      <c r="H56" s="238"/>
      <c r="I56" s="238"/>
      <c r="J56" s="238"/>
      <c r="K56" s="240" t="s">
        <v>343</v>
      </c>
      <c r="L56" s="240"/>
      <c r="M56" s="240"/>
      <c r="N56" s="240"/>
      <c r="O56" s="240"/>
      <c r="P56" s="240"/>
      <c r="Q56" s="240"/>
      <c r="R56" s="240"/>
      <c r="S56" s="240"/>
      <c r="T56" s="238"/>
      <c r="U56" s="238"/>
      <c r="V56" s="238"/>
      <c r="W56" s="239"/>
    </row>
    <row r="57" spans="4:25" x14ac:dyDescent="0.2">
      <c r="D57" s="241"/>
      <c r="E57" s="242"/>
      <c r="F57" s="242"/>
      <c r="G57" s="238"/>
      <c r="H57" s="238"/>
      <c r="I57" s="238"/>
      <c r="J57" s="238"/>
      <c r="K57" s="238"/>
      <c r="L57" s="238"/>
      <c r="M57" s="243"/>
      <c r="N57" s="238"/>
      <c r="O57" s="238"/>
      <c r="P57" s="238"/>
      <c r="Q57" s="243"/>
      <c r="R57" s="238"/>
      <c r="S57" s="238"/>
      <c r="T57" s="238"/>
      <c r="V57" s="243" t="s">
        <v>346</v>
      </c>
      <c r="W57" s="244"/>
    </row>
    <row r="58" spans="4:25" x14ac:dyDescent="0.2">
      <c r="D58" s="241"/>
      <c r="E58" s="242"/>
      <c r="F58" s="245"/>
      <c r="G58" s="246" t="s">
        <v>36</v>
      </c>
      <c r="H58" s="247"/>
      <c r="I58" s="246" t="s">
        <v>348</v>
      </c>
      <c r="J58" s="246"/>
      <c r="K58" s="246" t="s">
        <v>377</v>
      </c>
      <c r="L58" s="243"/>
      <c r="M58" s="246" t="s">
        <v>378</v>
      </c>
      <c r="N58" s="243"/>
      <c r="O58" s="246" t="s">
        <v>351</v>
      </c>
      <c r="P58" s="243"/>
      <c r="Q58" s="246" t="s">
        <v>379</v>
      </c>
      <c r="R58" s="243"/>
      <c r="S58" s="246" t="s">
        <v>16</v>
      </c>
      <c r="T58" s="238"/>
      <c r="V58" s="246" t="s">
        <v>31</v>
      </c>
      <c r="W58" s="248"/>
      <c r="Y58" s="238"/>
    </row>
    <row r="59" spans="4:25" x14ac:dyDescent="0.2">
      <c r="D59" s="216"/>
      <c r="E59" s="242"/>
      <c r="F59" s="242"/>
      <c r="G59" s="242"/>
      <c r="H59" s="242"/>
      <c r="I59" s="242"/>
      <c r="J59" s="242"/>
      <c r="K59" s="242"/>
      <c r="L59" s="242"/>
      <c r="M59" s="242"/>
      <c r="N59" s="238"/>
      <c r="O59" s="238"/>
      <c r="P59" s="238"/>
      <c r="Q59" s="238"/>
      <c r="R59" s="238"/>
      <c r="S59" s="238"/>
      <c r="T59" s="238"/>
      <c r="U59" s="238"/>
      <c r="V59" s="249"/>
      <c r="W59" s="239"/>
    </row>
    <row r="60" spans="4:25" x14ac:dyDescent="0.2">
      <c r="D60" s="216" t="s">
        <v>380</v>
      </c>
      <c r="E60" s="242"/>
      <c r="F60" s="242"/>
      <c r="G60" s="250">
        <v>2.63E-2</v>
      </c>
      <c r="H60" s="189" t="s">
        <v>356</v>
      </c>
      <c r="I60" s="251">
        <v>93302454</v>
      </c>
      <c r="J60" s="242"/>
      <c r="K60" s="252">
        <f>ROUND(G60*I60,0)</f>
        <v>2453855</v>
      </c>
      <c r="L60" s="238"/>
      <c r="M60" s="253">
        <v>0</v>
      </c>
      <c r="N60" s="238"/>
      <c r="O60" s="253">
        <v>0</v>
      </c>
      <c r="P60" s="238"/>
      <c r="Q60" s="253">
        <v>0</v>
      </c>
      <c r="R60" s="238"/>
      <c r="S60" s="252">
        <f>SUM(K60,M60,Q60)</f>
        <v>2453855</v>
      </c>
      <c r="T60" s="238"/>
      <c r="U60" s="254"/>
      <c r="V60" s="255">
        <f>K60/I60*100</f>
        <v>2.6300004928059022</v>
      </c>
      <c r="W60" s="239"/>
    </row>
    <row r="61" spans="4:25" ht="15.75" thickBot="1" x14ac:dyDescent="0.25">
      <c r="D61" s="216" t="s">
        <v>381</v>
      </c>
      <c r="E61" s="243"/>
      <c r="F61" s="256"/>
      <c r="G61" s="257">
        <f>G60</f>
        <v>2.63E-2</v>
      </c>
      <c r="H61" s="189" t="s">
        <v>356</v>
      </c>
      <c r="I61" s="258">
        <f>-I23</f>
        <v>-16693620</v>
      </c>
      <c r="J61" s="205">
        <v>2</v>
      </c>
      <c r="K61" s="259">
        <f>ROUND(G61*I61,0)</f>
        <v>-439042</v>
      </c>
      <c r="L61" s="238"/>
      <c r="M61" s="260">
        <v>0</v>
      </c>
      <c r="N61" s="238"/>
      <c r="O61" s="260">
        <v>0</v>
      </c>
      <c r="P61" s="238"/>
      <c r="Q61" s="260">
        <v>0</v>
      </c>
      <c r="R61" s="238"/>
      <c r="S61" s="261">
        <f>SUM(K61,M61,Q61)</f>
        <v>-439042</v>
      </c>
      <c r="T61" s="238"/>
      <c r="U61" s="254"/>
      <c r="V61" s="262">
        <f>S61/I61*100</f>
        <v>2.6299987659956319</v>
      </c>
      <c r="W61" s="239"/>
      <c r="X61" s="238"/>
    </row>
    <row r="62" spans="4:25" ht="18.75" thickBot="1" x14ac:dyDescent="0.3">
      <c r="D62" s="216"/>
      <c r="E62" s="238"/>
      <c r="F62" s="238"/>
      <c r="G62" s="238" t="s">
        <v>16</v>
      </c>
      <c r="H62" s="238"/>
      <c r="I62" s="263">
        <f>SUM(I60:I61)</f>
        <v>76608834</v>
      </c>
      <c r="J62" s="238"/>
      <c r="K62" s="263">
        <f>SUM(K60:K61)</f>
        <v>2014813</v>
      </c>
      <c r="L62" s="238"/>
      <c r="M62" s="263">
        <f>SUM(M60:M61)</f>
        <v>0</v>
      </c>
      <c r="N62" s="238"/>
      <c r="O62" s="263">
        <f>SUM(O60:O61)</f>
        <v>0</v>
      </c>
      <c r="P62" s="264"/>
      <c r="Q62" s="263">
        <f>SUM(Q60:Q61)</f>
        <v>0</v>
      </c>
      <c r="R62" s="238"/>
      <c r="S62" s="263">
        <f>SUM(S60:S61)</f>
        <v>2014813</v>
      </c>
      <c r="T62" s="238"/>
      <c r="U62" s="242"/>
      <c r="V62" s="265">
        <f>S62/I62</f>
        <v>2.6300008690903716E-2</v>
      </c>
      <c r="W62" s="239"/>
    </row>
    <row r="63" spans="4:25" ht="15.75" thickTop="1" x14ac:dyDescent="0.2">
      <c r="D63" s="266"/>
      <c r="E63" s="267"/>
      <c r="F63" s="267"/>
      <c r="G63" s="267"/>
      <c r="H63" s="267"/>
      <c r="I63" s="267"/>
      <c r="J63" s="267"/>
      <c r="K63" s="258"/>
      <c r="L63" s="267"/>
      <c r="M63" s="267"/>
      <c r="N63" s="267"/>
      <c r="O63" s="267"/>
      <c r="P63" s="267"/>
      <c r="Q63" s="258"/>
      <c r="R63" s="267"/>
      <c r="S63" s="267"/>
      <c r="T63" s="267"/>
      <c r="U63" s="267"/>
      <c r="V63" s="267"/>
      <c r="W63" s="268"/>
    </row>
    <row r="64" spans="4:25" x14ac:dyDescent="0.2">
      <c r="G64" s="269"/>
      <c r="I64" s="233"/>
      <c r="K64" s="233"/>
      <c r="S64" s="233"/>
    </row>
    <row r="65" spans="1:23" ht="15.75" thickBot="1" x14ac:dyDescent="0.25">
      <c r="G65" s="269"/>
      <c r="I65" s="233"/>
      <c r="K65" s="233"/>
      <c r="S65" s="233"/>
    </row>
    <row r="66" spans="1:23" ht="21.75" hidden="1" customHeight="1" x14ac:dyDescent="0.3">
      <c r="D66" s="182" t="s">
        <v>382</v>
      </c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270"/>
    </row>
    <row r="67" spans="1:23" ht="15" hidden="1" customHeight="1" x14ac:dyDescent="0.2">
      <c r="D67" s="188"/>
      <c r="E67" s="189"/>
      <c r="F67" s="189"/>
      <c r="G67" s="206"/>
      <c r="H67" s="189"/>
      <c r="I67" s="196"/>
      <c r="J67" s="189"/>
      <c r="K67" s="196"/>
      <c r="L67" s="189"/>
      <c r="M67" s="189"/>
      <c r="N67" s="189"/>
      <c r="O67" s="189"/>
      <c r="P67" s="189"/>
      <c r="Q67" s="189"/>
      <c r="R67" s="189"/>
      <c r="S67" s="196"/>
      <c r="T67" s="189"/>
      <c r="U67" s="189"/>
      <c r="V67" s="189"/>
      <c r="W67" s="192"/>
    </row>
    <row r="68" spans="1:23" ht="15" hidden="1" customHeight="1" x14ac:dyDescent="0.2">
      <c r="D68" s="188"/>
      <c r="E68" s="189"/>
      <c r="F68" s="189"/>
      <c r="G68" s="206"/>
      <c r="H68" s="189"/>
      <c r="I68" s="196"/>
      <c r="J68" s="189"/>
      <c r="K68" s="190" t="s">
        <v>343</v>
      </c>
      <c r="L68" s="190"/>
      <c r="M68" s="190"/>
      <c r="N68" s="190"/>
      <c r="O68" s="190"/>
      <c r="P68" s="190"/>
      <c r="Q68" s="190"/>
      <c r="R68" s="190"/>
      <c r="S68" s="190"/>
      <c r="T68" s="189"/>
      <c r="U68" s="189"/>
      <c r="V68" s="189"/>
      <c r="W68" s="192"/>
    </row>
    <row r="69" spans="1:23" ht="15" hidden="1" customHeight="1" x14ac:dyDescent="0.2">
      <c r="D69" s="271"/>
      <c r="E69" s="189"/>
      <c r="F69" s="189"/>
      <c r="G69" s="206"/>
      <c r="H69" s="189"/>
      <c r="I69" s="196"/>
      <c r="J69" s="189"/>
      <c r="K69" s="186"/>
      <c r="L69" s="186"/>
      <c r="M69" s="186"/>
      <c r="N69" s="186"/>
      <c r="O69" s="186"/>
      <c r="P69" s="186"/>
      <c r="Q69" s="186"/>
      <c r="R69" s="186"/>
      <c r="S69" s="186"/>
      <c r="T69" s="189"/>
      <c r="U69" s="189"/>
      <c r="V69" s="189"/>
      <c r="W69" s="192"/>
    </row>
    <row r="70" spans="1:23" ht="15" hidden="1" customHeight="1" x14ac:dyDescent="0.2">
      <c r="D70" s="188"/>
      <c r="E70" s="189"/>
      <c r="F70" s="189"/>
      <c r="G70" s="206"/>
      <c r="H70" s="189"/>
      <c r="I70" s="196" t="s">
        <v>383</v>
      </c>
      <c r="J70" s="189"/>
      <c r="K70" s="196"/>
      <c r="L70" s="189"/>
      <c r="M70" s="191" t="s">
        <v>384</v>
      </c>
      <c r="N70" s="191"/>
      <c r="O70" s="191" t="s">
        <v>385</v>
      </c>
      <c r="P70" s="191"/>
      <c r="Q70" s="191"/>
      <c r="R70" s="191"/>
      <c r="S70" s="198"/>
      <c r="T70" s="189"/>
      <c r="U70" s="189"/>
      <c r="V70" s="191" t="s">
        <v>346</v>
      </c>
      <c r="W70" s="192"/>
    </row>
    <row r="71" spans="1:23" ht="15" hidden="1" customHeight="1" x14ac:dyDescent="0.2">
      <c r="A71" s="272" t="s">
        <v>386</v>
      </c>
      <c r="D71" s="188"/>
      <c r="E71" s="189"/>
      <c r="F71" s="189"/>
      <c r="G71" s="193" t="s">
        <v>36</v>
      </c>
      <c r="H71" s="189"/>
      <c r="I71" s="193" t="s">
        <v>348</v>
      </c>
      <c r="J71" s="193"/>
      <c r="K71" s="193" t="s">
        <v>377</v>
      </c>
      <c r="L71" s="189"/>
      <c r="M71" s="193" t="s">
        <v>387</v>
      </c>
      <c r="N71" s="191"/>
      <c r="O71" s="193" t="s">
        <v>387</v>
      </c>
      <c r="P71" s="191"/>
      <c r="Q71" s="191"/>
      <c r="R71" s="191"/>
      <c r="S71" s="273" t="s">
        <v>16</v>
      </c>
      <c r="T71" s="189"/>
      <c r="U71" s="189"/>
      <c r="V71" s="193" t="s">
        <v>31</v>
      </c>
      <c r="W71" s="192"/>
    </row>
    <row r="72" spans="1:23" ht="15" hidden="1" customHeight="1" x14ac:dyDescent="0.2">
      <c r="A72" s="274">
        <v>1.132967E-2</v>
      </c>
      <c r="B72" s="179" t="s">
        <v>388</v>
      </c>
      <c r="D72" s="188"/>
      <c r="E72" s="189"/>
      <c r="F72" s="189"/>
      <c r="G72" s="206"/>
      <c r="H72" s="189"/>
      <c r="I72" s="196"/>
      <c r="J72" s="189"/>
      <c r="K72" s="196"/>
      <c r="L72" s="189"/>
      <c r="M72" s="189"/>
      <c r="N72" s="189"/>
      <c r="O72" s="189"/>
      <c r="P72" s="189"/>
      <c r="Q72" s="189"/>
      <c r="R72" s="189"/>
      <c r="S72" s="196"/>
      <c r="T72" s="189"/>
      <c r="U72" s="189"/>
      <c r="V72" s="189"/>
      <c r="W72" s="192"/>
    </row>
    <row r="73" spans="1:23" ht="15" hidden="1" customHeight="1" x14ac:dyDescent="0.2">
      <c r="A73" s="274"/>
      <c r="D73" s="188" t="s">
        <v>389</v>
      </c>
      <c r="E73" s="189"/>
      <c r="F73" s="189"/>
      <c r="G73" s="195">
        <f>+(+A72+A73)/2</f>
        <v>5.664835E-3</v>
      </c>
      <c r="H73" s="189" t="s">
        <v>356</v>
      </c>
      <c r="I73" s="275">
        <v>0</v>
      </c>
      <c r="J73" s="189"/>
      <c r="K73" s="276">
        <f>+G73*I73</f>
        <v>0</v>
      </c>
      <c r="L73" s="189"/>
      <c r="M73" s="277">
        <f>25000000*0.00175</f>
        <v>43750</v>
      </c>
      <c r="N73" s="277"/>
      <c r="O73" s="277">
        <f>+I73*0.00125</f>
        <v>0</v>
      </c>
      <c r="P73" s="189"/>
      <c r="Q73" s="189"/>
      <c r="R73" s="189"/>
      <c r="S73" s="196">
        <f>+K73+M73+O73</f>
        <v>43750</v>
      </c>
      <c r="T73" s="189"/>
      <c r="U73" s="189"/>
      <c r="V73" s="218" t="e">
        <f>+S73/I73*100</f>
        <v>#DIV/0!</v>
      </c>
      <c r="W73" s="192"/>
    </row>
    <row r="74" spans="1:23" ht="15" hidden="1" customHeight="1" x14ac:dyDescent="0.2">
      <c r="A74" s="278" t="s">
        <v>390</v>
      </c>
      <c r="D74" s="188" t="s">
        <v>391</v>
      </c>
      <c r="E74" s="189"/>
      <c r="F74" s="189"/>
      <c r="G74" s="195">
        <f>+(+A75+A76)/2</f>
        <v>5.45E-3</v>
      </c>
      <c r="H74" s="189" t="s">
        <v>356</v>
      </c>
      <c r="I74" s="279">
        <v>0</v>
      </c>
      <c r="J74" s="189"/>
      <c r="K74" s="280">
        <f>+G74*I74</f>
        <v>0</v>
      </c>
      <c r="L74" s="189"/>
      <c r="M74" s="281">
        <f>25000000*0.00175</f>
        <v>43750</v>
      </c>
      <c r="N74" s="277"/>
      <c r="O74" s="281">
        <f>+I74*0.00125</f>
        <v>0</v>
      </c>
      <c r="P74" s="189"/>
      <c r="Q74" s="189"/>
      <c r="R74" s="189"/>
      <c r="S74" s="208">
        <f>+K74+M74+O74</f>
        <v>43750</v>
      </c>
      <c r="T74" s="189"/>
      <c r="U74" s="189"/>
      <c r="V74" s="282" t="e">
        <f>+S74/I74*100</f>
        <v>#DIV/0!</v>
      </c>
      <c r="W74" s="192"/>
    </row>
    <row r="75" spans="1:23" ht="15" hidden="1" customHeight="1" x14ac:dyDescent="0.2">
      <c r="A75" s="283">
        <v>1.09E-2</v>
      </c>
      <c r="B75" s="179" t="s">
        <v>392</v>
      </c>
      <c r="D75" s="188"/>
      <c r="E75" s="189"/>
      <c r="F75" s="189"/>
      <c r="G75" s="206"/>
      <c r="H75" s="189"/>
      <c r="I75" s="196"/>
      <c r="J75" s="189"/>
      <c r="K75" s="196"/>
      <c r="L75" s="189"/>
      <c r="M75" s="189"/>
      <c r="N75" s="189"/>
      <c r="O75" s="189"/>
      <c r="P75" s="189"/>
      <c r="Q75" s="189"/>
      <c r="R75" s="189"/>
      <c r="S75" s="196"/>
      <c r="T75" s="189"/>
      <c r="U75" s="189"/>
      <c r="V75" s="189"/>
      <c r="W75" s="192"/>
    </row>
    <row r="76" spans="1:23" ht="20.25" hidden="1" customHeight="1" x14ac:dyDescent="0.25">
      <c r="A76" s="283"/>
      <c r="D76" s="188"/>
      <c r="E76" s="189"/>
      <c r="F76" s="189"/>
      <c r="G76" s="206"/>
      <c r="H76" s="189"/>
      <c r="I76" s="226">
        <f>SUM(I73:I74)</f>
        <v>0</v>
      </c>
      <c r="J76" s="189"/>
      <c r="K76" s="226">
        <f>SUM(K73:K74)</f>
        <v>0</v>
      </c>
      <c r="L76" s="189"/>
      <c r="M76" s="226">
        <f>SUM(M73:M74)</f>
        <v>87500</v>
      </c>
      <c r="N76" s="189"/>
      <c r="O76" s="226">
        <f>SUM(O73:O74)</f>
        <v>0</v>
      </c>
      <c r="P76" s="189"/>
      <c r="Q76" s="189"/>
      <c r="R76" s="189"/>
      <c r="S76" s="226">
        <f>SUM(S73:S74)</f>
        <v>87500</v>
      </c>
      <c r="T76" s="189"/>
      <c r="U76" s="189"/>
      <c r="V76" s="284" t="e">
        <f>+S76/I76</f>
        <v>#DIV/0!</v>
      </c>
      <c r="W76" s="192"/>
    </row>
    <row r="77" spans="1:23" ht="15" hidden="1" customHeight="1" x14ac:dyDescent="0.2">
      <c r="D77" s="227"/>
      <c r="E77" s="228"/>
      <c r="F77" s="228"/>
      <c r="G77" s="285"/>
      <c r="H77" s="228"/>
      <c r="I77" s="208"/>
      <c r="J77" s="228"/>
      <c r="K77" s="208"/>
      <c r="L77" s="228"/>
      <c r="M77" s="228"/>
      <c r="N77" s="228"/>
      <c r="O77" s="228"/>
      <c r="P77" s="228"/>
      <c r="Q77" s="228"/>
      <c r="R77" s="228"/>
      <c r="S77" s="208"/>
      <c r="T77" s="228"/>
      <c r="U77" s="228"/>
      <c r="V77" s="189"/>
      <c r="W77" s="231"/>
    </row>
    <row r="78" spans="1:23" ht="15" customHeight="1" thickBot="1" x14ac:dyDescent="0.25">
      <c r="D78" s="179" t="s">
        <v>393</v>
      </c>
      <c r="G78" s="269"/>
      <c r="I78" s="233"/>
      <c r="K78" s="233"/>
      <c r="S78" s="233">
        <f>S48+S62</f>
        <v>67793630.960000008</v>
      </c>
      <c r="V78" s="286">
        <f>S78/(I48+I62)</f>
        <v>5.0578599121016254E-2</v>
      </c>
    </row>
    <row r="79" spans="1:23" ht="15" customHeight="1" x14ac:dyDescent="0.2">
      <c r="G79" s="269"/>
      <c r="I79" s="233"/>
      <c r="K79" s="233"/>
      <c r="S79" s="233"/>
    </row>
    <row r="80" spans="1:23" x14ac:dyDescent="0.2">
      <c r="D80" s="287" t="s">
        <v>394</v>
      </c>
      <c r="G80" s="269"/>
      <c r="I80" s="233"/>
      <c r="K80" s="233"/>
      <c r="S80" s="233"/>
    </row>
    <row r="82" spans="4:20" ht="13.5" customHeight="1" x14ac:dyDescent="0.2">
      <c r="D82" s="287" t="s">
        <v>395</v>
      </c>
      <c r="G82" s="269"/>
      <c r="I82" s="233"/>
      <c r="K82" s="233"/>
    </row>
    <row r="83" spans="4:20" ht="13.5" customHeight="1" x14ac:dyDescent="0.2">
      <c r="D83" s="287" t="s">
        <v>396</v>
      </c>
      <c r="G83" s="269"/>
      <c r="I83" s="233"/>
      <c r="K83" s="233"/>
    </row>
    <row r="84" spans="4:20" ht="13.5" customHeight="1" x14ac:dyDescent="0.2">
      <c r="D84" s="287"/>
      <c r="G84" s="269"/>
      <c r="I84" s="233"/>
      <c r="K84" s="233"/>
    </row>
    <row r="85" spans="4:20" ht="13.5" customHeight="1" x14ac:dyDescent="0.2">
      <c r="D85" s="287" t="s">
        <v>397</v>
      </c>
      <c r="G85" s="269"/>
      <c r="I85" s="233"/>
      <c r="K85" s="233"/>
    </row>
    <row r="86" spans="4:20" ht="15" customHeight="1" x14ac:dyDescent="0.2">
      <c r="N86" s="288"/>
      <c r="O86" s="289"/>
      <c r="P86" s="289"/>
      <c r="Q86" s="289"/>
      <c r="R86" s="289"/>
      <c r="T86" s="233"/>
    </row>
    <row r="87" spans="4:20" ht="15" hidden="1" customHeight="1" x14ac:dyDescent="0.2">
      <c r="N87" s="288"/>
      <c r="O87" s="289"/>
      <c r="P87" s="289"/>
      <c r="Q87" s="289"/>
      <c r="R87" s="289"/>
      <c r="T87" s="233"/>
    </row>
    <row r="88" spans="4:20" ht="15" hidden="1" customHeight="1" x14ac:dyDescent="0.2">
      <c r="N88" s="288"/>
      <c r="O88" s="289"/>
      <c r="P88" s="289"/>
      <c r="Q88" s="289"/>
      <c r="R88" s="289"/>
      <c r="T88" s="233"/>
    </row>
    <row r="89" spans="4:20" ht="15" hidden="1" customHeight="1" x14ac:dyDescent="0.2">
      <c r="N89" s="288"/>
      <c r="O89" s="289"/>
      <c r="P89" s="289"/>
      <c r="Q89" s="289"/>
      <c r="R89" s="289"/>
      <c r="T89" s="233"/>
    </row>
    <row r="90" spans="4:20" ht="15" hidden="1" customHeight="1" x14ac:dyDescent="0.2">
      <c r="N90" s="288"/>
      <c r="O90" s="289"/>
      <c r="P90" s="289"/>
      <c r="Q90" s="289"/>
      <c r="R90" s="289"/>
      <c r="T90" s="233"/>
    </row>
    <row r="91" spans="4:20" ht="15" hidden="1" customHeight="1" x14ac:dyDescent="0.2">
      <c r="N91" s="288"/>
      <c r="O91" s="289"/>
      <c r="P91" s="289"/>
      <c r="Q91" s="289"/>
      <c r="R91" s="289"/>
      <c r="T91" s="233"/>
    </row>
    <row r="92" spans="4:20" ht="15" hidden="1" customHeight="1" x14ac:dyDescent="0.2">
      <c r="N92" s="288"/>
      <c r="O92" s="289"/>
      <c r="P92" s="289"/>
      <c r="Q92" s="289"/>
      <c r="R92" s="289"/>
      <c r="T92" s="233"/>
    </row>
    <row r="93" spans="4:20" ht="15" hidden="1" customHeight="1" x14ac:dyDescent="0.2">
      <c r="N93" s="288"/>
      <c r="O93" s="289"/>
      <c r="P93" s="289"/>
      <c r="Q93" s="289"/>
      <c r="R93" s="289"/>
      <c r="T93" s="233"/>
    </row>
    <row r="94" spans="4:20" ht="15" hidden="1" customHeight="1" x14ac:dyDescent="0.2">
      <c r="N94" s="288"/>
      <c r="O94" s="289"/>
      <c r="P94" s="289"/>
      <c r="Q94" s="289"/>
      <c r="R94" s="289"/>
      <c r="T94" s="233"/>
    </row>
    <row r="95" spans="4:20" ht="15" hidden="1" customHeight="1" x14ac:dyDescent="0.2">
      <c r="N95" s="288"/>
      <c r="O95" s="289"/>
      <c r="P95" s="289"/>
      <c r="Q95" s="289"/>
      <c r="R95" s="289"/>
      <c r="T95" s="233"/>
    </row>
    <row r="96" spans="4:20" ht="15" hidden="1" customHeight="1" x14ac:dyDescent="0.2">
      <c r="N96" s="288"/>
      <c r="O96" s="289"/>
      <c r="P96" s="289"/>
      <c r="Q96" s="289"/>
      <c r="R96" s="289"/>
      <c r="T96" s="233"/>
    </row>
    <row r="97" spans="4:24" ht="15" customHeight="1" x14ac:dyDescent="0.2">
      <c r="D97" s="179" t="s">
        <v>398</v>
      </c>
      <c r="N97" s="288"/>
      <c r="O97" s="289"/>
      <c r="P97" s="289"/>
      <c r="Q97" s="289"/>
      <c r="R97" s="289"/>
      <c r="T97" s="233"/>
    </row>
    <row r="98" spans="4:24" ht="15" customHeight="1" x14ac:dyDescent="0.2">
      <c r="N98" s="288"/>
      <c r="O98" s="289"/>
      <c r="P98" s="289"/>
      <c r="Q98" s="289"/>
      <c r="R98" s="289"/>
      <c r="T98" s="233"/>
    </row>
    <row r="99" spans="4:24" x14ac:dyDescent="0.2">
      <c r="D99" s="287" t="s">
        <v>399</v>
      </c>
      <c r="I99" s="287" t="s">
        <v>400</v>
      </c>
      <c r="J99" s="233"/>
      <c r="M99" s="179" t="s">
        <v>401</v>
      </c>
      <c r="Q99" s="179" t="s">
        <v>402</v>
      </c>
      <c r="S99" s="290"/>
      <c r="T99" s="287"/>
      <c r="U99" s="290"/>
      <c r="V99" s="287"/>
      <c r="X99" s="287"/>
    </row>
    <row r="100" spans="4:24" x14ac:dyDescent="0.2">
      <c r="D100" s="287" t="s">
        <v>403</v>
      </c>
      <c r="I100" s="287" t="s">
        <v>404</v>
      </c>
      <c r="M100" s="287" t="s">
        <v>405</v>
      </c>
      <c r="N100" s="233"/>
      <c r="P100" s="233"/>
      <c r="Q100" s="287" t="s">
        <v>406</v>
      </c>
      <c r="R100" s="233"/>
      <c r="S100" s="290"/>
      <c r="V100" s="287"/>
    </row>
    <row r="101" spans="4:24" x14ac:dyDescent="0.2">
      <c r="D101" s="287" t="s">
        <v>407</v>
      </c>
      <c r="E101" s="290"/>
      <c r="F101" s="290"/>
      <c r="G101" s="290"/>
      <c r="H101" s="290"/>
      <c r="I101" s="287" t="s">
        <v>408</v>
      </c>
      <c r="J101" s="290"/>
      <c r="K101" s="290"/>
      <c r="L101" s="290"/>
      <c r="M101" s="287" t="s">
        <v>409</v>
      </c>
      <c r="N101" s="290"/>
      <c r="O101" s="290"/>
      <c r="P101" s="290"/>
      <c r="Q101" s="287" t="s">
        <v>410</v>
      </c>
      <c r="R101" s="290"/>
      <c r="S101" s="290"/>
      <c r="T101" s="290"/>
      <c r="U101" s="290"/>
      <c r="W101" s="290"/>
    </row>
    <row r="102" spans="4:24" x14ac:dyDescent="0.2">
      <c r="D102" s="287" t="s">
        <v>411</v>
      </c>
      <c r="I102" s="287" t="s">
        <v>412</v>
      </c>
      <c r="M102" s="179" t="s">
        <v>413</v>
      </c>
      <c r="S102" s="233"/>
    </row>
    <row r="105" spans="4:24" x14ac:dyDescent="0.2">
      <c r="D105" s="291" t="s">
        <v>414</v>
      </c>
      <c r="E105" s="267"/>
      <c r="F105" s="267"/>
      <c r="G105" s="267"/>
      <c r="H105" s="267"/>
      <c r="I105" s="267"/>
      <c r="J105" s="267"/>
      <c r="K105" s="267"/>
      <c r="L105" s="267"/>
      <c r="M105" s="267"/>
      <c r="O105" s="179" t="s">
        <v>415</v>
      </c>
      <c r="P105" s="267"/>
      <c r="Q105" s="267"/>
      <c r="R105" s="267"/>
      <c r="S105" s="267"/>
    </row>
    <row r="106" spans="4:24" x14ac:dyDescent="0.2">
      <c r="D106" s="291"/>
    </row>
    <row r="107" spans="4:24" x14ac:dyDescent="0.2">
      <c r="D107" s="291" t="s">
        <v>416</v>
      </c>
      <c r="E107" s="267"/>
      <c r="F107" s="267"/>
      <c r="G107" s="267"/>
      <c r="H107" s="267"/>
      <c r="I107" s="267"/>
      <c r="J107" s="267"/>
      <c r="K107" s="267"/>
      <c r="L107" s="267"/>
      <c r="M107" s="267"/>
      <c r="O107" s="179" t="s">
        <v>415</v>
      </c>
      <c r="P107" s="267"/>
      <c r="Q107" s="267"/>
      <c r="R107" s="267"/>
      <c r="S107" s="267"/>
    </row>
    <row r="129" spans="4:13" x14ac:dyDescent="0.2"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</row>
    <row r="130" spans="4:13" x14ac:dyDescent="0.2"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</row>
    <row r="131" spans="4:13" x14ac:dyDescent="0.2"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</row>
    <row r="132" spans="4:13" x14ac:dyDescent="0.2"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</row>
  </sheetData>
  <phoneticPr fontId="9" type="noConversion"/>
  <pageMargins left="0.5" right="0.5" top="0.5" bottom="0.5" header="0.5" footer="0.5"/>
  <pageSetup scale="49" orientation="portrait" r:id="rId1"/>
  <headerFooter alignWithMargins="0">
    <oddFooter>&amp;Z&amp;F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AB131"/>
  <sheetViews>
    <sheetView topLeftCell="A55" zoomScale="65" workbookViewId="0">
      <selection activeCell="E11" sqref="E11"/>
    </sheetView>
  </sheetViews>
  <sheetFormatPr defaultColWidth="9.7109375" defaultRowHeight="15" x14ac:dyDescent="0.2"/>
  <cols>
    <col min="1" max="1" width="11.42578125" style="179" customWidth="1"/>
    <col min="2" max="2" width="9.7109375" style="179"/>
    <col min="3" max="3" width="2.7109375" style="179" customWidth="1"/>
    <col min="4" max="4" width="41.5703125" style="179" customWidth="1"/>
    <col min="5" max="5" width="13.7109375" style="179" customWidth="1"/>
    <col min="6" max="6" width="1.7109375" style="179" customWidth="1"/>
    <col min="7" max="7" width="12.28515625" style="179" customWidth="1"/>
    <col min="8" max="8" width="1.7109375" style="179" customWidth="1"/>
    <col min="9" max="9" width="16.7109375" style="179" customWidth="1"/>
    <col min="10" max="10" width="1.7109375" style="179" customWidth="1"/>
    <col min="11" max="11" width="16.5703125" style="179" customWidth="1"/>
    <col min="12" max="12" width="3.140625" style="179" customWidth="1"/>
    <col min="13" max="13" width="14.7109375" style="179" customWidth="1"/>
    <col min="14" max="14" width="3.7109375" style="179" customWidth="1"/>
    <col min="15" max="15" width="10.7109375" style="179" customWidth="1"/>
    <col min="16" max="16" width="1.7109375" style="179" customWidth="1"/>
    <col min="17" max="17" width="15.85546875" style="179" customWidth="1"/>
    <col min="18" max="18" width="3.7109375" style="179" customWidth="1"/>
    <col min="19" max="19" width="15.7109375" style="179" customWidth="1"/>
    <col min="20" max="20" width="1.7109375" style="179" customWidth="1"/>
    <col min="21" max="21" width="2.7109375" style="179" customWidth="1"/>
    <col min="22" max="22" width="11.85546875" style="179" customWidth="1"/>
    <col min="23" max="23" width="4.7109375" style="179" customWidth="1"/>
    <col min="24" max="16384" width="9.7109375" style="179"/>
  </cols>
  <sheetData>
    <row r="1" spans="4:23" ht="15.75" x14ac:dyDescent="0.25">
      <c r="D1" s="177" t="s">
        <v>82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4:23" ht="15.75" x14ac:dyDescent="0.25">
      <c r="D2" s="177" t="s">
        <v>341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4:23" ht="18" x14ac:dyDescent="0.25">
      <c r="D3" s="180">
        <v>39447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</row>
    <row r="4" spans="4:23" x14ac:dyDescent="0.2">
      <c r="D4" s="181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</row>
    <row r="5" spans="4:23" x14ac:dyDescent="0.2"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</row>
    <row r="6" spans="4:23" ht="20.25" x14ac:dyDescent="0.3">
      <c r="D6" s="182" t="s">
        <v>342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4"/>
    </row>
    <row r="7" spans="4:23" ht="20.25" x14ac:dyDescent="0.3"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7"/>
    </row>
    <row r="8" spans="4:23" x14ac:dyDescent="0.2">
      <c r="D8" s="188"/>
      <c r="E8" s="189"/>
      <c r="F8" s="189"/>
      <c r="G8" s="189"/>
      <c r="H8" s="189"/>
      <c r="I8" s="189"/>
      <c r="J8" s="189"/>
      <c r="K8" s="190" t="s">
        <v>343</v>
      </c>
      <c r="L8" s="190"/>
      <c r="M8" s="190"/>
      <c r="N8" s="190"/>
      <c r="O8" s="190"/>
      <c r="P8" s="190"/>
      <c r="Q8" s="190"/>
      <c r="R8" s="190"/>
      <c r="S8" s="190"/>
      <c r="T8" s="189"/>
      <c r="U8" s="189"/>
      <c r="V8" s="191"/>
      <c r="W8" s="187"/>
    </row>
    <row r="9" spans="4:23" x14ac:dyDescent="0.2">
      <c r="D9" s="188"/>
      <c r="E9" s="189"/>
      <c r="F9" s="189"/>
      <c r="G9" s="189"/>
      <c r="H9" s="189"/>
      <c r="I9" s="189"/>
      <c r="J9" s="189"/>
      <c r="K9" s="189"/>
      <c r="L9" s="189"/>
      <c r="M9" s="189" t="s">
        <v>344</v>
      </c>
      <c r="N9" s="189"/>
      <c r="O9" s="189"/>
      <c r="P9" s="189"/>
      <c r="Q9" s="191" t="s">
        <v>345</v>
      </c>
      <c r="R9" s="189"/>
      <c r="S9" s="189"/>
      <c r="T9" s="189"/>
      <c r="U9" s="189"/>
      <c r="V9" s="191" t="s">
        <v>346</v>
      </c>
      <c r="W9" s="192"/>
    </row>
    <row r="10" spans="4:23" x14ac:dyDescent="0.2">
      <c r="D10" s="188"/>
      <c r="E10" s="193" t="s">
        <v>347</v>
      </c>
      <c r="F10" s="191"/>
      <c r="G10" s="193" t="s">
        <v>36</v>
      </c>
      <c r="H10" s="191"/>
      <c r="I10" s="193" t="s">
        <v>348</v>
      </c>
      <c r="J10" s="191"/>
      <c r="K10" s="193" t="s">
        <v>349</v>
      </c>
      <c r="L10" s="189"/>
      <c r="M10" s="193" t="s">
        <v>350</v>
      </c>
      <c r="N10" s="189"/>
      <c r="O10" s="193" t="s">
        <v>351</v>
      </c>
      <c r="P10" s="189"/>
      <c r="Q10" s="193" t="s">
        <v>352</v>
      </c>
      <c r="R10" s="189"/>
      <c r="S10" s="193" t="s">
        <v>16</v>
      </c>
      <c r="T10" s="189"/>
      <c r="U10" s="189"/>
      <c r="V10" s="193" t="s">
        <v>353</v>
      </c>
      <c r="W10" s="192"/>
    </row>
    <row r="11" spans="4:23" x14ac:dyDescent="0.2">
      <c r="D11" s="188"/>
      <c r="E11" s="194"/>
      <c r="F11" s="189"/>
      <c r="G11" s="195"/>
      <c r="H11" s="189"/>
      <c r="I11" s="196"/>
      <c r="J11" s="189"/>
      <c r="K11" s="196"/>
      <c r="L11" s="189"/>
      <c r="M11" s="197"/>
      <c r="N11" s="198"/>
      <c r="O11" s="198"/>
      <c r="P11" s="196"/>
      <c r="Q11" s="196"/>
      <c r="R11" s="196"/>
      <c r="S11" s="196"/>
      <c r="T11" s="189"/>
      <c r="U11" s="189"/>
      <c r="V11" s="199"/>
      <c r="W11" s="192"/>
    </row>
    <row r="12" spans="4:23" x14ac:dyDescent="0.2">
      <c r="D12" s="200" t="s">
        <v>354</v>
      </c>
      <c r="E12" s="194"/>
      <c r="F12" s="189"/>
      <c r="G12" s="195"/>
      <c r="H12" s="189"/>
      <c r="I12" s="196"/>
      <c r="J12" s="189"/>
      <c r="K12" s="196"/>
      <c r="L12" s="189"/>
      <c r="M12" s="197"/>
      <c r="N12" s="198"/>
      <c r="O12" s="198"/>
      <c r="P12" s="196"/>
      <c r="Q12" s="196"/>
      <c r="R12" s="196"/>
      <c r="S12" s="196"/>
      <c r="T12" s="189"/>
      <c r="U12" s="189"/>
      <c r="V12" s="201"/>
      <c r="W12" s="192"/>
    </row>
    <row r="13" spans="4:23" x14ac:dyDescent="0.2">
      <c r="D13" s="202" t="s">
        <v>355</v>
      </c>
      <c r="E13" s="194">
        <v>45047</v>
      </c>
      <c r="F13" s="189"/>
      <c r="G13" s="203">
        <v>4.7500000000000001E-2</v>
      </c>
      <c r="H13" s="189" t="s">
        <v>356</v>
      </c>
      <c r="I13" s="196">
        <v>12900000</v>
      </c>
      <c r="J13" s="189"/>
      <c r="K13" s="196">
        <f t="shared" ref="K13:K26" si="0">ROUND(G13*I13,0)</f>
        <v>612750</v>
      </c>
      <c r="L13" s="189"/>
      <c r="M13" s="197">
        <f>1441*12</f>
        <v>17292</v>
      </c>
      <c r="N13" s="198"/>
      <c r="O13" s="198" t="s">
        <v>357</v>
      </c>
      <c r="P13" s="196"/>
      <c r="Q13" s="196">
        <f>1399*12</f>
        <v>16788</v>
      </c>
      <c r="R13" s="196"/>
      <c r="S13" s="196">
        <f t="shared" ref="S13:S27" si="1">SUM(K13:R13)</f>
        <v>646830</v>
      </c>
      <c r="T13" s="189"/>
      <c r="U13" s="189"/>
      <c r="V13" s="201">
        <f t="shared" ref="V13:V26" si="2">ROUND((S13/I13)*100,2)</f>
        <v>5.01</v>
      </c>
      <c r="W13" s="192"/>
    </row>
    <row r="14" spans="4:23" x14ac:dyDescent="0.2">
      <c r="D14" s="202" t="s">
        <v>358</v>
      </c>
      <c r="E14" s="194">
        <v>11720</v>
      </c>
      <c r="F14" s="189"/>
      <c r="G14" s="203">
        <v>3.5200000000000002E-2</v>
      </c>
      <c r="H14" s="189" t="s">
        <v>356</v>
      </c>
      <c r="I14" s="196">
        <v>20930000</v>
      </c>
      <c r="J14" s="189"/>
      <c r="K14" s="196">
        <f t="shared" si="0"/>
        <v>736736</v>
      </c>
      <c r="L14" s="189"/>
      <c r="M14" s="197">
        <f>342*12</f>
        <v>4104</v>
      </c>
      <c r="N14" s="198"/>
      <c r="O14" s="198" t="s">
        <v>357</v>
      </c>
      <c r="P14" s="196"/>
      <c r="Q14" s="196">
        <f>3025*12</f>
        <v>36300</v>
      </c>
      <c r="R14" s="196"/>
      <c r="S14" s="196">
        <f t="shared" si="1"/>
        <v>777140</v>
      </c>
      <c r="T14" s="189"/>
      <c r="U14" s="189"/>
      <c r="V14" s="201">
        <f t="shared" si="2"/>
        <v>3.71</v>
      </c>
      <c r="W14" s="192"/>
    </row>
    <row r="15" spans="4:23" x14ac:dyDescent="0.2">
      <c r="D15" s="202" t="s">
        <v>359</v>
      </c>
      <c r="E15" s="194">
        <v>11720</v>
      </c>
      <c r="F15" s="189"/>
      <c r="G15" s="203">
        <v>3.5200000000000002E-2</v>
      </c>
      <c r="H15" s="189" t="s">
        <v>356</v>
      </c>
      <c r="I15" s="196">
        <v>2400000</v>
      </c>
      <c r="J15" s="189"/>
      <c r="K15" s="196">
        <f t="shared" si="0"/>
        <v>84480</v>
      </c>
      <c r="L15" s="189"/>
      <c r="M15" s="197">
        <f>238*12</f>
        <v>2856</v>
      </c>
      <c r="N15" s="198"/>
      <c r="O15" s="198" t="s">
        <v>357</v>
      </c>
      <c r="P15" s="196"/>
      <c r="Q15" s="196">
        <f>347*12</f>
        <v>4164</v>
      </c>
      <c r="R15" s="196"/>
      <c r="S15" s="196">
        <f t="shared" si="1"/>
        <v>91500</v>
      </c>
      <c r="T15" s="189"/>
      <c r="U15" s="189"/>
      <c r="V15" s="201">
        <f t="shared" si="2"/>
        <v>3.81</v>
      </c>
      <c r="W15" s="192"/>
    </row>
    <row r="16" spans="4:23" x14ac:dyDescent="0.2">
      <c r="D16" s="202" t="s">
        <v>360</v>
      </c>
      <c r="E16" s="194">
        <v>11720</v>
      </c>
      <c r="F16" s="189"/>
      <c r="G16" s="203">
        <v>3.5200000000000002E-2</v>
      </c>
      <c r="H16" s="189" t="s">
        <v>356</v>
      </c>
      <c r="I16" s="196">
        <v>2400000</v>
      </c>
      <c r="J16" s="189"/>
      <c r="K16" s="196">
        <f t="shared" si="0"/>
        <v>84480</v>
      </c>
      <c r="L16" s="189"/>
      <c r="M16" s="197">
        <f>95*12</f>
        <v>1140</v>
      </c>
      <c r="N16" s="198"/>
      <c r="O16" s="198" t="s">
        <v>357</v>
      </c>
      <c r="P16" s="196"/>
      <c r="Q16" s="196">
        <f>(230+1075)*12</f>
        <v>15660</v>
      </c>
      <c r="R16" s="196"/>
      <c r="S16" s="196">
        <f t="shared" si="1"/>
        <v>101280</v>
      </c>
      <c r="T16" s="189"/>
      <c r="U16" s="189"/>
      <c r="V16" s="201">
        <f t="shared" si="2"/>
        <v>4.22</v>
      </c>
      <c r="W16" s="192"/>
    </row>
    <row r="17" spans="4:23" x14ac:dyDescent="0.2">
      <c r="D17" s="202" t="s">
        <v>361</v>
      </c>
      <c r="E17" s="194">
        <v>11720</v>
      </c>
      <c r="F17" s="189"/>
      <c r="G17" s="203">
        <v>3.5200000000000002E-2</v>
      </c>
      <c r="H17" s="189" t="s">
        <v>356</v>
      </c>
      <c r="I17" s="196">
        <v>7400000</v>
      </c>
      <c r="J17" s="189"/>
      <c r="K17" s="196">
        <f t="shared" si="0"/>
        <v>260480</v>
      </c>
      <c r="L17" s="189"/>
      <c r="M17" s="197">
        <f>265*12</f>
        <v>3180</v>
      </c>
      <c r="N17" s="198"/>
      <c r="O17" s="198" t="s">
        <v>357</v>
      </c>
      <c r="P17" s="196"/>
      <c r="Q17" s="196">
        <f>1062*12</f>
        <v>12744</v>
      </c>
      <c r="R17" s="196"/>
      <c r="S17" s="196">
        <f t="shared" si="1"/>
        <v>276404</v>
      </c>
      <c r="T17" s="189"/>
      <c r="U17" s="189"/>
      <c r="V17" s="201">
        <f t="shared" si="2"/>
        <v>3.74</v>
      </c>
      <c r="W17" s="192"/>
    </row>
    <row r="18" spans="4:23" x14ac:dyDescent="0.2">
      <c r="D18" s="202" t="s">
        <v>362</v>
      </c>
      <c r="E18" s="194">
        <v>11963</v>
      </c>
      <c r="F18" s="189"/>
      <c r="G18" s="203">
        <v>4.5199999999999997E-2</v>
      </c>
      <c r="H18" s="189" t="s">
        <v>356</v>
      </c>
      <c r="I18" s="196">
        <v>96000000</v>
      </c>
      <c r="J18" s="189"/>
      <c r="K18" s="196">
        <f t="shared" si="0"/>
        <v>4339200</v>
      </c>
      <c r="L18" s="189"/>
      <c r="M18" s="197">
        <f>6059*12</f>
        <v>72708</v>
      </c>
      <c r="N18" s="198"/>
      <c r="O18" s="198"/>
      <c r="P18" s="196"/>
      <c r="Q18" s="196">
        <f>15503*12</f>
        <v>186036</v>
      </c>
      <c r="R18" s="196"/>
      <c r="S18" s="196">
        <f t="shared" si="1"/>
        <v>4597944</v>
      </c>
      <c r="T18" s="189"/>
      <c r="U18" s="189"/>
      <c r="V18" s="201">
        <f t="shared" si="2"/>
        <v>4.79</v>
      </c>
      <c r="W18" s="192"/>
    </row>
    <row r="19" spans="4:23" x14ac:dyDescent="0.2">
      <c r="D19" s="202" t="s">
        <v>363</v>
      </c>
      <c r="E19" s="194">
        <v>49218</v>
      </c>
      <c r="F19" s="189"/>
      <c r="G19" s="203">
        <v>4.9000000000000002E-2</v>
      </c>
      <c r="H19" s="189" t="s">
        <v>356</v>
      </c>
      <c r="I19" s="196">
        <v>50000000</v>
      </c>
      <c r="J19" s="189"/>
      <c r="K19" s="196">
        <f t="shared" si="0"/>
        <v>2450000</v>
      </c>
      <c r="L19" s="189"/>
      <c r="M19" s="197">
        <f>3339*12</f>
        <v>40068</v>
      </c>
      <c r="N19" s="198"/>
      <c r="O19" s="198"/>
      <c r="P19" s="196"/>
      <c r="Q19" s="196">
        <f>4495*12</f>
        <v>53940</v>
      </c>
      <c r="R19" s="196"/>
      <c r="S19" s="196">
        <f t="shared" si="1"/>
        <v>2544008</v>
      </c>
      <c r="T19" s="189"/>
      <c r="U19" s="189"/>
      <c r="V19" s="201">
        <f t="shared" si="2"/>
        <v>5.09</v>
      </c>
      <c r="W19" s="192"/>
    </row>
    <row r="20" spans="4:23" x14ac:dyDescent="0.2">
      <c r="D20" s="202" t="s">
        <v>364</v>
      </c>
      <c r="E20" s="194">
        <v>49461</v>
      </c>
      <c r="F20" s="189"/>
      <c r="G20" s="203">
        <v>4.5999999999999999E-2</v>
      </c>
      <c r="H20" s="189" t="s">
        <v>356</v>
      </c>
      <c r="I20" s="196">
        <v>13266950</v>
      </c>
      <c r="J20" s="189"/>
      <c r="K20" s="196">
        <f t="shared" si="0"/>
        <v>610280</v>
      </c>
      <c r="L20" s="189"/>
      <c r="M20" s="197">
        <f>1475*12</f>
        <v>17700</v>
      </c>
      <c r="N20" s="198"/>
      <c r="O20" s="198"/>
      <c r="P20" s="196"/>
      <c r="Q20" s="204">
        <v>0</v>
      </c>
      <c r="R20" s="196"/>
      <c r="S20" s="196">
        <f t="shared" si="1"/>
        <v>627980</v>
      </c>
      <c r="T20" s="189"/>
      <c r="U20" s="189"/>
      <c r="V20" s="201">
        <f t="shared" si="2"/>
        <v>4.7300000000000004</v>
      </c>
      <c r="W20" s="192"/>
    </row>
    <row r="21" spans="4:23" x14ac:dyDescent="0.2">
      <c r="D21" s="202" t="s">
        <v>365</v>
      </c>
      <c r="E21" s="194">
        <v>49461</v>
      </c>
      <c r="F21" s="189"/>
      <c r="G21" s="203">
        <v>4.5999999999999999E-2</v>
      </c>
      <c r="H21" s="189" t="s">
        <v>356</v>
      </c>
      <c r="I21" s="196">
        <v>13266950</v>
      </c>
      <c r="J21" s="189"/>
      <c r="K21" s="196">
        <f t="shared" si="0"/>
        <v>610280</v>
      </c>
      <c r="L21" s="189"/>
      <c r="M21" s="197">
        <f>1499*12</f>
        <v>17988</v>
      </c>
      <c r="N21" s="198"/>
      <c r="O21" s="198"/>
      <c r="P21" s="196"/>
      <c r="Q21" s="204">
        <v>0</v>
      </c>
      <c r="R21" s="196"/>
      <c r="S21" s="196">
        <f t="shared" si="1"/>
        <v>628268</v>
      </c>
      <c r="T21" s="189"/>
      <c r="U21" s="189"/>
      <c r="V21" s="201">
        <f t="shared" si="2"/>
        <v>4.74</v>
      </c>
      <c r="W21" s="192"/>
    </row>
    <row r="22" spans="4:23" x14ac:dyDescent="0.2">
      <c r="D22" s="202" t="s">
        <v>366</v>
      </c>
      <c r="E22" s="194">
        <v>49827</v>
      </c>
      <c r="F22" s="189"/>
      <c r="G22" s="203">
        <v>4.5499999999999999E-2</v>
      </c>
      <c r="H22" s="189" t="s">
        <v>356</v>
      </c>
      <c r="I22" s="196">
        <v>16693620</v>
      </c>
      <c r="J22" s="189"/>
      <c r="K22" s="196">
        <f t="shared" si="0"/>
        <v>759560</v>
      </c>
      <c r="L22" s="189"/>
      <c r="M22" s="197">
        <f>1724*12</f>
        <v>20688</v>
      </c>
      <c r="N22" s="198"/>
      <c r="O22" s="198"/>
      <c r="P22" s="196"/>
      <c r="Q22" s="204">
        <v>0</v>
      </c>
      <c r="R22" s="196"/>
      <c r="S22" s="196">
        <f t="shared" si="1"/>
        <v>780248</v>
      </c>
      <c r="T22" s="189"/>
      <c r="U22" s="189"/>
      <c r="V22" s="201">
        <f t="shared" si="2"/>
        <v>4.67</v>
      </c>
      <c r="W22" s="192"/>
    </row>
    <row r="23" spans="4:23" x14ac:dyDescent="0.2">
      <c r="D23" s="202" t="s">
        <v>367</v>
      </c>
      <c r="E23" s="194">
        <v>49827</v>
      </c>
      <c r="F23" s="189"/>
      <c r="G23" s="203">
        <v>4.5499999999999999E-2</v>
      </c>
      <c r="H23" s="189" t="s">
        <v>356</v>
      </c>
      <c r="I23" s="196">
        <v>16693620</v>
      </c>
      <c r="J23" s="189"/>
      <c r="K23" s="196">
        <f t="shared" si="0"/>
        <v>759560</v>
      </c>
      <c r="L23" s="189"/>
      <c r="M23" s="197">
        <f>1716.76*12</f>
        <v>20601.12</v>
      </c>
      <c r="N23" s="198"/>
      <c r="O23" s="198"/>
      <c r="P23" s="196"/>
      <c r="Q23" s="204">
        <v>0</v>
      </c>
      <c r="R23" s="196"/>
      <c r="S23" s="196">
        <f t="shared" si="1"/>
        <v>780161.12</v>
      </c>
      <c r="T23" s="189"/>
      <c r="U23" s="189"/>
      <c r="V23" s="201">
        <f t="shared" si="2"/>
        <v>4.67</v>
      </c>
      <c r="W23" s="192"/>
    </row>
    <row r="24" spans="4:23" x14ac:dyDescent="0.2">
      <c r="D24" s="202" t="s">
        <v>368</v>
      </c>
      <c r="E24" s="194">
        <v>49218</v>
      </c>
      <c r="F24" s="189"/>
      <c r="G24" s="203">
        <v>4.8000000000000001E-2</v>
      </c>
      <c r="H24" s="189" t="s">
        <v>356</v>
      </c>
      <c r="I24" s="196">
        <v>54000000</v>
      </c>
      <c r="J24" s="189"/>
      <c r="K24" s="196">
        <f t="shared" si="0"/>
        <v>2592000</v>
      </c>
      <c r="L24" s="189"/>
      <c r="M24" s="197">
        <f>3111.91*12</f>
        <v>37342.92</v>
      </c>
      <c r="N24" s="198"/>
      <c r="O24" s="198"/>
      <c r="P24" s="196"/>
      <c r="Q24" s="204">
        <v>0</v>
      </c>
      <c r="R24" s="196"/>
      <c r="S24" s="196">
        <f t="shared" si="1"/>
        <v>2629342.92</v>
      </c>
      <c r="T24" s="189"/>
      <c r="U24" s="189"/>
      <c r="V24" s="201">
        <f t="shared" si="2"/>
        <v>4.87</v>
      </c>
      <c r="W24" s="192"/>
    </row>
    <row r="25" spans="4:23" x14ac:dyDescent="0.2">
      <c r="D25" s="202" t="s">
        <v>369</v>
      </c>
      <c r="E25" s="194">
        <v>46054</v>
      </c>
      <c r="F25" s="189"/>
      <c r="G25" s="203">
        <v>5.2499999999999998E-2</v>
      </c>
      <c r="H25" s="189" t="s">
        <v>356</v>
      </c>
      <c r="I25" s="196">
        <v>17875000</v>
      </c>
      <c r="J25" s="189"/>
      <c r="K25" s="196">
        <f t="shared" si="0"/>
        <v>938438</v>
      </c>
      <c r="L25" s="189"/>
      <c r="M25" s="197">
        <f>1856.51*12</f>
        <v>22278.12</v>
      </c>
      <c r="N25" s="198"/>
      <c r="O25" s="198"/>
      <c r="P25" s="196"/>
      <c r="Q25" s="204">
        <v>0</v>
      </c>
      <c r="R25" s="196"/>
      <c r="S25" s="196">
        <f t="shared" si="1"/>
        <v>960716.12</v>
      </c>
      <c r="T25" s="189"/>
      <c r="U25" s="189"/>
      <c r="V25" s="201">
        <f t="shared" si="2"/>
        <v>5.37</v>
      </c>
      <c r="W25" s="192"/>
    </row>
    <row r="26" spans="4:23" x14ac:dyDescent="0.2">
      <c r="D26" s="202" t="s">
        <v>370</v>
      </c>
      <c r="E26" s="194">
        <v>50100</v>
      </c>
      <c r="F26" s="189"/>
      <c r="G26" s="203">
        <v>5.2499999999999998E-2</v>
      </c>
      <c r="H26" s="189" t="s">
        <v>356</v>
      </c>
      <c r="I26" s="196">
        <v>8927000</v>
      </c>
      <c r="J26" s="189"/>
      <c r="K26" s="196">
        <f t="shared" si="0"/>
        <v>468668</v>
      </c>
      <c r="L26" s="189"/>
      <c r="M26" s="197">
        <f>896.94*12</f>
        <v>10763.28</v>
      </c>
      <c r="N26" s="198"/>
      <c r="O26" s="198"/>
      <c r="P26" s="196"/>
      <c r="Q26" s="204">
        <v>0</v>
      </c>
      <c r="R26" s="196"/>
      <c r="S26" s="196">
        <f t="shared" si="1"/>
        <v>479431.28</v>
      </c>
      <c r="T26" s="189"/>
      <c r="U26" s="189"/>
      <c r="V26" s="201">
        <f t="shared" si="2"/>
        <v>5.37</v>
      </c>
      <c r="W26" s="192"/>
    </row>
    <row r="27" spans="4:23" ht="15.75" thickBot="1" x14ac:dyDescent="0.25">
      <c r="D27" s="202" t="s">
        <v>371</v>
      </c>
      <c r="E27" s="189"/>
      <c r="F27" s="189"/>
      <c r="G27" s="206"/>
      <c r="H27" s="189"/>
      <c r="I27" s="207" t="s">
        <v>372</v>
      </c>
      <c r="J27" s="189"/>
      <c r="K27" s="207" t="s">
        <v>357</v>
      </c>
      <c r="L27" s="189"/>
      <c r="M27" s="207" t="s">
        <v>357</v>
      </c>
      <c r="N27" s="198"/>
      <c r="O27" s="207" t="s">
        <v>357</v>
      </c>
      <c r="P27" s="196"/>
      <c r="Q27" s="208">
        <f>+(6627+1515+1100)*12</f>
        <v>110904</v>
      </c>
      <c r="R27" s="209">
        <v>1</v>
      </c>
      <c r="S27" s="208">
        <f t="shared" si="1"/>
        <v>110905</v>
      </c>
      <c r="T27" s="189"/>
      <c r="U27" s="189"/>
      <c r="V27" s="210" t="s">
        <v>357</v>
      </c>
      <c r="W27" s="192"/>
    </row>
    <row r="28" spans="4:23" ht="18.75" thickBot="1" x14ac:dyDescent="0.3">
      <c r="D28" s="211" t="s">
        <v>373</v>
      </c>
      <c r="E28" s="189"/>
      <c r="F28" s="189"/>
      <c r="G28" s="206"/>
      <c r="H28" s="189"/>
      <c r="I28" s="212">
        <f>SUM(I13:I27)</f>
        <v>332753140</v>
      </c>
      <c r="J28" s="189"/>
      <c r="K28" s="212">
        <f>SUM(K13:K27)</f>
        <v>15306912</v>
      </c>
      <c r="L28" s="189"/>
      <c r="M28" s="212">
        <f>SUM(M13:M27)</f>
        <v>288709.44</v>
      </c>
      <c r="N28" s="198"/>
      <c r="O28" s="207"/>
      <c r="P28" s="196"/>
      <c r="Q28" s="212">
        <f>SUM(Q13:Q27)</f>
        <v>436536</v>
      </c>
      <c r="R28" s="209"/>
      <c r="S28" s="212">
        <f>SUM(S13:S27)</f>
        <v>16032158.439999998</v>
      </c>
      <c r="T28" s="189"/>
      <c r="U28" s="189"/>
      <c r="V28" s="213">
        <f>+S28/I48</f>
        <v>1.2686147264488695E-2</v>
      </c>
      <c r="W28" s="192"/>
    </row>
    <row r="29" spans="4:23" x14ac:dyDescent="0.2">
      <c r="D29" s="202"/>
      <c r="E29" s="189"/>
      <c r="F29" s="189"/>
      <c r="G29" s="206"/>
      <c r="H29" s="189"/>
      <c r="I29" s="198"/>
      <c r="J29" s="189"/>
      <c r="K29" s="198"/>
      <c r="L29" s="189"/>
      <c r="M29" s="198"/>
      <c r="N29" s="198"/>
      <c r="O29" s="198"/>
      <c r="P29" s="196"/>
      <c r="Q29" s="196"/>
      <c r="R29" s="209"/>
      <c r="S29" s="196"/>
      <c r="T29" s="189"/>
      <c r="U29" s="189"/>
      <c r="V29" s="210"/>
      <c r="W29" s="192"/>
    </row>
    <row r="30" spans="4:23" x14ac:dyDescent="0.2">
      <c r="D30" s="200"/>
      <c r="E30" s="189"/>
      <c r="F30" s="189"/>
      <c r="G30" s="206"/>
      <c r="H30" s="189"/>
      <c r="I30" s="214"/>
      <c r="J30" s="189"/>
      <c r="K30" s="214"/>
      <c r="L30" s="189"/>
      <c r="M30" s="198"/>
      <c r="N30" s="198"/>
      <c r="O30" s="198"/>
      <c r="P30" s="196"/>
      <c r="Q30" s="196"/>
      <c r="R30" s="209"/>
      <c r="S30" s="196"/>
      <c r="T30" s="189"/>
      <c r="U30" s="189"/>
      <c r="V30" s="215"/>
      <c r="W30" s="192"/>
    </row>
    <row r="31" spans="4:23" ht="15.75" customHeight="1" x14ac:dyDescent="0.2">
      <c r="D31" s="216" t="s">
        <v>374</v>
      </c>
      <c r="E31" s="194">
        <v>41394</v>
      </c>
      <c r="F31" s="189"/>
      <c r="G31" s="195">
        <v>4.5499999999999999E-2</v>
      </c>
      <c r="H31" s="189"/>
      <c r="I31" s="196">
        <v>100000000</v>
      </c>
      <c r="J31" s="189"/>
      <c r="K31" s="196">
        <f t="shared" ref="K31:K44" si="3">ROUND(G31*I31,0)</f>
        <v>4550000</v>
      </c>
      <c r="L31" s="189"/>
      <c r="M31" s="217">
        <v>0</v>
      </c>
      <c r="N31" s="217"/>
      <c r="O31" s="217">
        <v>0</v>
      </c>
      <c r="P31" s="217"/>
      <c r="Q31" s="217">
        <v>0</v>
      </c>
      <c r="R31" s="189"/>
      <c r="S31" s="196">
        <f t="shared" ref="S31:S44" si="4">SUM(K31,M31,Q31)</f>
        <v>4550000</v>
      </c>
      <c r="T31" s="189"/>
      <c r="U31" s="189"/>
      <c r="V31" s="218">
        <f t="shared" ref="V31:V44" si="5">K31/I31*100</f>
        <v>4.55</v>
      </c>
      <c r="W31" s="192"/>
    </row>
    <row r="32" spans="4:23" ht="15.75" customHeight="1" x14ac:dyDescent="0.2">
      <c r="D32" s="216" t="s">
        <v>374</v>
      </c>
      <c r="E32" s="194">
        <v>41501</v>
      </c>
      <c r="F32" s="189"/>
      <c r="G32" s="195">
        <v>5.3100000000000001E-2</v>
      </c>
      <c r="H32" s="189"/>
      <c r="I32" s="196">
        <v>75000000</v>
      </c>
      <c r="J32" s="189"/>
      <c r="K32" s="196">
        <f t="shared" si="3"/>
        <v>3982500</v>
      </c>
      <c r="L32" s="189"/>
      <c r="M32" s="217">
        <v>0</v>
      </c>
      <c r="N32" s="217"/>
      <c r="O32" s="217">
        <v>0</v>
      </c>
      <c r="P32" s="217"/>
      <c r="Q32" s="217">
        <v>0</v>
      </c>
      <c r="R32" s="189"/>
      <c r="S32" s="196">
        <f t="shared" si="4"/>
        <v>3982500</v>
      </c>
      <c r="T32" s="189"/>
      <c r="U32" s="189"/>
      <c r="V32" s="218">
        <f t="shared" si="5"/>
        <v>5.3100000000000005</v>
      </c>
      <c r="W32" s="192"/>
    </row>
    <row r="33" spans="4:28" ht="15.75" customHeight="1" x14ac:dyDescent="0.2">
      <c r="D33" s="216" t="s">
        <v>374</v>
      </c>
      <c r="E33" s="194">
        <v>40506</v>
      </c>
      <c r="F33" s="189"/>
      <c r="G33" s="195">
        <v>4.24E-2</v>
      </c>
      <c r="H33" s="189"/>
      <c r="I33" s="196">
        <v>33000000</v>
      </c>
      <c r="J33" s="189"/>
      <c r="K33" s="196">
        <f t="shared" si="3"/>
        <v>1399200</v>
      </c>
      <c r="L33" s="189"/>
      <c r="M33" s="217">
        <v>0</v>
      </c>
      <c r="N33" s="217"/>
      <c r="O33" s="217">
        <v>0</v>
      </c>
      <c r="P33" s="217"/>
      <c r="Q33" s="217">
        <v>0</v>
      </c>
      <c r="R33" s="189"/>
      <c r="S33" s="196">
        <f t="shared" si="4"/>
        <v>1399200</v>
      </c>
      <c r="T33" s="189"/>
      <c r="U33" s="189"/>
      <c r="V33" s="218">
        <f t="shared" si="5"/>
        <v>4.24</v>
      </c>
      <c r="W33" s="192"/>
    </row>
    <row r="34" spans="4:28" ht="15.75" customHeight="1" x14ac:dyDescent="0.2">
      <c r="D34" s="216" t="s">
        <v>374</v>
      </c>
      <c r="E34" s="194">
        <v>40924</v>
      </c>
      <c r="F34" s="189"/>
      <c r="G34" s="195">
        <v>4.3900000000000002E-2</v>
      </c>
      <c r="H34" s="189"/>
      <c r="I34" s="196">
        <v>50000000</v>
      </c>
      <c r="J34" s="189"/>
      <c r="K34" s="196">
        <f t="shared" si="3"/>
        <v>2195000</v>
      </c>
      <c r="L34" s="189"/>
      <c r="M34" s="217">
        <v>0</v>
      </c>
      <c r="N34" s="217"/>
      <c r="O34" s="217">
        <v>0</v>
      </c>
      <c r="P34" s="217"/>
      <c r="Q34" s="217">
        <v>0</v>
      </c>
      <c r="R34" s="189"/>
      <c r="S34" s="196">
        <f t="shared" si="4"/>
        <v>2195000</v>
      </c>
      <c r="T34" s="189"/>
      <c r="U34" s="189"/>
      <c r="V34" s="218">
        <f t="shared" si="5"/>
        <v>4.3900000000000006</v>
      </c>
      <c r="W34" s="192"/>
    </row>
    <row r="35" spans="4:28" ht="15.75" customHeight="1" x14ac:dyDescent="0.2">
      <c r="D35" s="216" t="s">
        <v>374</v>
      </c>
      <c r="E35" s="194">
        <v>42193</v>
      </c>
      <c r="F35" s="189"/>
      <c r="G35" s="195">
        <v>4.7350000000000003E-2</v>
      </c>
      <c r="H35" s="189"/>
      <c r="I35" s="196">
        <v>50000000</v>
      </c>
      <c r="J35" s="189"/>
      <c r="K35" s="196">
        <f t="shared" si="3"/>
        <v>2367500</v>
      </c>
      <c r="L35" s="189"/>
      <c r="M35" s="217">
        <v>0</v>
      </c>
      <c r="N35" s="217"/>
      <c r="O35" s="217">
        <v>0</v>
      </c>
      <c r="P35" s="217"/>
      <c r="Q35" s="217">
        <v>0</v>
      </c>
      <c r="R35" s="189"/>
      <c r="S35" s="196">
        <f t="shared" si="4"/>
        <v>2367500</v>
      </c>
      <c r="T35" s="189"/>
      <c r="U35" s="189"/>
      <c r="V35" s="218">
        <f t="shared" si="5"/>
        <v>4.7350000000000003</v>
      </c>
      <c r="W35" s="192"/>
    </row>
    <row r="36" spans="4:28" ht="15.75" customHeight="1" x14ac:dyDescent="0.2">
      <c r="D36" s="216" t="s">
        <v>374</v>
      </c>
      <c r="E36" s="194">
        <v>42359</v>
      </c>
      <c r="F36" s="189"/>
      <c r="G36" s="195">
        <v>5.3600000000000002E-2</v>
      </c>
      <c r="H36" s="189"/>
      <c r="I36" s="196">
        <v>75000000</v>
      </c>
      <c r="J36" s="189"/>
      <c r="K36" s="196">
        <f t="shared" si="3"/>
        <v>4020000</v>
      </c>
      <c r="L36" s="189"/>
      <c r="M36" s="217">
        <v>0</v>
      </c>
      <c r="N36" s="217"/>
      <c r="O36" s="217">
        <v>0</v>
      </c>
      <c r="P36" s="217"/>
      <c r="Q36" s="217">
        <v>0</v>
      </c>
      <c r="R36" s="189"/>
      <c r="S36" s="196">
        <f t="shared" si="4"/>
        <v>4020000</v>
      </c>
      <c r="T36" s="189"/>
      <c r="U36" s="189"/>
      <c r="V36" s="218">
        <f t="shared" si="5"/>
        <v>5.36</v>
      </c>
      <c r="W36" s="192"/>
    </row>
    <row r="37" spans="4:28" ht="15.75" customHeight="1" x14ac:dyDescent="0.2">
      <c r="D37" s="216" t="s">
        <v>374</v>
      </c>
      <c r="E37" s="194">
        <v>13324</v>
      </c>
      <c r="F37" s="189"/>
      <c r="G37" s="195">
        <v>6.3299999999999995E-2</v>
      </c>
      <c r="H37" s="189"/>
      <c r="I37" s="196">
        <v>50000000</v>
      </c>
      <c r="J37" s="189"/>
      <c r="K37" s="196">
        <f t="shared" si="3"/>
        <v>3165000</v>
      </c>
      <c r="L37" s="189"/>
      <c r="M37" s="217">
        <v>0</v>
      </c>
      <c r="N37" s="217"/>
      <c r="O37" s="217">
        <v>0</v>
      </c>
      <c r="P37" s="217"/>
      <c r="Q37" s="217">
        <v>0</v>
      </c>
      <c r="R37" s="189"/>
      <c r="S37" s="196">
        <f t="shared" si="4"/>
        <v>3165000</v>
      </c>
      <c r="T37" s="189"/>
      <c r="U37" s="189"/>
      <c r="V37" s="218">
        <f t="shared" si="5"/>
        <v>6.3299999999999992</v>
      </c>
      <c r="W37" s="192"/>
    </row>
    <row r="38" spans="4:28" ht="15.75" customHeight="1" x14ac:dyDescent="0.25">
      <c r="D38" s="216" t="s">
        <v>374</v>
      </c>
      <c r="E38" s="194">
        <v>42668</v>
      </c>
      <c r="F38" s="189"/>
      <c r="G38" s="195">
        <v>5.6750000000000002E-2</v>
      </c>
      <c r="H38" s="189"/>
      <c r="I38" s="196">
        <v>50000000</v>
      </c>
      <c r="J38" s="189"/>
      <c r="K38" s="196">
        <f t="shared" si="3"/>
        <v>2837500</v>
      </c>
      <c r="L38" s="189"/>
      <c r="M38" s="217">
        <v>0</v>
      </c>
      <c r="N38" s="217"/>
      <c r="O38" s="217">
        <v>0</v>
      </c>
      <c r="P38" s="217"/>
      <c r="Q38" s="217">
        <v>0</v>
      </c>
      <c r="R38" s="189"/>
      <c r="S38" s="196">
        <f t="shared" si="4"/>
        <v>2837500</v>
      </c>
      <c r="T38" s="189"/>
      <c r="U38" s="189"/>
      <c r="V38" s="218">
        <f t="shared" si="5"/>
        <v>5.6749999999999998</v>
      </c>
      <c r="W38" s="192"/>
      <c r="AB38" s="219"/>
    </row>
    <row r="39" spans="4:28" ht="15.75" customHeight="1" x14ac:dyDescent="0.2">
      <c r="D39" s="216" t="s">
        <v>374</v>
      </c>
      <c r="E39" s="194">
        <v>44599</v>
      </c>
      <c r="F39" s="189"/>
      <c r="G39" s="195">
        <v>5.6899999999999999E-2</v>
      </c>
      <c r="H39" s="189"/>
      <c r="I39" s="196">
        <v>53000000</v>
      </c>
      <c r="J39" s="189"/>
      <c r="K39" s="196">
        <f t="shared" si="3"/>
        <v>3015700</v>
      </c>
      <c r="L39" s="189"/>
      <c r="M39" s="217">
        <v>0</v>
      </c>
      <c r="N39" s="217"/>
      <c r="O39" s="217">
        <v>0</v>
      </c>
      <c r="P39" s="217"/>
      <c r="Q39" s="217">
        <v>0</v>
      </c>
      <c r="R39" s="189"/>
      <c r="S39" s="196">
        <f t="shared" si="4"/>
        <v>3015700</v>
      </c>
      <c r="T39" s="189"/>
      <c r="U39" s="189"/>
      <c r="V39" s="218">
        <f t="shared" si="5"/>
        <v>5.6899999999999995</v>
      </c>
      <c r="W39" s="192"/>
    </row>
    <row r="40" spans="4:28" ht="15.75" customHeight="1" x14ac:dyDescent="0.2">
      <c r="D40" s="216" t="s">
        <v>374</v>
      </c>
      <c r="E40" s="194">
        <v>50129</v>
      </c>
      <c r="F40" s="189"/>
      <c r="G40" s="195">
        <v>5.8599999999999999E-2</v>
      </c>
      <c r="H40" s="189"/>
      <c r="I40" s="196">
        <v>75000000</v>
      </c>
      <c r="J40" s="189"/>
      <c r="K40" s="196">
        <f t="shared" si="3"/>
        <v>4395000</v>
      </c>
      <c r="L40" s="189"/>
      <c r="M40" s="217">
        <v>0</v>
      </c>
      <c r="N40" s="217"/>
      <c r="O40" s="217">
        <v>0</v>
      </c>
      <c r="P40" s="217"/>
      <c r="Q40" s="217">
        <v>0</v>
      </c>
      <c r="R40" s="189"/>
      <c r="S40" s="196">
        <f t="shared" si="4"/>
        <v>4395000</v>
      </c>
      <c r="T40" s="189"/>
      <c r="U40" s="189"/>
      <c r="V40" s="218">
        <f t="shared" si="5"/>
        <v>5.86</v>
      </c>
      <c r="W40" s="192"/>
    </row>
    <row r="41" spans="4:28" ht="15.75" customHeight="1" x14ac:dyDescent="0.2">
      <c r="D41" s="216" t="s">
        <v>374</v>
      </c>
      <c r="E41" s="194">
        <v>42906</v>
      </c>
      <c r="F41" s="189"/>
      <c r="G41" s="195">
        <v>5.9799999999999999E-2</v>
      </c>
      <c r="H41" s="189"/>
      <c r="I41" s="196">
        <v>50000000</v>
      </c>
      <c r="J41" s="189"/>
      <c r="K41" s="196">
        <f t="shared" si="3"/>
        <v>2990000</v>
      </c>
      <c r="L41" s="189"/>
      <c r="M41" s="217">
        <v>0</v>
      </c>
      <c r="N41" s="217"/>
      <c r="O41" s="217">
        <v>0</v>
      </c>
      <c r="P41" s="217"/>
      <c r="Q41" s="217">
        <v>0</v>
      </c>
      <c r="R41" s="189"/>
      <c r="S41" s="196">
        <f t="shared" si="4"/>
        <v>2990000</v>
      </c>
      <c r="T41" s="189"/>
      <c r="U41" s="189"/>
      <c r="V41" s="218">
        <f t="shared" si="5"/>
        <v>5.9799999999999995</v>
      </c>
      <c r="W41" s="192"/>
    </row>
    <row r="42" spans="4:28" ht="18" customHeight="1" x14ac:dyDescent="0.2">
      <c r="D42" s="216" t="s">
        <v>374</v>
      </c>
      <c r="E42" s="194">
        <v>47010</v>
      </c>
      <c r="F42" s="189"/>
      <c r="G42" s="195">
        <v>5.96E-2</v>
      </c>
      <c r="H42" s="189"/>
      <c r="I42" s="196">
        <v>100000000</v>
      </c>
      <c r="J42" s="189"/>
      <c r="K42" s="196">
        <f t="shared" si="3"/>
        <v>5960000</v>
      </c>
      <c r="L42" s="189"/>
      <c r="M42" s="217">
        <v>0</v>
      </c>
      <c r="N42" s="217"/>
      <c r="O42" s="217">
        <v>0</v>
      </c>
      <c r="P42" s="217"/>
      <c r="Q42" s="217">
        <v>0</v>
      </c>
      <c r="R42" s="189"/>
      <c r="S42" s="196">
        <f t="shared" si="4"/>
        <v>5960000</v>
      </c>
      <c r="T42" s="189"/>
      <c r="U42" s="189"/>
      <c r="V42" s="218">
        <f t="shared" si="5"/>
        <v>5.96</v>
      </c>
      <c r="W42" s="192"/>
    </row>
    <row r="43" spans="4:28" ht="18" customHeight="1" x14ac:dyDescent="0.2">
      <c r="D43" s="216" t="s">
        <v>374</v>
      </c>
      <c r="E43" s="194">
        <v>43763</v>
      </c>
      <c r="F43" s="189"/>
      <c r="G43" s="195">
        <v>5.7099999999999998E-2</v>
      </c>
      <c r="H43" s="189"/>
      <c r="I43" s="196">
        <v>70000000</v>
      </c>
      <c r="J43" s="189"/>
      <c r="K43" s="196">
        <f t="shared" si="3"/>
        <v>3997000</v>
      </c>
      <c r="L43" s="189"/>
      <c r="M43" s="217">
        <v>0</v>
      </c>
      <c r="N43" s="217"/>
      <c r="O43" s="217">
        <v>0</v>
      </c>
      <c r="P43" s="217"/>
      <c r="Q43" s="217">
        <v>0</v>
      </c>
      <c r="R43" s="189"/>
      <c r="S43" s="196">
        <f t="shared" si="4"/>
        <v>3997000</v>
      </c>
      <c r="T43" s="189"/>
      <c r="U43" s="189"/>
      <c r="V43" s="218">
        <f t="shared" si="5"/>
        <v>5.71</v>
      </c>
      <c r="W43" s="192"/>
    </row>
    <row r="44" spans="4:28" ht="18" customHeight="1" thickBot="1" x14ac:dyDescent="0.25">
      <c r="D44" s="216" t="s">
        <v>374</v>
      </c>
      <c r="E44" s="194">
        <v>41992</v>
      </c>
      <c r="F44" s="189"/>
      <c r="G44" s="195">
        <v>5.45E-2</v>
      </c>
      <c r="H44" s="189"/>
      <c r="I44" s="208">
        <v>100000000</v>
      </c>
      <c r="J44" s="189"/>
      <c r="K44" s="208">
        <f t="shared" si="3"/>
        <v>5450000</v>
      </c>
      <c r="L44" s="189"/>
      <c r="M44" s="220">
        <v>0</v>
      </c>
      <c r="N44" s="217"/>
      <c r="O44" s="220">
        <v>0</v>
      </c>
      <c r="P44" s="217"/>
      <c r="Q44" s="220">
        <v>0</v>
      </c>
      <c r="R44" s="189"/>
      <c r="S44" s="196">
        <f t="shared" si="4"/>
        <v>5450000</v>
      </c>
      <c r="T44" s="189"/>
      <c r="U44" s="189"/>
      <c r="V44" s="218">
        <f t="shared" si="5"/>
        <v>5.45</v>
      </c>
      <c r="W44" s="192"/>
    </row>
    <row r="45" spans="4:28" ht="18.75" thickBot="1" x14ac:dyDescent="0.3">
      <c r="D45" s="211" t="s">
        <v>375</v>
      </c>
      <c r="E45" s="189"/>
      <c r="F45" s="189"/>
      <c r="G45" s="206"/>
      <c r="H45" s="189"/>
      <c r="I45" s="221">
        <f>SUM(I31:I44)</f>
        <v>931000000</v>
      </c>
      <c r="J45" s="189"/>
      <c r="K45" s="221">
        <f>SUM(K31:K44)</f>
        <v>50324400</v>
      </c>
      <c r="L45" s="189"/>
      <c r="M45" s="222">
        <f>SUM(M31:M44)</f>
        <v>0</v>
      </c>
      <c r="N45" s="223"/>
      <c r="O45" s="222">
        <f>SUM(O31:O44)</f>
        <v>0</v>
      </c>
      <c r="P45" s="224"/>
      <c r="Q45" s="222">
        <f>SUM(Q31:Q44)</f>
        <v>0</v>
      </c>
      <c r="R45" s="196"/>
      <c r="S45" s="221">
        <f>SUM(S31:S44)</f>
        <v>50324400</v>
      </c>
      <c r="T45" s="189"/>
      <c r="U45" s="189"/>
      <c r="V45" s="213">
        <f>+S45/I48</f>
        <v>3.9821384736579174E-2</v>
      </c>
      <c r="W45" s="192"/>
    </row>
    <row r="46" spans="4:28" x14ac:dyDescent="0.2">
      <c r="D46" s="188"/>
      <c r="E46" s="189"/>
      <c r="F46" s="189"/>
      <c r="G46" s="206"/>
      <c r="H46" s="189"/>
      <c r="I46" s="196"/>
      <c r="J46" s="189"/>
      <c r="K46" s="196"/>
      <c r="L46" s="189"/>
      <c r="M46" s="198"/>
      <c r="N46" s="198"/>
      <c r="O46" s="198"/>
      <c r="P46" s="196"/>
      <c r="Q46" s="196"/>
      <c r="R46" s="196"/>
      <c r="S46" s="196"/>
      <c r="T46" s="189"/>
      <c r="U46" s="189"/>
      <c r="V46" s="199"/>
      <c r="W46" s="192"/>
    </row>
    <row r="47" spans="4:28" ht="15.75" thickBot="1" x14ac:dyDescent="0.25">
      <c r="D47" s="188"/>
      <c r="E47" s="189"/>
      <c r="F47" s="189"/>
      <c r="G47" s="206"/>
      <c r="H47" s="189"/>
      <c r="I47" s="196"/>
      <c r="J47" s="189"/>
      <c r="K47" s="196"/>
      <c r="L47" s="189"/>
      <c r="M47" s="198"/>
      <c r="N47" s="198"/>
      <c r="O47" s="198"/>
      <c r="P47" s="196"/>
      <c r="Q47" s="196"/>
      <c r="R47" s="196"/>
      <c r="S47" s="196"/>
      <c r="T47" s="189"/>
      <c r="U47" s="189"/>
      <c r="V47" s="199"/>
      <c r="W47" s="192"/>
    </row>
    <row r="48" spans="4:28" ht="18.75" thickBot="1" x14ac:dyDescent="0.3">
      <c r="D48" s="188"/>
      <c r="E48" s="189"/>
      <c r="F48" s="189"/>
      <c r="G48" s="225" t="s">
        <v>16</v>
      </c>
      <c r="H48" s="189"/>
      <c r="I48" s="226">
        <f>I28+I45</f>
        <v>1263753140</v>
      </c>
      <c r="J48" s="189"/>
      <c r="K48" s="226">
        <f>K28+K45</f>
        <v>65631312</v>
      </c>
      <c r="L48" s="189"/>
      <c r="M48" s="226">
        <f>M28+M45</f>
        <v>288709.44</v>
      </c>
      <c r="N48" s="189"/>
      <c r="O48" s="226">
        <f>O28+O45</f>
        <v>0</v>
      </c>
      <c r="P48" s="196"/>
      <c r="Q48" s="226">
        <f>Q28+Q45</f>
        <v>436536</v>
      </c>
      <c r="R48" s="196"/>
      <c r="S48" s="226">
        <f>S28+S45</f>
        <v>66356558.439999998</v>
      </c>
      <c r="T48" s="189"/>
      <c r="U48" s="189"/>
      <c r="V48" s="213">
        <f>+S48/I48</f>
        <v>5.2507532001067864E-2</v>
      </c>
      <c r="W48" s="192"/>
    </row>
    <row r="49" spans="4:25" ht="16.5" thickTop="1" x14ac:dyDescent="0.25">
      <c r="D49" s="227"/>
      <c r="E49" s="228"/>
      <c r="F49" s="228"/>
      <c r="G49" s="229"/>
      <c r="H49" s="228"/>
      <c r="I49" s="208"/>
      <c r="J49" s="228"/>
      <c r="K49" s="208"/>
      <c r="L49" s="228"/>
      <c r="M49" s="208"/>
      <c r="N49" s="208"/>
      <c r="O49" s="208"/>
      <c r="P49" s="208"/>
      <c r="Q49" s="208"/>
      <c r="R49" s="208"/>
      <c r="S49" s="208"/>
      <c r="T49" s="228"/>
      <c r="U49" s="228"/>
      <c r="V49" s="230"/>
      <c r="W49" s="231"/>
    </row>
    <row r="50" spans="4:25" ht="15.75" x14ac:dyDescent="0.25">
      <c r="G50" s="232"/>
      <c r="I50" s="233"/>
      <c r="K50" s="233"/>
      <c r="M50" s="233"/>
      <c r="N50" s="233"/>
      <c r="O50" s="233"/>
      <c r="P50" s="233"/>
      <c r="Q50" s="233"/>
      <c r="R50" s="233"/>
      <c r="S50" s="233"/>
      <c r="V50" s="234"/>
    </row>
    <row r="51" spans="4:25" ht="15.75" x14ac:dyDescent="0.25">
      <c r="G51" s="232"/>
      <c r="I51" s="233"/>
      <c r="K51" s="233"/>
      <c r="M51" s="233"/>
      <c r="N51" s="233"/>
      <c r="O51" s="233"/>
      <c r="P51" s="233"/>
      <c r="Q51" s="233"/>
      <c r="R51" s="233"/>
      <c r="S51" s="233"/>
      <c r="V51" s="234"/>
    </row>
    <row r="52" spans="4:25" ht="15.75" x14ac:dyDescent="0.25">
      <c r="G52" s="232"/>
      <c r="I52" s="233"/>
      <c r="K52" s="233"/>
      <c r="M52" s="233"/>
      <c r="N52" s="233"/>
      <c r="O52" s="233"/>
      <c r="P52" s="233"/>
      <c r="Q52" s="233"/>
      <c r="R52" s="233"/>
      <c r="S52" s="233"/>
      <c r="V52" s="234"/>
    </row>
    <row r="53" spans="4:25" ht="15.75" x14ac:dyDescent="0.25">
      <c r="G53" s="232"/>
      <c r="I53" s="233"/>
      <c r="K53" s="233"/>
      <c r="M53" s="233"/>
      <c r="N53" s="233"/>
      <c r="O53" s="233"/>
      <c r="P53" s="233"/>
      <c r="Q53" s="233"/>
      <c r="R53" s="233"/>
      <c r="S53" s="233"/>
      <c r="V53" s="234"/>
    </row>
    <row r="54" spans="4:25" ht="20.25" x14ac:dyDescent="0.3">
      <c r="D54" s="235" t="s">
        <v>376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7"/>
    </row>
    <row r="55" spans="4:25" x14ac:dyDescent="0.2">
      <c r="D55" s="216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9"/>
    </row>
    <row r="56" spans="4:25" x14ac:dyDescent="0.2">
      <c r="D56" s="216"/>
      <c r="E56" s="238"/>
      <c r="F56" s="238"/>
      <c r="G56" s="238"/>
      <c r="H56" s="238"/>
      <c r="I56" s="238"/>
      <c r="J56" s="238"/>
      <c r="K56" s="240" t="s">
        <v>343</v>
      </c>
      <c r="L56" s="240"/>
      <c r="M56" s="240"/>
      <c r="N56" s="240"/>
      <c r="O56" s="240"/>
      <c r="P56" s="240"/>
      <c r="Q56" s="240"/>
      <c r="R56" s="240"/>
      <c r="S56" s="240"/>
      <c r="T56" s="238"/>
      <c r="U56" s="238"/>
      <c r="V56" s="238"/>
      <c r="W56" s="239"/>
    </row>
    <row r="57" spans="4:25" x14ac:dyDescent="0.2">
      <c r="D57" s="241"/>
      <c r="E57" s="242"/>
      <c r="F57" s="242"/>
      <c r="G57" s="238"/>
      <c r="H57" s="238"/>
      <c r="I57" s="238"/>
      <c r="J57" s="238"/>
      <c r="K57" s="238"/>
      <c r="L57" s="238"/>
      <c r="M57" s="243"/>
      <c r="N57" s="238"/>
      <c r="O57" s="238"/>
      <c r="P57" s="238"/>
      <c r="Q57" s="243"/>
      <c r="R57" s="238"/>
      <c r="S57" s="238"/>
      <c r="T57" s="238"/>
      <c r="V57" s="243" t="s">
        <v>346</v>
      </c>
      <c r="W57" s="244"/>
    </row>
    <row r="58" spans="4:25" x14ac:dyDescent="0.2">
      <c r="D58" s="241"/>
      <c r="E58" s="242"/>
      <c r="F58" s="245"/>
      <c r="G58" s="246" t="s">
        <v>36</v>
      </c>
      <c r="H58" s="247"/>
      <c r="I58" s="246" t="s">
        <v>348</v>
      </c>
      <c r="J58" s="246"/>
      <c r="K58" s="246" t="s">
        <v>377</v>
      </c>
      <c r="L58" s="243"/>
      <c r="M58" s="246" t="s">
        <v>378</v>
      </c>
      <c r="N58" s="243"/>
      <c r="O58" s="246" t="s">
        <v>351</v>
      </c>
      <c r="P58" s="243"/>
      <c r="Q58" s="246" t="s">
        <v>379</v>
      </c>
      <c r="R58" s="243"/>
      <c r="S58" s="246" t="s">
        <v>16</v>
      </c>
      <c r="T58" s="238"/>
      <c r="V58" s="246" t="s">
        <v>31</v>
      </c>
      <c r="W58" s="248"/>
      <c r="Y58" s="238"/>
    </row>
    <row r="59" spans="4:25" x14ac:dyDescent="0.2">
      <c r="D59" s="216"/>
      <c r="E59" s="242"/>
      <c r="F59" s="242"/>
      <c r="G59" s="242"/>
      <c r="H59" s="242"/>
      <c r="I59" s="242"/>
      <c r="J59" s="242"/>
      <c r="K59" s="242"/>
      <c r="L59" s="242"/>
      <c r="M59" s="242"/>
      <c r="N59" s="238"/>
      <c r="O59" s="238"/>
      <c r="P59" s="238"/>
      <c r="Q59" s="238"/>
      <c r="R59" s="238"/>
      <c r="S59" s="238"/>
      <c r="T59" s="238"/>
      <c r="U59" s="238"/>
      <c r="V59" s="249"/>
      <c r="W59" s="239"/>
    </row>
    <row r="60" spans="4:25" x14ac:dyDescent="0.2">
      <c r="D60" s="216" t="s">
        <v>380</v>
      </c>
      <c r="E60" s="242"/>
      <c r="F60" s="242"/>
      <c r="G60" s="250">
        <v>4.7500000000000001E-2</v>
      </c>
      <c r="H60" s="189" t="s">
        <v>356</v>
      </c>
      <c r="I60" s="251">
        <v>23219454</v>
      </c>
      <c r="J60" s="242"/>
      <c r="K60" s="252">
        <f>ROUND(G60*I60,0)</f>
        <v>1102924</v>
      </c>
      <c r="L60" s="238"/>
      <c r="M60" s="243" t="s">
        <v>357</v>
      </c>
      <c r="N60" s="238"/>
      <c r="O60" s="264" t="s">
        <v>357</v>
      </c>
      <c r="P60" s="238"/>
      <c r="Q60" s="264" t="s">
        <v>357</v>
      </c>
      <c r="R60" s="238"/>
      <c r="S60" s="252">
        <f>SUM(K60,M60,Q60)</f>
        <v>1102924</v>
      </c>
      <c r="T60" s="238"/>
      <c r="U60" s="254"/>
      <c r="V60" s="255">
        <f>K60/I60*100</f>
        <v>4.7499997200623234</v>
      </c>
      <c r="W60" s="239"/>
    </row>
    <row r="61" spans="4:25" ht="15.75" thickBot="1" x14ac:dyDescent="0.25">
      <c r="D61" s="188"/>
      <c r="E61" s="194"/>
      <c r="F61" s="189"/>
      <c r="G61" s="195"/>
      <c r="H61" s="189"/>
      <c r="I61" s="208"/>
      <c r="J61" s="189"/>
      <c r="K61" s="208"/>
      <c r="L61" s="189"/>
      <c r="M61" s="292"/>
      <c r="N61" s="198"/>
      <c r="O61" s="207" t="s">
        <v>357</v>
      </c>
      <c r="P61" s="196"/>
      <c r="Q61" s="208"/>
      <c r="R61" s="196"/>
      <c r="S61" s="208"/>
      <c r="T61" s="189"/>
      <c r="U61" s="189"/>
      <c r="V61" s="201"/>
      <c r="W61" s="192"/>
    </row>
    <row r="62" spans="4:25" ht="18.75" thickBot="1" x14ac:dyDescent="0.3">
      <c r="D62" s="216"/>
      <c r="E62" s="238"/>
      <c r="F62" s="238"/>
      <c r="G62" s="238" t="s">
        <v>16</v>
      </c>
      <c r="H62" s="238"/>
      <c r="I62" s="263">
        <f>SUM(I60:I61)</f>
        <v>23219454</v>
      </c>
      <c r="J62" s="238"/>
      <c r="K62" s="263">
        <f>SUM(K60:K61)</f>
        <v>1102924</v>
      </c>
      <c r="L62" s="238"/>
      <c r="M62" s="263">
        <f>SUM(M60:M61)</f>
        <v>0</v>
      </c>
      <c r="N62" s="238"/>
      <c r="O62" s="293" t="s">
        <v>357</v>
      </c>
      <c r="P62" s="264"/>
      <c r="Q62" s="263">
        <f>SUM(Q60:Q61)</f>
        <v>0</v>
      </c>
      <c r="R62" s="238"/>
      <c r="S62" s="263">
        <f>SUM(S60:S61)</f>
        <v>1102924</v>
      </c>
      <c r="T62" s="238"/>
      <c r="U62" s="242"/>
      <c r="V62" s="265">
        <f>S62/I62</f>
        <v>4.7499997200623235E-2</v>
      </c>
      <c r="W62" s="239"/>
    </row>
    <row r="63" spans="4:25" ht="15.75" thickTop="1" x14ac:dyDescent="0.2">
      <c r="D63" s="266"/>
      <c r="E63" s="267"/>
      <c r="F63" s="267"/>
      <c r="G63" s="267"/>
      <c r="H63" s="267"/>
      <c r="I63" s="267"/>
      <c r="J63" s="267"/>
      <c r="K63" s="258"/>
      <c r="L63" s="267"/>
      <c r="M63" s="267"/>
      <c r="N63" s="267"/>
      <c r="O63" s="267"/>
      <c r="P63" s="267"/>
      <c r="Q63" s="258"/>
      <c r="R63" s="267"/>
      <c r="S63" s="267"/>
      <c r="T63" s="267"/>
      <c r="U63" s="267"/>
      <c r="V63" s="267"/>
      <c r="W63" s="268"/>
    </row>
    <row r="64" spans="4:25" x14ac:dyDescent="0.2">
      <c r="G64" s="269"/>
      <c r="I64" s="233"/>
      <c r="K64" s="233"/>
      <c r="S64" s="233"/>
    </row>
    <row r="65" spans="1:23" ht="15.75" thickBot="1" x14ac:dyDescent="0.25">
      <c r="G65" s="269"/>
      <c r="I65" s="233"/>
      <c r="K65" s="233"/>
      <c r="S65" s="233"/>
    </row>
    <row r="66" spans="1:23" ht="21.75" hidden="1" customHeight="1" x14ac:dyDescent="0.3">
      <c r="D66" s="182" t="s">
        <v>382</v>
      </c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270"/>
    </row>
    <row r="67" spans="1:23" ht="15" hidden="1" customHeight="1" x14ac:dyDescent="0.2">
      <c r="D67" s="188"/>
      <c r="E67" s="189"/>
      <c r="F67" s="189"/>
      <c r="G67" s="206"/>
      <c r="H67" s="189"/>
      <c r="I67" s="196"/>
      <c r="J67" s="189"/>
      <c r="K67" s="196"/>
      <c r="L67" s="189"/>
      <c r="M67" s="189"/>
      <c r="N67" s="189"/>
      <c r="O67" s="189"/>
      <c r="P67" s="189"/>
      <c r="Q67" s="189"/>
      <c r="R67" s="189"/>
      <c r="S67" s="196"/>
      <c r="T67" s="189"/>
      <c r="U67" s="189"/>
      <c r="V67" s="189"/>
      <c r="W67" s="192"/>
    </row>
    <row r="68" spans="1:23" ht="15" hidden="1" customHeight="1" x14ac:dyDescent="0.2">
      <c r="D68" s="188"/>
      <c r="E68" s="189"/>
      <c r="F68" s="189"/>
      <c r="G68" s="206"/>
      <c r="H68" s="189"/>
      <c r="I68" s="196"/>
      <c r="J68" s="189"/>
      <c r="K68" s="190" t="s">
        <v>343</v>
      </c>
      <c r="L68" s="190"/>
      <c r="M68" s="190"/>
      <c r="N68" s="190"/>
      <c r="O68" s="190"/>
      <c r="P68" s="190"/>
      <c r="Q68" s="190"/>
      <c r="R68" s="190"/>
      <c r="S68" s="190"/>
      <c r="T68" s="189"/>
      <c r="U68" s="189"/>
      <c r="V68" s="189"/>
      <c r="W68" s="192"/>
    </row>
    <row r="69" spans="1:23" ht="15" hidden="1" customHeight="1" x14ac:dyDescent="0.2">
      <c r="D69" s="271"/>
      <c r="E69" s="189"/>
      <c r="F69" s="189"/>
      <c r="G69" s="206"/>
      <c r="H69" s="189"/>
      <c r="I69" s="196"/>
      <c r="J69" s="189"/>
      <c r="K69" s="186"/>
      <c r="L69" s="186"/>
      <c r="M69" s="186"/>
      <c r="N69" s="186"/>
      <c r="O69" s="186"/>
      <c r="P69" s="186"/>
      <c r="Q69" s="186"/>
      <c r="R69" s="186"/>
      <c r="S69" s="186"/>
      <c r="T69" s="189"/>
      <c r="U69" s="189"/>
      <c r="V69" s="189"/>
      <c r="W69" s="192"/>
    </row>
    <row r="70" spans="1:23" ht="15" hidden="1" customHeight="1" x14ac:dyDescent="0.2">
      <c r="D70" s="188"/>
      <c r="E70" s="189"/>
      <c r="F70" s="189"/>
      <c r="G70" s="206"/>
      <c r="H70" s="189"/>
      <c r="I70" s="196" t="s">
        <v>383</v>
      </c>
      <c r="J70" s="189"/>
      <c r="K70" s="196"/>
      <c r="L70" s="189"/>
      <c r="M70" s="191" t="s">
        <v>384</v>
      </c>
      <c r="N70" s="191"/>
      <c r="O70" s="191" t="s">
        <v>385</v>
      </c>
      <c r="P70" s="191"/>
      <c r="Q70" s="191"/>
      <c r="R70" s="191"/>
      <c r="S70" s="198"/>
      <c r="T70" s="189"/>
      <c r="U70" s="189"/>
      <c r="V70" s="191" t="s">
        <v>346</v>
      </c>
      <c r="W70" s="192"/>
    </row>
    <row r="71" spans="1:23" ht="15" hidden="1" customHeight="1" x14ac:dyDescent="0.2">
      <c r="A71" s="272" t="s">
        <v>386</v>
      </c>
      <c r="D71" s="188"/>
      <c r="E71" s="189"/>
      <c r="F71" s="189"/>
      <c r="G71" s="193" t="s">
        <v>36</v>
      </c>
      <c r="H71" s="189"/>
      <c r="I71" s="193" t="s">
        <v>348</v>
      </c>
      <c r="J71" s="193"/>
      <c r="K71" s="193" t="s">
        <v>377</v>
      </c>
      <c r="L71" s="189"/>
      <c r="M71" s="193" t="s">
        <v>387</v>
      </c>
      <c r="N71" s="191"/>
      <c r="O71" s="193" t="s">
        <v>387</v>
      </c>
      <c r="P71" s="191"/>
      <c r="Q71" s="191"/>
      <c r="R71" s="191"/>
      <c r="S71" s="273" t="s">
        <v>16</v>
      </c>
      <c r="T71" s="189"/>
      <c r="U71" s="189"/>
      <c r="V71" s="193" t="s">
        <v>31</v>
      </c>
      <c r="W71" s="192"/>
    </row>
    <row r="72" spans="1:23" ht="15" hidden="1" customHeight="1" x14ac:dyDescent="0.2">
      <c r="A72" s="274">
        <v>1.132967E-2</v>
      </c>
      <c r="B72" s="179" t="s">
        <v>388</v>
      </c>
      <c r="D72" s="188"/>
      <c r="E72" s="189"/>
      <c r="F72" s="189"/>
      <c r="G72" s="206"/>
      <c r="H72" s="189"/>
      <c r="I72" s="196"/>
      <c r="J72" s="189"/>
      <c r="K72" s="196"/>
      <c r="L72" s="189"/>
      <c r="M72" s="189"/>
      <c r="N72" s="189"/>
      <c r="O72" s="189"/>
      <c r="P72" s="189"/>
      <c r="Q72" s="189"/>
      <c r="R72" s="189"/>
      <c r="S72" s="196"/>
      <c r="T72" s="189"/>
      <c r="U72" s="189"/>
      <c r="V72" s="189"/>
      <c r="W72" s="192"/>
    </row>
    <row r="73" spans="1:23" ht="15" hidden="1" customHeight="1" x14ac:dyDescent="0.2">
      <c r="A73" s="274"/>
      <c r="D73" s="188" t="s">
        <v>389</v>
      </c>
      <c r="E73" s="189"/>
      <c r="F73" s="189"/>
      <c r="G73" s="195">
        <f>+(+A72+A73)/2</f>
        <v>5.664835E-3</v>
      </c>
      <c r="H73" s="189" t="s">
        <v>356</v>
      </c>
      <c r="I73" s="275">
        <v>0</v>
      </c>
      <c r="J73" s="189"/>
      <c r="K73" s="276">
        <f>+G73*I73</f>
        <v>0</v>
      </c>
      <c r="L73" s="189"/>
      <c r="M73" s="277">
        <f>25000000*0.00175</f>
        <v>43750</v>
      </c>
      <c r="N73" s="277"/>
      <c r="O73" s="277">
        <f>+I73*0.00125</f>
        <v>0</v>
      </c>
      <c r="P73" s="189"/>
      <c r="Q73" s="189"/>
      <c r="R73" s="189"/>
      <c r="S73" s="196">
        <f>+K73+M73+O73</f>
        <v>43750</v>
      </c>
      <c r="T73" s="189"/>
      <c r="U73" s="189"/>
      <c r="V73" s="218" t="e">
        <f>+S73/I73*100</f>
        <v>#DIV/0!</v>
      </c>
      <c r="W73" s="192"/>
    </row>
    <row r="74" spans="1:23" ht="15" hidden="1" customHeight="1" x14ac:dyDescent="0.2">
      <c r="A74" s="278" t="s">
        <v>390</v>
      </c>
      <c r="D74" s="188" t="s">
        <v>391</v>
      </c>
      <c r="E74" s="189"/>
      <c r="F74" s="189"/>
      <c r="G74" s="195">
        <f>+(+A75+A76)/2</f>
        <v>5.45E-3</v>
      </c>
      <c r="H74" s="189" t="s">
        <v>356</v>
      </c>
      <c r="I74" s="279">
        <v>0</v>
      </c>
      <c r="J74" s="189"/>
      <c r="K74" s="280">
        <f>+G74*I74</f>
        <v>0</v>
      </c>
      <c r="L74" s="189"/>
      <c r="M74" s="281">
        <f>25000000*0.00175</f>
        <v>43750</v>
      </c>
      <c r="N74" s="277"/>
      <c r="O74" s="281">
        <f>+I74*0.00125</f>
        <v>0</v>
      </c>
      <c r="P74" s="189"/>
      <c r="Q74" s="189"/>
      <c r="R74" s="189"/>
      <c r="S74" s="208">
        <f>+K74+M74+O74</f>
        <v>43750</v>
      </c>
      <c r="T74" s="189"/>
      <c r="U74" s="189"/>
      <c r="V74" s="282" t="e">
        <f>+S74/I74*100</f>
        <v>#DIV/0!</v>
      </c>
      <c r="W74" s="192"/>
    </row>
    <row r="75" spans="1:23" ht="15" hidden="1" customHeight="1" x14ac:dyDescent="0.2">
      <c r="A75" s="283">
        <v>1.09E-2</v>
      </c>
      <c r="B75" s="179" t="s">
        <v>392</v>
      </c>
      <c r="D75" s="188"/>
      <c r="E75" s="189"/>
      <c r="F75" s="189"/>
      <c r="G75" s="206"/>
      <c r="H75" s="189"/>
      <c r="I75" s="196"/>
      <c r="J75" s="189"/>
      <c r="K75" s="196"/>
      <c r="L75" s="189"/>
      <c r="M75" s="189"/>
      <c r="N75" s="189"/>
      <c r="O75" s="189"/>
      <c r="P75" s="189"/>
      <c r="Q75" s="189"/>
      <c r="R75" s="189"/>
      <c r="S75" s="196"/>
      <c r="T75" s="189"/>
      <c r="U75" s="189"/>
      <c r="V75" s="189"/>
      <c r="W75" s="192"/>
    </row>
    <row r="76" spans="1:23" ht="20.25" hidden="1" customHeight="1" x14ac:dyDescent="0.25">
      <c r="A76" s="283"/>
      <c r="D76" s="188"/>
      <c r="E76" s="189"/>
      <c r="F76" s="189"/>
      <c r="G76" s="206"/>
      <c r="H76" s="189"/>
      <c r="I76" s="226">
        <f>SUM(I73:I74)</f>
        <v>0</v>
      </c>
      <c r="J76" s="189"/>
      <c r="K76" s="226">
        <f>SUM(K73:K74)</f>
        <v>0</v>
      </c>
      <c r="L76" s="189"/>
      <c r="M76" s="226">
        <f>SUM(M73:M74)</f>
        <v>87500</v>
      </c>
      <c r="N76" s="189"/>
      <c r="O76" s="226">
        <f>SUM(O73:O74)</f>
        <v>0</v>
      </c>
      <c r="P76" s="189"/>
      <c r="Q76" s="189"/>
      <c r="R76" s="189"/>
      <c r="S76" s="226">
        <f>SUM(S73:S74)</f>
        <v>87500</v>
      </c>
      <c r="T76" s="189"/>
      <c r="U76" s="189"/>
      <c r="V76" s="284" t="e">
        <f>+S76/I76</f>
        <v>#DIV/0!</v>
      </c>
      <c r="W76" s="192"/>
    </row>
    <row r="77" spans="1:23" ht="15" hidden="1" customHeight="1" x14ac:dyDescent="0.2">
      <c r="D77" s="227"/>
      <c r="E77" s="228"/>
      <c r="F77" s="228"/>
      <c r="G77" s="285"/>
      <c r="H77" s="228"/>
      <c r="I77" s="208"/>
      <c r="J77" s="228"/>
      <c r="K77" s="208"/>
      <c r="L77" s="228"/>
      <c r="M77" s="228"/>
      <c r="N77" s="228"/>
      <c r="O77" s="228"/>
      <c r="P77" s="228"/>
      <c r="Q77" s="228"/>
      <c r="R77" s="228"/>
      <c r="S77" s="208"/>
      <c r="T77" s="228"/>
      <c r="U77" s="228"/>
      <c r="V77" s="189"/>
      <c r="W77" s="231"/>
    </row>
    <row r="78" spans="1:23" ht="15" customHeight="1" thickBot="1" x14ac:dyDescent="0.25">
      <c r="D78" s="179" t="s">
        <v>393</v>
      </c>
      <c r="G78" s="269"/>
      <c r="I78" s="233"/>
      <c r="K78" s="233"/>
      <c r="S78" s="233">
        <f>S48+S62</f>
        <v>67459482.439999998</v>
      </c>
      <c r="V78" s="286">
        <f>S78/(I48+I62)</f>
        <v>5.2417186468851872E-2</v>
      </c>
    </row>
    <row r="79" spans="1:23" ht="15" customHeight="1" x14ac:dyDescent="0.2">
      <c r="G79" s="269"/>
      <c r="I79" s="233"/>
      <c r="K79" s="233"/>
      <c r="S79" s="233"/>
    </row>
    <row r="80" spans="1:23" x14ac:dyDescent="0.2">
      <c r="D80" s="287" t="s">
        <v>394</v>
      </c>
      <c r="G80" s="269"/>
      <c r="I80" s="233"/>
      <c r="K80" s="233"/>
      <c r="S80" s="233"/>
    </row>
    <row r="82" spans="4:20" ht="13.5" customHeight="1" x14ac:dyDescent="0.2">
      <c r="D82" s="287" t="s">
        <v>395</v>
      </c>
      <c r="G82" s="269"/>
      <c r="I82" s="233"/>
      <c r="K82" s="233"/>
    </row>
    <row r="83" spans="4:20" ht="13.5" customHeight="1" x14ac:dyDescent="0.2">
      <c r="D83" s="287" t="s">
        <v>396</v>
      </c>
      <c r="G83" s="269"/>
      <c r="I83" s="233"/>
      <c r="K83" s="233"/>
    </row>
    <row r="84" spans="4:20" ht="13.5" customHeight="1" x14ac:dyDescent="0.2">
      <c r="D84" s="287"/>
      <c r="G84" s="269"/>
      <c r="I84" s="233"/>
      <c r="K84" s="233"/>
    </row>
    <row r="85" spans="4:20" ht="15" customHeight="1" x14ac:dyDescent="0.2">
      <c r="N85" s="288"/>
      <c r="O85" s="289"/>
      <c r="P85" s="289"/>
      <c r="Q85" s="289"/>
      <c r="R85" s="289"/>
      <c r="T85" s="233"/>
    </row>
    <row r="86" spans="4:20" ht="15" hidden="1" customHeight="1" x14ac:dyDescent="0.2">
      <c r="N86" s="288"/>
      <c r="O86" s="289"/>
      <c r="P86" s="289"/>
      <c r="Q86" s="289"/>
      <c r="R86" s="289"/>
      <c r="T86" s="233"/>
    </row>
    <row r="87" spans="4:20" ht="15" hidden="1" customHeight="1" x14ac:dyDescent="0.2">
      <c r="N87" s="288"/>
      <c r="O87" s="289"/>
      <c r="P87" s="289"/>
      <c r="Q87" s="289"/>
      <c r="R87" s="289"/>
      <c r="T87" s="233"/>
    </row>
    <row r="88" spans="4:20" ht="15" hidden="1" customHeight="1" x14ac:dyDescent="0.2">
      <c r="N88" s="288"/>
      <c r="O88" s="289"/>
      <c r="P88" s="289"/>
      <c r="Q88" s="289"/>
      <c r="R88" s="289"/>
      <c r="T88" s="233"/>
    </row>
    <row r="89" spans="4:20" ht="15" hidden="1" customHeight="1" x14ac:dyDescent="0.2">
      <c r="N89" s="288"/>
      <c r="O89" s="289"/>
      <c r="P89" s="289"/>
      <c r="Q89" s="289"/>
      <c r="R89" s="289"/>
      <c r="T89" s="233"/>
    </row>
    <row r="90" spans="4:20" ht="15" hidden="1" customHeight="1" x14ac:dyDescent="0.2">
      <c r="N90" s="288"/>
      <c r="O90" s="289"/>
      <c r="P90" s="289"/>
      <c r="Q90" s="289"/>
      <c r="R90" s="289"/>
      <c r="T90" s="233"/>
    </row>
    <row r="91" spans="4:20" ht="15" hidden="1" customHeight="1" x14ac:dyDescent="0.2">
      <c r="N91" s="288"/>
      <c r="O91" s="289"/>
      <c r="P91" s="289"/>
      <c r="Q91" s="289"/>
      <c r="R91" s="289"/>
      <c r="T91" s="233"/>
    </row>
    <row r="92" spans="4:20" ht="15" hidden="1" customHeight="1" x14ac:dyDescent="0.2">
      <c r="N92" s="288"/>
      <c r="O92" s="289"/>
      <c r="P92" s="289"/>
      <c r="Q92" s="289"/>
      <c r="R92" s="289"/>
      <c r="T92" s="233"/>
    </row>
    <row r="93" spans="4:20" ht="15" hidden="1" customHeight="1" x14ac:dyDescent="0.2">
      <c r="N93" s="288"/>
      <c r="O93" s="289"/>
      <c r="P93" s="289"/>
      <c r="Q93" s="289"/>
      <c r="R93" s="289"/>
      <c r="T93" s="233"/>
    </row>
    <row r="94" spans="4:20" ht="15" hidden="1" customHeight="1" x14ac:dyDescent="0.2">
      <c r="N94" s="288"/>
      <c r="O94" s="289"/>
      <c r="P94" s="289"/>
      <c r="Q94" s="289"/>
      <c r="R94" s="289"/>
      <c r="T94" s="233"/>
    </row>
    <row r="95" spans="4:20" ht="15" hidden="1" customHeight="1" x14ac:dyDescent="0.2">
      <c r="N95" s="288"/>
      <c r="O95" s="289"/>
      <c r="P95" s="289"/>
      <c r="Q95" s="289"/>
      <c r="R95" s="289"/>
      <c r="T95" s="233"/>
    </row>
    <row r="96" spans="4:20" ht="15" customHeight="1" x14ac:dyDescent="0.2">
      <c r="D96" s="179" t="s">
        <v>398</v>
      </c>
      <c r="N96" s="288"/>
      <c r="O96" s="289"/>
      <c r="P96" s="289"/>
      <c r="Q96" s="289"/>
      <c r="R96" s="289"/>
      <c r="T96" s="233"/>
    </row>
    <row r="97" spans="4:25" ht="15" customHeight="1" x14ac:dyDescent="0.2">
      <c r="N97" s="288"/>
      <c r="O97" s="289"/>
      <c r="P97" s="289"/>
      <c r="Q97" s="289"/>
      <c r="R97" s="289"/>
      <c r="T97" s="233"/>
    </row>
    <row r="98" spans="4:25" x14ac:dyDescent="0.2">
      <c r="D98" s="287" t="s">
        <v>399</v>
      </c>
      <c r="I98" s="287" t="s">
        <v>411</v>
      </c>
      <c r="J98" s="233"/>
      <c r="M98" s="287" t="s">
        <v>412</v>
      </c>
      <c r="Q98" s="287" t="s">
        <v>417</v>
      </c>
      <c r="R98" s="290"/>
      <c r="S98" s="290"/>
      <c r="T98" s="290"/>
      <c r="U98" s="290"/>
      <c r="V98" s="287" t="s">
        <v>406</v>
      </c>
      <c r="W98" s="290"/>
      <c r="Y98" s="287"/>
    </row>
    <row r="99" spans="4:25" x14ac:dyDescent="0.2">
      <c r="D99" s="287" t="s">
        <v>418</v>
      </c>
      <c r="I99" s="287" t="s">
        <v>400</v>
      </c>
      <c r="M99" s="179" t="s">
        <v>401</v>
      </c>
      <c r="N99" s="233"/>
      <c r="P99" s="233"/>
      <c r="Q99" s="179" t="s">
        <v>413</v>
      </c>
      <c r="S99" s="233"/>
      <c r="V99" s="287" t="s">
        <v>410</v>
      </c>
    </row>
    <row r="100" spans="4:25" x14ac:dyDescent="0.2">
      <c r="D100" s="287" t="s">
        <v>403</v>
      </c>
      <c r="E100" s="290"/>
      <c r="F100" s="290"/>
      <c r="G100" s="290"/>
      <c r="H100" s="290"/>
      <c r="I100" s="287" t="s">
        <v>404</v>
      </c>
      <c r="J100" s="290"/>
      <c r="K100" s="290"/>
      <c r="L100" s="290"/>
      <c r="M100" s="287" t="s">
        <v>405</v>
      </c>
      <c r="N100" s="290"/>
      <c r="O100" s="290"/>
      <c r="P100" s="290"/>
      <c r="Q100" s="179" t="s">
        <v>402</v>
      </c>
    </row>
    <row r="101" spans="4:25" x14ac:dyDescent="0.2">
      <c r="D101" s="287" t="s">
        <v>407</v>
      </c>
      <c r="I101" s="287" t="s">
        <v>408</v>
      </c>
      <c r="M101" s="287" t="s">
        <v>409</v>
      </c>
      <c r="Q101" s="179" t="s">
        <v>419</v>
      </c>
    </row>
    <row r="104" spans="4:25" x14ac:dyDescent="0.2">
      <c r="D104" s="179" t="s">
        <v>420</v>
      </c>
    </row>
    <row r="106" spans="4:25" x14ac:dyDescent="0.2">
      <c r="D106" s="179" t="s">
        <v>421</v>
      </c>
    </row>
    <row r="128" spans="4:13" x14ac:dyDescent="0.2"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</row>
    <row r="129" spans="4:13" x14ac:dyDescent="0.2"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</row>
    <row r="130" spans="4:13" x14ac:dyDescent="0.2"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</row>
    <row r="131" spans="4:13" x14ac:dyDescent="0.2"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</row>
  </sheetData>
  <phoneticPr fontId="9" type="noConversion"/>
  <pageMargins left="0.5" right="0.5" top="0.5" bottom="0.5" header="0.5" footer="0.5"/>
  <pageSetup scale="50" orientation="portrait" r:id="rId1"/>
  <headerFooter alignWithMargins="0">
    <oddFooter>&amp;Z&amp;F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W131"/>
  <sheetViews>
    <sheetView topLeftCell="E42" zoomScale="65" workbookViewId="0">
      <selection activeCell="E11" sqref="E11"/>
    </sheetView>
  </sheetViews>
  <sheetFormatPr defaultColWidth="9.7109375" defaultRowHeight="15" x14ac:dyDescent="0.2"/>
  <cols>
    <col min="1" max="1" width="11.42578125" style="179" customWidth="1"/>
    <col min="2" max="2" width="9.7109375" style="179"/>
    <col min="3" max="3" width="2.7109375" style="179" customWidth="1"/>
    <col min="4" max="4" width="41.5703125" style="179" customWidth="1"/>
    <col min="5" max="5" width="13.7109375" style="179" customWidth="1"/>
    <col min="6" max="6" width="1.7109375" style="179" customWidth="1"/>
    <col min="7" max="7" width="10.7109375" style="179" customWidth="1"/>
    <col min="8" max="8" width="1.7109375" style="179" customWidth="1"/>
    <col min="9" max="9" width="16.7109375" style="179" customWidth="1"/>
    <col min="10" max="10" width="1.7109375" style="179" customWidth="1"/>
    <col min="11" max="11" width="16.5703125" style="179" customWidth="1"/>
    <col min="12" max="12" width="3.140625" style="179" customWidth="1"/>
    <col min="13" max="13" width="14.7109375" style="179" customWidth="1"/>
    <col min="14" max="14" width="3.7109375" style="179" customWidth="1"/>
    <col min="15" max="15" width="10.7109375" style="179" customWidth="1"/>
    <col min="16" max="16" width="1.7109375" style="179" customWidth="1"/>
    <col min="17" max="17" width="15.85546875" style="179" customWidth="1"/>
    <col min="18" max="18" width="3.7109375" style="179" customWidth="1"/>
    <col min="19" max="19" width="15.7109375" style="179" customWidth="1"/>
    <col min="20" max="20" width="1.7109375" style="179" customWidth="1"/>
    <col min="21" max="21" width="2.7109375" style="179" customWidth="1"/>
    <col min="22" max="22" width="11.85546875" style="179" customWidth="1"/>
    <col min="23" max="23" width="4.7109375" style="179" customWidth="1"/>
    <col min="24" max="16384" width="9.7109375" style="179"/>
  </cols>
  <sheetData>
    <row r="1" spans="4:23" ht="15.75" x14ac:dyDescent="0.25">
      <c r="D1" s="177" t="s">
        <v>82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4:23" ht="15.75" x14ac:dyDescent="0.25">
      <c r="D2" s="177" t="s">
        <v>341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4:23" ht="18" x14ac:dyDescent="0.25">
      <c r="D3" s="180">
        <v>39082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</row>
    <row r="4" spans="4:23" x14ac:dyDescent="0.2">
      <c r="D4" s="181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</row>
    <row r="5" spans="4:23" x14ac:dyDescent="0.2"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</row>
    <row r="6" spans="4:23" ht="20.25" x14ac:dyDescent="0.3">
      <c r="D6" s="182" t="s">
        <v>342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4"/>
    </row>
    <row r="7" spans="4:23" ht="20.25" x14ac:dyDescent="0.3"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7"/>
    </row>
    <row r="8" spans="4:23" x14ac:dyDescent="0.2">
      <c r="D8" s="188"/>
      <c r="E8" s="189"/>
      <c r="F8" s="189"/>
      <c r="G8" s="189"/>
      <c r="H8" s="189"/>
      <c r="I8" s="189"/>
      <c r="J8" s="189"/>
      <c r="K8" s="190" t="s">
        <v>343</v>
      </c>
      <c r="L8" s="190"/>
      <c r="M8" s="190"/>
      <c r="N8" s="190"/>
      <c r="O8" s="190"/>
      <c r="P8" s="190"/>
      <c r="Q8" s="190"/>
      <c r="R8" s="190"/>
      <c r="S8" s="190"/>
      <c r="T8" s="189"/>
      <c r="U8" s="189"/>
      <c r="V8" s="191"/>
      <c r="W8" s="187"/>
    </row>
    <row r="9" spans="4:23" x14ac:dyDescent="0.2">
      <c r="D9" s="188"/>
      <c r="E9" s="189"/>
      <c r="F9" s="189"/>
      <c r="G9" s="189"/>
      <c r="H9" s="189"/>
      <c r="I9" s="189"/>
      <c r="J9" s="189"/>
      <c r="K9" s="189"/>
      <c r="L9" s="189"/>
      <c r="M9" s="189" t="s">
        <v>344</v>
      </c>
      <c r="N9" s="189"/>
      <c r="O9" s="189"/>
      <c r="P9" s="189"/>
      <c r="Q9" s="191" t="s">
        <v>345</v>
      </c>
      <c r="R9" s="189"/>
      <c r="S9" s="189"/>
      <c r="T9" s="189"/>
      <c r="U9" s="189"/>
      <c r="V9" s="191" t="s">
        <v>346</v>
      </c>
      <c r="W9" s="192"/>
    </row>
    <row r="10" spans="4:23" x14ac:dyDescent="0.2">
      <c r="D10" s="188"/>
      <c r="E10" s="193" t="s">
        <v>347</v>
      </c>
      <c r="F10" s="191"/>
      <c r="G10" s="193" t="s">
        <v>36</v>
      </c>
      <c r="H10" s="191"/>
      <c r="I10" s="193" t="s">
        <v>348</v>
      </c>
      <c r="J10" s="191"/>
      <c r="K10" s="193" t="s">
        <v>349</v>
      </c>
      <c r="L10" s="189"/>
      <c r="M10" s="193" t="s">
        <v>350</v>
      </c>
      <c r="N10" s="189"/>
      <c r="O10" s="193" t="s">
        <v>351</v>
      </c>
      <c r="P10" s="189"/>
      <c r="Q10" s="193" t="s">
        <v>352</v>
      </c>
      <c r="R10" s="189"/>
      <c r="S10" s="193" t="s">
        <v>16</v>
      </c>
      <c r="T10" s="189"/>
      <c r="U10" s="189"/>
      <c r="V10" s="193" t="s">
        <v>353</v>
      </c>
      <c r="W10" s="192"/>
    </row>
    <row r="11" spans="4:23" x14ac:dyDescent="0.2">
      <c r="D11" s="200" t="s">
        <v>422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92"/>
    </row>
    <row r="12" spans="4:23" x14ac:dyDescent="0.2">
      <c r="D12" s="188" t="s">
        <v>423</v>
      </c>
      <c r="E12" s="194">
        <v>39217</v>
      </c>
      <c r="F12" s="189"/>
      <c r="G12" s="195">
        <v>7.9200000000000007E-2</v>
      </c>
      <c r="H12" s="189"/>
      <c r="I12" s="196">
        <v>53000000</v>
      </c>
      <c r="J12" s="189"/>
      <c r="K12" s="196">
        <f>ROUND(G12*I12,0)</f>
        <v>4197600</v>
      </c>
      <c r="L12" s="189"/>
      <c r="M12" s="197">
        <f>3632*12</f>
        <v>43584</v>
      </c>
      <c r="N12" s="191"/>
      <c r="O12" s="198" t="s">
        <v>357</v>
      </c>
      <c r="P12" s="189"/>
      <c r="Q12" s="196">
        <f>18473*12</f>
        <v>221676</v>
      </c>
      <c r="R12" s="189"/>
      <c r="S12" s="196">
        <f>SUM(K12:R12)</f>
        <v>4462860</v>
      </c>
      <c r="T12" s="189"/>
      <c r="U12" s="189"/>
      <c r="V12" s="201">
        <f>ROUND(($S12/$I12)*100,2)</f>
        <v>8.42</v>
      </c>
      <c r="W12" s="192"/>
    </row>
    <row r="13" spans="4:23" x14ac:dyDescent="0.2">
      <c r="D13" s="188"/>
      <c r="E13" s="194"/>
      <c r="F13" s="189"/>
      <c r="G13" s="195"/>
      <c r="H13" s="189"/>
      <c r="I13" s="196"/>
      <c r="J13" s="189"/>
      <c r="K13" s="196"/>
      <c r="L13" s="189"/>
      <c r="M13" s="197"/>
      <c r="N13" s="198"/>
      <c r="O13" s="198"/>
      <c r="P13" s="196"/>
      <c r="Q13" s="196"/>
      <c r="R13" s="196"/>
      <c r="S13" s="196"/>
      <c r="T13" s="189"/>
      <c r="U13" s="189"/>
      <c r="V13" s="199"/>
      <c r="W13" s="192"/>
    </row>
    <row r="14" spans="4:23" x14ac:dyDescent="0.2">
      <c r="D14" s="200" t="s">
        <v>424</v>
      </c>
      <c r="E14" s="194"/>
      <c r="F14" s="189"/>
      <c r="G14" s="195"/>
      <c r="H14" s="189"/>
      <c r="I14" s="196"/>
      <c r="J14" s="189"/>
      <c r="K14" s="196"/>
      <c r="L14" s="189"/>
      <c r="M14" s="197"/>
      <c r="N14" s="198"/>
      <c r="O14" s="198"/>
      <c r="P14" s="196"/>
      <c r="Q14" s="196"/>
      <c r="R14" s="196"/>
      <c r="S14" s="196"/>
      <c r="T14" s="189"/>
      <c r="U14" s="189"/>
      <c r="V14" s="201"/>
      <c r="W14" s="192"/>
    </row>
    <row r="15" spans="4:23" x14ac:dyDescent="0.2">
      <c r="D15" s="200" t="s">
        <v>425</v>
      </c>
      <c r="E15" s="194">
        <v>45597</v>
      </c>
      <c r="F15" s="189"/>
      <c r="G15" s="203">
        <v>3.8390000000000001E-2</v>
      </c>
      <c r="H15" s="189" t="s">
        <v>356</v>
      </c>
      <c r="I15" s="196">
        <v>54000000</v>
      </c>
      <c r="J15" s="189"/>
      <c r="K15" s="196">
        <f t="shared" ref="K15:K26" si="0">ROUND(G15*I15,0)</f>
        <v>2073060</v>
      </c>
      <c r="L15" s="189"/>
      <c r="M15" s="197">
        <f>1714*12</f>
        <v>20568</v>
      </c>
      <c r="N15" s="294"/>
      <c r="O15" s="198" t="s">
        <v>357</v>
      </c>
      <c r="P15" s="189"/>
      <c r="Q15" s="204">
        <v>0</v>
      </c>
      <c r="R15" s="295"/>
      <c r="S15" s="196">
        <f t="shared" ref="S15:S27" si="1">SUM(K15:R15)</f>
        <v>2093628</v>
      </c>
      <c r="T15" s="189"/>
      <c r="U15" s="189"/>
      <c r="V15" s="201">
        <f t="shared" ref="V15:V26" si="2">ROUND((S15/I15)*100,2)</f>
        <v>3.88</v>
      </c>
      <c r="W15" s="192"/>
    </row>
    <row r="16" spans="4:23" x14ac:dyDescent="0.2">
      <c r="D16" s="200" t="s">
        <v>355</v>
      </c>
      <c r="E16" s="194">
        <v>45047</v>
      </c>
      <c r="F16" s="189"/>
      <c r="G16" s="203">
        <v>3.6819999999999999E-2</v>
      </c>
      <c r="H16" s="189" t="s">
        <v>356</v>
      </c>
      <c r="I16" s="196">
        <v>12900000</v>
      </c>
      <c r="J16" s="189"/>
      <c r="K16" s="196">
        <f t="shared" si="0"/>
        <v>474978</v>
      </c>
      <c r="L16" s="189"/>
      <c r="M16" s="197">
        <f>1441*12</f>
        <v>17292</v>
      </c>
      <c r="N16" s="198"/>
      <c r="O16" s="198" t="s">
        <v>357</v>
      </c>
      <c r="P16" s="196"/>
      <c r="Q16" s="196">
        <f>1399*12</f>
        <v>16788</v>
      </c>
      <c r="R16" s="196"/>
      <c r="S16" s="196">
        <f t="shared" si="1"/>
        <v>509058</v>
      </c>
      <c r="T16" s="189"/>
      <c r="U16" s="189"/>
      <c r="V16" s="201">
        <f t="shared" si="2"/>
        <v>3.95</v>
      </c>
      <c r="W16" s="192"/>
    </row>
    <row r="17" spans="4:23" x14ac:dyDescent="0.2">
      <c r="D17" s="200" t="s">
        <v>358</v>
      </c>
      <c r="E17" s="194">
        <v>11720</v>
      </c>
      <c r="F17" s="189"/>
      <c r="G17" s="203">
        <v>3.6799999999999999E-2</v>
      </c>
      <c r="H17" s="189" t="s">
        <v>356</v>
      </c>
      <c r="I17" s="196">
        <v>20930000</v>
      </c>
      <c r="J17" s="189"/>
      <c r="K17" s="196">
        <f t="shared" si="0"/>
        <v>770224</v>
      </c>
      <c r="L17" s="189"/>
      <c r="M17" s="197">
        <f>342*12</f>
        <v>4104</v>
      </c>
      <c r="N17" s="198"/>
      <c r="O17" s="198" t="s">
        <v>357</v>
      </c>
      <c r="P17" s="196"/>
      <c r="Q17" s="196">
        <f>3025*12</f>
        <v>36300</v>
      </c>
      <c r="R17" s="196"/>
      <c r="S17" s="196">
        <f t="shared" si="1"/>
        <v>810628</v>
      </c>
      <c r="T17" s="189"/>
      <c r="U17" s="189"/>
      <c r="V17" s="201">
        <f t="shared" si="2"/>
        <v>3.87</v>
      </c>
      <c r="W17" s="192"/>
    </row>
    <row r="18" spans="4:23" x14ac:dyDescent="0.2">
      <c r="D18" s="200" t="s">
        <v>359</v>
      </c>
      <c r="E18" s="194">
        <v>11720</v>
      </c>
      <c r="F18" s="189"/>
      <c r="G18" s="203">
        <v>3.6799999999999999E-2</v>
      </c>
      <c r="H18" s="189" t="s">
        <v>356</v>
      </c>
      <c r="I18" s="196">
        <v>2400000</v>
      </c>
      <c r="J18" s="189"/>
      <c r="K18" s="196">
        <f t="shared" si="0"/>
        <v>88320</v>
      </c>
      <c r="L18" s="189"/>
      <c r="M18" s="197">
        <f>238*12</f>
        <v>2856</v>
      </c>
      <c r="N18" s="198"/>
      <c r="O18" s="198" t="s">
        <v>357</v>
      </c>
      <c r="P18" s="196"/>
      <c r="Q18" s="196">
        <f>347*12</f>
        <v>4164</v>
      </c>
      <c r="R18" s="196"/>
      <c r="S18" s="196">
        <f t="shared" si="1"/>
        <v>95340</v>
      </c>
      <c r="T18" s="189"/>
      <c r="U18" s="189"/>
      <c r="V18" s="201">
        <f t="shared" si="2"/>
        <v>3.97</v>
      </c>
      <c r="W18" s="192"/>
    </row>
    <row r="19" spans="4:23" x14ac:dyDescent="0.2">
      <c r="D19" s="200" t="s">
        <v>360</v>
      </c>
      <c r="E19" s="194">
        <v>11720</v>
      </c>
      <c r="F19" s="189"/>
      <c r="G19" s="203">
        <v>3.6799999999999999E-2</v>
      </c>
      <c r="H19" s="189" t="s">
        <v>356</v>
      </c>
      <c r="I19" s="196">
        <v>2400000</v>
      </c>
      <c r="J19" s="189"/>
      <c r="K19" s="196">
        <f t="shared" si="0"/>
        <v>88320</v>
      </c>
      <c r="L19" s="189"/>
      <c r="M19" s="197">
        <f>95*12</f>
        <v>1140</v>
      </c>
      <c r="N19" s="198"/>
      <c r="O19" s="198" t="s">
        <v>357</v>
      </c>
      <c r="P19" s="196"/>
      <c r="Q19" s="196">
        <f>(230+1075)*12</f>
        <v>15660</v>
      </c>
      <c r="R19" s="196"/>
      <c r="S19" s="196">
        <f t="shared" si="1"/>
        <v>105120</v>
      </c>
      <c r="T19" s="189"/>
      <c r="U19" s="189"/>
      <c r="V19" s="201">
        <f t="shared" si="2"/>
        <v>4.38</v>
      </c>
      <c r="W19" s="192"/>
    </row>
    <row r="20" spans="4:23" x14ac:dyDescent="0.2">
      <c r="D20" s="200" t="s">
        <v>361</v>
      </c>
      <c r="E20" s="194">
        <v>11720</v>
      </c>
      <c r="F20" s="189"/>
      <c r="G20" s="203">
        <v>3.6799999999999999E-2</v>
      </c>
      <c r="H20" s="189" t="s">
        <v>356</v>
      </c>
      <c r="I20" s="196">
        <v>7400000</v>
      </c>
      <c r="J20" s="189"/>
      <c r="K20" s="196">
        <f t="shared" si="0"/>
        <v>272320</v>
      </c>
      <c r="L20" s="189"/>
      <c r="M20" s="197">
        <f>265*12</f>
        <v>3180</v>
      </c>
      <c r="N20" s="198"/>
      <c r="O20" s="198" t="s">
        <v>357</v>
      </c>
      <c r="P20" s="196"/>
      <c r="Q20" s="196">
        <f>1062*12</f>
        <v>12744</v>
      </c>
      <c r="R20" s="196"/>
      <c r="S20" s="196">
        <f t="shared" si="1"/>
        <v>288244</v>
      </c>
      <c r="T20" s="189"/>
      <c r="U20" s="189"/>
      <c r="V20" s="201">
        <f t="shared" si="2"/>
        <v>3.9</v>
      </c>
      <c r="W20" s="192"/>
    </row>
    <row r="21" spans="4:23" x14ac:dyDescent="0.2">
      <c r="D21" s="200" t="s">
        <v>362</v>
      </c>
      <c r="E21" s="194">
        <v>11963</v>
      </c>
      <c r="F21" s="189"/>
      <c r="G21" s="203">
        <v>3.6080000000000001E-2</v>
      </c>
      <c r="H21" s="189" t="s">
        <v>356</v>
      </c>
      <c r="I21" s="196">
        <v>96000000</v>
      </c>
      <c r="J21" s="189"/>
      <c r="K21" s="196">
        <f t="shared" si="0"/>
        <v>3463680</v>
      </c>
      <c r="L21" s="189"/>
      <c r="M21" s="197">
        <f>6059*12</f>
        <v>72708</v>
      </c>
      <c r="N21" s="198"/>
      <c r="O21" s="198"/>
      <c r="P21" s="196"/>
      <c r="Q21" s="196">
        <f>15503*12</f>
        <v>186036</v>
      </c>
      <c r="R21" s="196"/>
      <c r="S21" s="196">
        <f t="shared" si="1"/>
        <v>3722424</v>
      </c>
      <c r="T21" s="189"/>
      <c r="U21" s="189"/>
      <c r="V21" s="201">
        <f t="shared" si="2"/>
        <v>3.88</v>
      </c>
      <c r="W21" s="192"/>
    </row>
    <row r="22" spans="4:23" x14ac:dyDescent="0.2">
      <c r="D22" s="200" t="s">
        <v>363</v>
      </c>
      <c r="E22" s="194">
        <v>49218</v>
      </c>
      <c r="F22" s="189"/>
      <c r="G22" s="203">
        <v>3.5499999999999997E-2</v>
      </c>
      <c r="H22" s="189" t="s">
        <v>356</v>
      </c>
      <c r="I22" s="196">
        <v>50000000</v>
      </c>
      <c r="J22" s="189"/>
      <c r="K22" s="196">
        <f t="shared" si="0"/>
        <v>1775000</v>
      </c>
      <c r="L22" s="189"/>
      <c r="M22" s="197">
        <f>3339*12</f>
        <v>40068</v>
      </c>
      <c r="N22" s="198"/>
      <c r="O22" s="198"/>
      <c r="P22" s="196"/>
      <c r="Q22" s="196">
        <f>4495*12</f>
        <v>53940</v>
      </c>
      <c r="R22" s="196"/>
      <c r="S22" s="196">
        <f t="shared" si="1"/>
        <v>1869008</v>
      </c>
      <c r="T22" s="189"/>
      <c r="U22" s="189"/>
      <c r="V22" s="201">
        <f t="shared" si="2"/>
        <v>3.74</v>
      </c>
      <c r="W22" s="192"/>
    </row>
    <row r="23" spans="4:23" x14ac:dyDescent="0.2">
      <c r="D23" s="200" t="s">
        <v>364</v>
      </c>
      <c r="E23" s="194">
        <v>49461</v>
      </c>
      <c r="F23" s="189"/>
      <c r="G23" s="203">
        <v>3.6080000000000001E-2</v>
      </c>
      <c r="H23" s="189" t="s">
        <v>356</v>
      </c>
      <c r="I23" s="196">
        <v>13266950</v>
      </c>
      <c r="J23" s="189"/>
      <c r="K23" s="196">
        <f t="shared" si="0"/>
        <v>478672</v>
      </c>
      <c r="L23" s="189"/>
      <c r="M23" s="197">
        <f>1475*12</f>
        <v>17700</v>
      </c>
      <c r="N23" s="198"/>
      <c r="O23" s="198"/>
      <c r="P23" s="196"/>
      <c r="Q23" s="204">
        <v>0</v>
      </c>
      <c r="R23" s="196"/>
      <c r="S23" s="196">
        <f t="shared" si="1"/>
        <v>496372</v>
      </c>
      <c r="T23" s="189"/>
      <c r="U23" s="189"/>
      <c r="V23" s="201">
        <f t="shared" si="2"/>
        <v>3.74</v>
      </c>
      <c r="W23" s="192"/>
    </row>
    <row r="24" spans="4:23" x14ac:dyDescent="0.2">
      <c r="D24" s="200" t="s">
        <v>365</v>
      </c>
      <c r="E24" s="194">
        <v>49461</v>
      </c>
      <c r="F24" s="189"/>
      <c r="G24" s="203">
        <v>3.6429999999999997E-2</v>
      </c>
      <c r="H24" s="189" t="s">
        <v>356</v>
      </c>
      <c r="I24" s="196">
        <v>13266950</v>
      </c>
      <c r="J24" s="189"/>
      <c r="K24" s="196">
        <f t="shared" si="0"/>
        <v>483315</v>
      </c>
      <c r="L24" s="189"/>
      <c r="M24" s="197">
        <f>1499*12</f>
        <v>17988</v>
      </c>
      <c r="N24" s="198"/>
      <c r="O24" s="198"/>
      <c r="P24" s="196"/>
      <c r="Q24" s="204">
        <v>0</v>
      </c>
      <c r="R24" s="196"/>
      <c r="S24" s="196">
        <f t="shared" si="1"/>
        <v>501303</v>
      </c>
      <c r="T24" s="189"/>
      <c r="U24" s="189"/>
      <c r="V24" s="201">
        <f t="shared" si="2"/>
        <v>3.78</v>
      </c>
      <c r="W24" s="192"/>
    </row>
    <row r="25" spans="4:23" x14ac:dyDescent="0.2">
      <c r="D25" s="200" t="s">
        <v>366</v>
      </c>
      <c r="E25" s="194">
        <v>49827</v>
      </c>
      <c r="F25" s="189"/>
      <c r="G25" s="203">
        <v>3.6540000000000003E-2</v>
      </c>
      <c r="H25" s="189" t="s">
        <v>356</v>
      </c>
      <c r="I25" s="196">
        <v>16693620</v>
      </c>
      <c r="J25" s="189"/>
      <c r="K25" s="196">
        <f t="shared" si="0"/>
        <v>609985</v>
      </c>
      <c r="L25" s="189"/>
      <c r="M25" s="197">
        <f>1620*12</f>
        <v>19440</v>
      </c>
      <c r="N25" s="198"/>
      <c r="O25" s="198"/>
      <c r="P25" s="196"/>
      <c r="Q25" s="204">
        <v>0</v>
      </c>
      <c r="R25" s="196"/>
      <c r="S25" s="196">
        <f t="shared" si="1"/>
        <v>629425</v>
      </c>
      <c r="T25" s="189"/>
      <c r="U25" s="189"/>
      <c r="V25" s="201">
        <f t="shared" si="2"/>
        <v>3.77</v>
      </c>
      <c r="W25" s="192"/>
    </row>
    <row r="26" spans="4:23" x14ac:dyDescent="0.2">
      <c r="D26" s="200" t="s">
        <v>367</v>
      </c>
      <c r="E26" s="194">
        <v>49827</v>
      </c>
      <c r="F26" s="189"/>
      <c r="G26" s="203">
        <v>3.6999999999999998E-2</v>
      </c>
      <c r="H26" s="189" t="s">
        <v>356</v>
      </c>
      <c r="I26" s="196">
        <v>16693620</v>
      </c>
      <c r="J26" s="189"/>
      <c r="K26" s="196">
        <f t="shared" si="0"/>
        <v>617664</v>
      </c>
      <c r="L26" s="189"/>
      <c r="M26" s="197">
        <f>1011*12</f>
        <v>12132</v>
      </c>
      <c r="N26" s="198"/>
      <c r="O26" s="198"/>
      <c r="P26" s="196"/>
      <c r="Q26" s="204">
        <v>0</v>
      </c>
      <c r="R26" s="196"/>
      <c r="S26" s="196">
        <f t="shared" si="1"/>
        <v>629796</v>
      </c>
      <c r="T26" s="189"/>
      <c r="U26" s="189"/>
      <c r="V26" s="201">
        <f t="shared" si="2"/>
        <v>3.77</v>
      </c>
      <c r="W26" s="192"/>
    </row>
    <row r="27" spans="4:23" x14ac:dyDescent="0.2">
      <c r="D27" s="200" t="s">
        <v>371</v>
      </c>
      <c r="E27" s="189"/>
      <c r="F27" s="189"/>
      <c r="G27" s="206"/>
      <c r="H27" s="189"/>
      <c r="I27" s="198" t="s">
        <v>372</v>
      </c>
      <c r="J27" s="189"/>
      <c r="K27" s="198" t="s">
        <v>357</v>
      </c>
      <c r="L27" s="189"/>
      <c r="M27" s="198" t="s">
        <v>357</v>
      </c>
      <c r="N27" s="198"/>
      <c r="O27" s="198" t="s">
        <v>357</v>
      </c>
      <c r="P27" s="196"/>
      <c r="Q27" s="196">
        <f>+(6627+1515)*12</f>
        <v>97704</v>
      </c>
      <c r="R27" s="209">
        <v>2</v>
      </c>
      <c r="S27" s="196">
        <f t="shared" si="1"/>
        <v>97706</v>
      </c>
      <c r="T27" s="189"/>
      <c r="U27" s="189"/>
      <c r="V27" s="210" t="s">
        <v>357</v>
      </c>
      <c r="W27" s="192"/>
    </row>
    <row r="28" spans="4:23" x14ac:dyDescent="0.2">
      <c r="D28" s="200"/>
      <c r="E28" s="189"/>
      <c r="F28" s="189"/>
      <c r="G28" s="206"/>
      <c r="H28" s="189"/>
      <c r="I28" s="214"/>
      <c r="J28" s="189"/>
      <c r="K28" s="214"/>
      <c r="L28" s="189"/>
      <c r="M28" s="198"/>
      <c r="N28" s="198"/>
      <c r="O28" s="198"/>
      <c r="P28" s="196"/>
      <c r="Q28" s="196"/>
      <c r="R28" s="209"/>
      <c r="S28" s="196"/>
      <c r="T28" s="189"/>
      <c r="U28" s="189"/>
      <c r="V28" s="215"/>
      <c r="W28" s="192"/>
    </row>
    <row r="29" spans="4:23" x14ac:dyDescent="0.2">
      <c r="D29" s="200" t="s">
        <v>426</v>
      </c>
      <c r="E29" s="296"/>
      <c r="F29" s="189"/>
      <c r="G29" s="189"/>
      <c r="H29" s="189"/>
      <c r="I29" s="196"/>
      <c r="J29" s="189"/>
      <c r="K29" s="297"/>
      <c r="L29" s="209"/>
      <c r="M29" s="198"/>
      <c r="N29" s="191"/>
      <c r="O29" s="198"/>
      <c r="P29" s="189"/>
      <c r="Q29" s="298"/>
      <c r="R29" s="189"/>
      <c r="S29" s="196"/>
      <c r="T29" s="189"/>
      <c r="U29" s="299"/>
      <c r="V29" s="300"/>
      <c r="W29" s="192"/>
    </row>
    <row r="30" spans="4:23" x14ac:dyDescent="0.2">
      <c r="D30" s="200" t="s">
        <v>427</v>
      </c>
      <c r="E30" s="194">
        <v>39217</v>
      </c>
      <c r="F30" s="189"/>
      <c r="G30" s="191">
        <v>1</v>
      </c>
      <c r="H30" s="189"/>
      <c r="I30" s="196"/>
      <c r="J30" s="189"/>
      <c r="K30" s="301">
        <f>-10075.52*12</f>
        <v>-120906.24000000001</v>
      </c>
      <c r="L30" s="209"/>
      <c r="M30" s="198"/>
      <c r="N30" s="191"/>
      <c r="O30" s="198"/>
      <c r="P30" s="189"/>
      <c r="Q30" s="298"/>
      <c r="R30" s="189"/>
      <c r="S30" s="196">
        <f>+K30</f>
        <v>-120906.24000000001</v>
      </c>
      <c r="T30" s="189"/>
      <c r="U30" s="299"/>
      <c r="V30" s="201"/>
      <c r="W30" s="192"/>
    </row>
    <row r="31" spans="4:23" ht="16.5" customHeight="1" x14ac:dyDescent="0.2">
      <c r="D31" s="200"/>
      <c r="E31" s="194"/>
      <c r="F31" s="189"/>
      <c r="G31" s="191"/>
      <c r="H31" s="189"/>
      <c r="I31" s="196"/>
      <c r="J31" s="189"/>
      <c r="K31" s="276"/>
      <c r="L31" s="209"/>
      <c r="M31" s="198"/>
      <c r="N31" s="191"/>
      <c r="O31" s="198"/>
      <c r="P31" s="189"/>
      <c r="Q31" s="298"/>
      <c r="R31" s="189"/>
      <c r="S31" s="196"/>
      <c r="T31" s="189"/>
      <c r="U31" s="299"/>
      <c r="V31" s="201"/>
      <c r="W31" s="192"/>
    </row>
    <row r="32" spans="4:23" ht="16.5" customHeight="1" x14ac:dyDescent="0.2">
      <c r="D32" s="200" t="s">
        <v>428</v>
      </c>
      <c r="E32" s="194">
        <v>39217</v>
      </c>
      <c r="F32" s="189"/>
      <c r="G32" s="191"/>
      <c r="H32" s="189"/>
      <c r="I32" s="275">
        <v>433540</v>
      </c>
      <c r="J32" s="189"/>
      <c r="K32" s="276"/>
      <c r="L32" s="209"/>
      <c r="M32" s="198"/>
      <c r="N32" s="191"/>
      <c r="O32" s="198"/>
      <c r="P32" s="189"/>
      <c r="Q32" s="298"/>
      <c r="R32" s="189"/>
      <c r="S32" s="196"/>
      <c r="T32" s="189"/>
      <c r="U32" s="299"/>
      <c r="V32" s="201"/>
      <c r="W32" s="192"/>
    </row>
    <row r="33" spans="4:23" ht="16.5" customHeight="1" x14ac:dyDescent="0.2">
      <c r="D33" s="200"/>
      <c r="E33" s="194"/>
      <c r="F33" s="189"/>
      <c r="G33" s="191"/>
      <c r="H33" s="189"/>
      <c r="I33" s="196"/>
      <c r="J33" s="189"/>
      <c r="K33" s="276"/>
      <c r="L33" s="209"/>
      <c r="M33" s="198"/>
      <c r="N33" s="191"/>
      <c r="O33" s="198"/>
      <c r="P33" s="189"/>
      <c r="Q33" s="298"/>
      <c r="R33" s="189"/>
      <c r="S33" s="196"/>
      <c r="T33" s="189"/>
      <c r="U33" s="299"/>
      <c r="V33" s="201"/>
      <c r="W33" s="192"/>
    </row>
    <row r="34" spans="4:23" ht="15.75" customHeight="1" x14ac:dyDescent="0.2">
      <c r="D34" s="188" t="s">
        <v>374</v>
      </c>
      <c r="E34" s="194">
        <v>41394</v>
      </c>
      <c r="F34" s="189"/>
      <c r="G34" s="195">
        <v>4.5499999999999999E-2</v>
      </c>
      <c r="H34" s="189"/>
      <c r="I34" s="196">
        <v>100000000</v>
      </c>
      <c r="J34" s="189"/>
      <c r="K34" s="196">
        <f t="shared" ref="K34:K41" si="3">ROUND(G34*I34,0)</f>
        <v>4550000</v>
      </c>
      <c r="L34" s="189"/>
      <c r="M34" s="217">
        <v>0</v>
      </c>
      <c r="N34" s="217"/>
      <c r="O34" s="217">
        <v>0</v>
      </c>
      <c r="P34" s="217"/>
      <c r="Q34" s="217">
        <v>0</v>
      </c>
      <c r="R34" s="189"/>
      <c r="S34" s="196">
        <f t="shared" ref="S34:S41" si="4">SUM(K34,M34,Q34)</f>
        <v>4550000</v>
      </c>
      <c r="T34" s="189"/>
      <c r="U34" s="189"/>
      <c r="V34" s="218">
        <f t="shared" ref="V34:V41" si="5">K34/I34*100</f>
        <v>4.55</v>
      </c>
      <c r="W34" s="192"/>
    </row>
    <row r="35" spans="4:23" ht="15.75" customHeight="1" x14ac:dyDescent="0.2">
      <c r="D35" s="188" t="s">
        <v>374</v>
      </c>
      <c r="E35" s="194">
        <v>41501</v>
      </c>
      <c r="F35" s="189"/>
      <c r="G35" s="195">
        <v>5.3100000000000001E-2</v>
      </c>
      <c r="H35" s="189"/>
      <c r="I35" s="196">
        <v>75000000</v>
      </c>
      <c r="J35" s="189"/>
      <c r="K35" s="196">
        <f t="shared" si="3"/>
        <v>3982500</v>
      </c>
      <c r="L35" s="189"/>
      <c r="M35" s="217">
        <v>0</v>
      </c>
      <c r="N35" s="217"/>
      <c r="O35" s="217">
        <v>0</v>
      </c>
      <c r="P35" s="217"/>
      <c r="Q35" s="217">
        <v>0</v>
      </c>
      <c r="R35" s="189"/>
      <c r="S35" s="196">
        <f t="shared" si="4"/>
        <v>3982500</v>
      </c>
      <c r="T35" s="189"/>
      <c r="U35" s="189"/>
      <c r="V35" s="218">
        <f t="shared" si="5"/>
        <v>5.3100000000000005</v>
      </c>
      <c r="W35" s="192"/>
    </row>
    <row r="36" spans="4:23" ht="15.75" customHeight="1" x14ac:dyDescent="0.2">
      <c r="D36" s="188" t="s">
        <v>374</v>
      </c>
      <c r="E36" s="194">
        <v>40506</v>
      </c>
      <c r="F36" s="189"/>
      <c r="G36" s="195">
        <v>4.24E-2</v>
      </c>
      <c r="H36" s="189"/>
      <c r="I36" s="196">
        <v>33000000</v>
      </c>
      <c r="J36" s="189"/>
      <c r="K36" s="196">
        <f t="shared" si="3"/>
        <v>1399200</v>
      </c>
      <c r="L36" s="189"/>
      <c r="M36" s="217">
        <v>0</v>
      </c>
      <c r="N36" s="217"/>
      <c r="O36" s="217">
        <v>0</v>
      </c>
      <c r="P36" s="217"/>
      <c r="Q36" s="217">
        <v>0</v>
      </c>
      <c r="R36" s="189"/>
      <c r="S36" s="196">
        <f t="shared" si="4"/>
        <v>1399200</v>
      </c>
      <c r="T36" s="189"/>
      <c r="U36" s="189"/>
      <c r="V36" s="218">
        <f t="shared" si="5"/>
        <v>4.24</v>
      </c>
      <c r="W36" s="192"/>
    </row>
    <row r="37" spans="4:23" ht="15.75" customHeight="1" x14ac:dyDescent="0.2">
      <c r="D37" s="188" t="s">
        <v>374</v>
      </c>
      <c r="E37" s="194">
        <v>40924</v>
      </c>
      <c r="F37" s="189"/>
      <c r="G37" s="195">
        <v>4.3900000000000002E-2</v>
      </c>
      <c r="H37" s="189"/>
      <c r="I37" s="196">
        <v>50000000</v>
      </c>
      <c r="J37" s="189"/>
      <c r="K37" s="196">
        <f t="shared" si="3"/>
        <v>2195000</v>
      </c>
      <c r="L37" s="189"/>
      <c r="M37" s="217">
        <v>0</v>
      </c>
      <c r="N37" s="217"/>
      <c r="O37" s="217">
        <v>0</v>
      </c>
      <c r="P37" s="217"/>
      <c r="Q37" s="217">
        <v>0</v>
      </c>
      <c r="R37" s="189"/>
      <c r="S37" s="196">
        <f t="shared" si="4"/>
        <v>2195000</v>
      </c>
      <c r="T37" s="189"/>
      <c r="U37" s="189"/>
      <c r="V37" s="218">
        <f t="shared" si="5"/>
        <v>4.3900000000000006</v>
      </c>
      <c r="W37" s="192"/>
    </row>
    <row r="38" spans="4:23" ht="15.75" customHeight="1" x14ac:dyDescent="0.2">
      <c r="D38" s="188" t="s">
        <v>374</v>
      </c>
      <c r="E38" s="194">
        <v>42193</v>
      </c>
      <c r="F38" s="189"/>
      <c r="G38" s="195">
        <v>4.7350000000000003E-2</v>
      </c>
      <c r="H38" s="189"/>
      <c r="I38" s="196">
        <v>50000000</v>
      </c>
      <c r="J38" s="189"/>
      <c r="K38" s="196">
        <f t="shared" si="3"/>
        <v>2367500</v>
      </c>
      <c r="L38" s="189"/>
      <c r="M38" s="217">
        <v>0</v>
      </c>
      <c r="N38" s="217"/>
      <c r="O38" s="217">
        <v>0</v>
      </c>
      <c r="P38" s="217"/>
      <c r="Q38" s="217">
        <v>0</v>
      </c>
      <c r="R38" s="189"/>
      <c r="S38" s="196">
        <f t="shared" si="4"/>
        <v>2367500</v>
      </c>
      <c r="T38" s="189"/>
      <c r="U38" s="189"/>
      <c r="V38" s="218">
        <f t="shared" si="5"/>
        <v>4.7350000000000003</v>
      </c>
      <c r="W38" s="192"/>
    </row>
    <row r="39" spans="4:23" ht="15.75" customHeight="1" x14ac:dyDescent="0.2">
      <c r="D39" s="188" t="s">
        <v>374</v>
      </c>
      <c r="E39" s="194">
        <v>42359</v>
      </c>
      <c r="F39" s="189"/>
      <c r="G39" s="195">
        <v>5.3600000000000002E-2</v>
      </c>
      <c r="H39" s="189"/>
      <c r="I39" s="196">
        <v>75000000</v>
      </c>
      <c r="J39" s="189"/>
      <c r="K39" s="196">
        <f t="shared" si="3"/>
        <v>4020000</v>
      </c>
      <c r="L39" s="189"/>
      <c r="M39" s="217">
        <v>0</v>
      </c>
      <c r="N39" s="217"/>
      <c r="O39" s="217">
        <v>0</v>
      </c>
      <c r="P39" s="217"/>
      <c r="Q39" s="217">
        <v>0</v>
      </c>
      <c r="R39" s="189"/>
      <c r="S39" s="196">
        <f t="shared" si="4"/>
        <v>4020000</v>
      </c>
      <c r="T39" s="189"/>
      <c r="U39" s="189"/>
      <c r="V39" s="218">
        <f t="shared" si="5"/>
        <v>5.36</v>
      </c>
      <c r="W39" s="192"/>
    </row>
    <row r="40" spans="4:23" ht="15.75" customHeight="1" x14ac:dyDescent="0.2">
      <c r="D40" s="188" t="s">
        <v>374</v>
      </c>
      <c r="E40" s="194">
        <v>13324</v>
      </c>
      <c r="F40" s="189"/>
      <c r="G40" s="195">
        <v>6.3299999999999995E-2</v>
      </c>
      <c r="H40" s="189"/>
      <c r="I40" s="196">
        <v>50000000</v>
      </c>
      <c r="J40" s="189"/>
      <c r="K40" s="196">
        <f t="shared" si="3"/>
        <v>3165000</v>
      </c>
      <c r="L40" s="189"/>
      <c r="M40" s="217">
        <v>0</v>
      </c>
      <c r="N40" s="217"/>
      <c r="O40" s="217">
        <v>0</v>
      </c>
      <c r="P40" s="217"/>
      <c r="Q40" s="217">
        <v>0</v>
      </c>
      <c r="R40" s="189"/>
      <c r="S40" s="196">
        <f t="shared" si="4"/>
        <v>3165000</v>
      </c>
      <c r="T40" s="189"/>
      <c r="U40" s="189"/>
      <c r="V40" s="218">
        <f t="shared" si="5"/>
        <v>6.3299999999999992</v>
      </c>
      <c r="W40" s="192"/>
    </row>
    <row r="41" spans="4:23" ht="15.75" customHeight="1" x14ac:dyDescent="0.2">
      <c r="D41" s="188" t="s">
        <v>374</v>
      </c>
      <c r="E41" s="194">
        <v>42668</v>
      </c>
      <c r="F41" s="189"/>
      <c r="G41" s="195">
        <v>5.6750000000000002E-2</v>
      </c>
      <c r="H41" s="189"/>
      <c r="I41" s="208">
        <v>50000000</v>
      </c>
      <c r="J41" s="189"/>
      <c r="K41" s="208">
        <f t="shared" si="3"/>
        <v>2837500</v>
      </c>
      <c r="L41" s="189"/>
      <c r="M41" s="220">
        <v>0</v>
      </c>
      <c r="N41" s="217"/>
      <c r="O41" s="220">
        <v>0</v>
      </c>
      <c r="P41" s="217"/>
      <c r="Q41" s="220">
        <v>0</v>
      </c>
      <c r="R41" s="189"/>
      <c r="S41" s="208">
        <f t="shared" si="4"/>
        <v>2837500</v>
      </c>
      <c r="T41" s="189"/>
      <c r="U41" s="189"/>
      <c r="V41" s="218">
        <f t="shared" si="5"/>
        <v>5.6749999999999998</v>
      </c>
      <c r="W41" s="192"/>
    </row>
    <row r="42" spans="4:23" ht="15.75" thickBot="1" x14ac:dyDescent="0.25">
      <c r="D42" s="188"/>
      <c r="E42" s="189"/>
      <c r="F42" s="189"/>
      <c r="G42" s="206"/>
      <c r="H42" s="189"/>
      <c r="I42" s="196"/>
      <c r="J42" s="189"/>
      <c r="K42" s="196"/>
      <c r="L42" s="189"/>
      <c r="M42" s="198"/>
      <c r="N42" s="198"/>
      <c r="O42" s="198"/>
      <c r="P42" s="196"/>
      <c r="Q42" s="196"/>
      <c r="R42" s="196"/>
      <c r="S42" s="196"/>
      <c r="T42" s="189"/>
      <c r="U42" s="189"/>
      <c r="V42" s="199"/>
      <c r="W42" s="192"/>
    </row>
    <row r="43" spans="4:23" ht="18.75" thickBot="1" x14ac:dyDescent="0.3">
      <c r="D43" s="188"/>
      <c r="E43" s="189"/>
      <c r="F43" s="189"/>
      <c r="G43" s="225" t="s">
        <v>16</v>
      </c>
      <c r="H43" s="189"/>
      <c r="I43" s="226">
        <f>SUM(I12:I41)</f>
        <v>842384680</v>
      </c>
      <c r="J43" s="189"/>
      <c r="K43" s="226">
        <f>SUM(K12:K41)</f>
        <v>39788931.759999998</v>
      </c>
      <c r="L43" s="189"/>
      <c r="M43" s="302">
        <f>SUM(M12:M41)</f>
        <v>272760</v>
      </c>
      <c r="N43" s="189"/>
      <c r="O43" s="303">
        <v>0</v>
      </c>
      <c r="P43" s="196"/>
      <c r="Q43" s="226">
        <f>SUM(Q12:Q41)</f>
        <v>645012</v>
      </c>
      <c r="R43" s="196"/>
      <c r="S43" s="226">
        <f>SUM(S12:S41)</f>
        <v>40706705.759999998</v>
      </c>
      <c r="T43" s="189"/>
      <c r="U43" s="189"/>
      <c r="V43" s="213">
        <f>+S43/I43</f>
        <v>4.832317909675185E-2</v>
      </c>
      <c r="W43" s="192"/>
    </row>
    <row r="44" spans="4:23" ht="16.5" thickTop="1" x14ac:dyDescent="0.25">
      <c r="D44" s="227"/>
      <c r="E44" s="228"/>
      <c r="F44" s="228"/>
      <c r="G44" s="229"/>
      <c r="H44" s="228"/>
      <c r="I44" s="208"/>
      <c r="J44" s="228"/>
      <c r="K44" s="208"/>
      <c r="L44" s="228"/>
      <c r="M44" s="208"/>
      <c r="N44" s="208"/>
      <c r="O44" s="208"/>
      <c r="P44" s="208"/>
      <c r="Q44" s="208"/>
      <c r="R44" s="208"/>
      <c r="S44" s="208"/>
      <c r="T44" s="228"/>
      <c r="U44" s="228"/>
      <c r="V44" s="230"/>
      <c r="W44" s="231"/>
    </row>
    <row r="45" spans="4:23" ht="15.75" x14ac:dyDescent="0.25">
      <c r="G45" s="232"/>
      <c r="I45" s="233"/>
      <c r="K45" s="233"/>
      <c r="M45" s="233"/>
      <c r="N45" s="233"/>
      <c r="O45" s="233"/>
      <c r="P45" s="233"/>
      <c r="Q45" s="233"/>
      <c r="R45" s="233"/>
      <c r="S45" s="233"/>
      <c r="V45" s="234"/>
    </row>
    <row r="46" spans="4:23" ht="15.75" x14ac:dyDescent="0.25">
      <c r="G46" s="232"/>
      <c r="I46" s="233"/>
      <c r="K46" s="233"/>
      <c r="M46" s="233"/>
      <c r="N46" s="233"/>
      <c r="O46" s="233"/>
      <c r="P46" s="233"/>
      <c r="Q46" s="233"/>
      <c r="R46" s="233"/>
      <c r="S46" s="233"/>
      <c r="V46" s="234"/>
    </row>
    <row r="47" spans="4:23" ht="15.75" x14ac:dyDescent="0.25">
      <c r="G47" s="232"/>
      <c r="I47" s="233"/>
      <c r="K47" s="233"/>
      <c r="M47" s="233"/>
      <c r="N47" s="233"/>
      <c r="O47" s="233"/>
      <c r="P47" s="233"/>
      <c r="Q47" s="233"/>
      <c r="R47" s="233"/>
      <c r="S47" s="233"/>
      <c r="V47" s="234"/>
    </row>
    <row r="48" spans="4:23" ht="15.75" x14ac:dyDescent="0.25">
      <c r="G48" s="232"/>
      <c r="I48" s="233"/>
      <c r="K48" s="233"/>
      <c r="M48" s="233"/>
      <c r="N48" s="233"/>
      <c r="O48" s="233"/>
      <c r="P48" s="233"/>
      <c r="Q48" s="233"/>
      <c r="R48" s="233"/>
      <c r="S48" s="233"/>
      <c r="V48" s="234"/>
    </row>
    <row r="49" spans="4:23" ht="20.25" x14ac:dyDescent="0.3">
      <c r="D49" s="235" t="s">
        <v>376</v>
      </c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7"/>
    </row>
    <row r="50" spans="4:23" x14ac:dyDescent="0.2">
      <c r="D50" s="216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9"/>
    </row>
    <row r="51" spans="4:23" x14ac:dyDescent="0.2">
      <c r="D51" s="216"/>
      <c r="E51" s="238"/>
      <c r="F51" s="238"/>
      <c r="G51" s="238"/>
      <c r="H51" s="238"/>
      <c r="I51" s="238"/>
      <c r="J51" s="238"/>
      <c r="K51" s="240" t="s">
        <v>343</v>
      </c>
      <c r="L51" s="240"/>
      <c r="M51" s="240"/>
      <c r="N51" s="240"/>
      <c r="O51" s="240"/>
      <c r="P51" s="240"/>
      <c r="Q51" s="240"/>
      <c r="R51" s="240"/>
      <c r="S51" s="240"/>
      <c r="T51" s="238"/>
      <c r="U51" s="238"/>
      <c r="V51" s="238"/>
      <c r="W51" s="239"/>
    </row>
    <row r="52" spans="4:23" x14ac:dyDescent="0.2">
      <c r="D52" s="241"/>
      <c r="E52" s="242"/>
      <c r="F52" s="242"/>
      <c r="G52" s="238"/>
      <c r="H52" s="238"/>
      <c r="I52" s="238"/>
      <c r="J52" s="238"/>
      <c r="K52" s="238"/>
      <c r="L52" s="238"/>
      <c r="M52" s="243"/>
      <c r="N52" s="238"/>
      <c r="O52" s="238"/>
      <c r="P52" s="238"/>
      <c r="Q52" s="243"/>
      <c r="R52" s="238"/>
      <c r="S52" s="238"/>
      <c r="T52" s="238"/>
      <c r="V52" s="243" t="s">
        <v>346</v>
      </c>
      <c r="W52" s="244"/>
    </row>
    <row r="53" spans="4:23" x14ac:dyDescent="0.2">
      <c r="D53" s="241"/>
      <c r="E53" s="242"/>
      <c r="F53" s="245"/>
      <c r="G53" s="246" t="s">
        <v>36</v>
      </c>
      <c r="H53" s="247"/>
      <c r="I53" s="246" t="s">
        <v>348</v>
      </c>
      <c r="J53" s="246"/>
      <c r="K53" s="246" t="s">
        <v>377</v>
      </c>
      <c r="L53" s="243"/>
      <c r="M53" s="246" t="s">
        <v>378</v>
      </c>
      <c r="N53" s="243"/>
      <c r="O53" s="246" t="s">
        <v>351</v>
      </c>
      <c r="P53" s="243"/>
      <c r="Q53" s="246" t="s">
        <v>379</v>
      </c>
      <c r="R53" s="243"/>
      <c r="S53" s="246" t="s">
        <v>16</v>
      </c>
      <c r="T53" s="238"/>
      <c r="V53" s="246" t="s">
        <v>31</v>
      </c>
      <c r="W53" s="248"/>
    </row>
    <row r="54" spans="4:23" x14ac:dyDescent="0.2">
      <c r="D54" s="216"/>
      <c r="E54" s="242"/>
      <c r="F54" s="242"/>
      <c r="G54" s="242"/>
      <c r="H54" s="242"/>
      <c r="I54" s="242"/>
      <c r="J54" s="242"/>
      <c r="K54" s="242"/>
      <c r="L54" s="242"/>
      <c r="M54" s="242"/>
      <c r="N54" s="238"/>
      <c r="O54" s="238"/>
      <c r="P54" s="238"/>
      <c r="Q54" s="238"/>
      <c r="R54" s="238"/>
      <c r="S54" s="238"/>
      <c r="T54" s="238"/>
      <c r="U54" s="238"/>
      <c r="V54" s="249"/>
      <c r="W54" s="239"/>
    </row>
    <row r="55" spans="4:23" x14ac:dyDescent="0.2">
      <c r="D55" s="216" t="s">
        <v>380</v>
      </c>
      <c r="E55" s="242"/>
      <c r="F55" s="242"/>
      <c r="G55" s="250">
        <v>5.2499999999999998E-2</v>
      </c>
      <c r="H55" s="189" t="s">
        <v>356</v>
      </c>
      <c r="I55" s="251">
        <v>97043054</v>
      </c>
      <c r="J55" s="242"/>
      <c r="K55" s="252">
        <f>ROUND(G55*I55,0)</f>
        <v>5094760</v>
      </c>
      <c r="L55" s="238"/>
      <c r="M55" s="243" t="s">
        <v>357</v>
      </c>
      <c r="N55" s="238"/>
      <c r="O55" s="264" t="s">
        <v>357</v>
      </c>
      <c r="P55" s="238"/>
      <c r="Q55" s="264" t="s">
        <v>357</v>
      </c>
      <c r="R55" s="238"/>
      <c r="S55" s="252">
        <f>SUM(K55,M55,Q55)</f>
        <v>5094760</v>
      </c>
      <c r="T55" s="238"/>
      <c r="U55" s="254"/>
      <c r="V55" s="255">
        <f>K55/I55*100</f>
        <v>5.2499996547923979</v>
      </c>
      <c r="W55" s="239"/>
    </row>
    <row r="56" spans="4:23" ht="15.75" thickBot="1" x14ac:dyDescent="0.25">
      <c r="D56" s="188"/>
      <c r="E56" s="194"/>
      <c r="F56" s="189"/>
      <c r="G56" s="195"/>
      <c r="H56" s="189"/>
      <c r="I56" s="208"/>
      <c r="J56" s="189"/>
      <c r="K56" s="208"/>
      <c r="L56" s="189"/>
      <c r="M56" s="292"/>
      <c r="N56" s="198"/>
      <c r="O56" s="207" t="s">
        <v>357</v>
      </c>
      <c r="P56" s="196"/>
      <c r="Q56" s="208"/>
      <c r="R56" s="196"/>
      <c r="S56" s="208"/>
      <c r="T56" s="189"/>
      <c r="U56" s="189"/>
      <c r="V56" s="201"/>
      <c r="W56" s="192"/>
    </row>
    <row r="57" spans="4:23" ht="18.75" thickBot="1" x14ac:dyDescent="0.3">
      <c r="D57" s="216"/>
      <c r="E57" s="238"/>
      <c r="F57" s="238"/>
      <c r="G57" s="238" t="s">
        <v>16</v>
      </c>
      <c r="H57" s="238"/>
      <c r="I57" s="263">
        <f>SUM(I55:I56)</f>
        <v>97043054</v>
      </c>
      <c r="J57" s="238"/>
      <c r="K57" s="263">
        <f>SUM(K55:K56)</f>
        <v>5094760</v>
      </c>
      <c r="L57" s="238"/>
      <c r="M57" s="263">
        <f>SUM(M55:M56)</f>
        <v>0</v>
      </c>
      <c r="N57" s="238"/>
      <c r="O57" s="293" t="s">
        <v>357</v>
      </c>
      <c r="P57" s="264"/>
      <c r="Q57" s="263">
        <f>SUM(Q55:Q56)</f>
        <v>0</v>
      </c>
      <c r="R57" s="238"/>
      <c r="S57" s="263">
        <f>SUM(S55:S56)</f>
        <v>5094760</v>
      </c>
      <c r="T57" s="238"/>
      <c r="U57" s="242"/>
      <c r="V57" s="265">
        <f>S57/I57</f>
        <v>5.2499996547923977E-2</v>
      </c>
      <c r="W57" s="239"/>
    </row>
    <row r="58" spans="4:23" ht="15.75" thickTop="1" x14ac:dyDescent="0.2">
      <c r="D58" s="266"/>
      <c r="E58" s="267"/>
      <c r="F58" s="267"/>
      <c r="G58" s="267"/>
      <c r="H58" s="267"/>
      <c r="I58" s="267"/>
      <c r="J58" s="267"/>
      <c r="K58" s="258"/>
      <c r="L58" s="267"/>
      <c r="M58" s="267"/>
      <c r="N58" s="267"/>
      <c r="O58" s="267"/>
      <c r="P58" s="267"/>
      <c r="Q58" s="258"/>
      <c r="R58" s="267"/>
      <c r="S58" s="267"/>
      <c r="T58" s="267"/>
      <c r="U58" s="267"/>
      <c r="V58" s="267"/>
      <c r="W58" s="268"/>
    </row>
    <row r="59" spans="4:23" x14ac:dyDescent="0.2">
      <c r="G59" s="269"/>
      <c r="I59" s="233"/>
      <c r="K59" s="233"/>
      <c r="S59" s="233"/>
    </row>
    <row r="60" spans="4:23" x14ac:dyDescent="0.2">
      <c r="G60" s="269"/>
      <c r="I60" s="233"/>
      <c r="K60" s="233"/>
      <c r="S60" s="233"/>
    </row>
    <row r="61" spans="4:23" ht="21.75" hidden="1" customHeight="1" x14ac:dyDescent="0.3">
      <c r="D61" s="182" t="s">
        <v>382</v>
      </c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270"/>
    </row>
    <row r="62" spans="4:23" ht="15" hidden="1" customHeight="1" x14ac:dyDescent="0.2">
      <c r="D62" s="188"/>
      <c r="E62" s="189"/>
      <c r="F62" s="189"/>
      <c r="G62" s="206"/>
      <c r="H62" s="189"/>
      <c r="I62" s="196"/>
      <c r="J62" s="189"/>
      <c r="K62" s="196"/>
      <c r="L62" s="189"/>
      <c r="M62" s="189"/>
      <c r="N62" s="189"/>
      <c r="O62" s="189"/>
      <c r="P62" s="189"/>
      <c r="Q62" s="189"/>
      <c r="R62" s="189"/>
      <c r="S62" s="196"/>
      <c r="T62" s="189"/>
      <c r="U62" s="189"/>
      <c r="V62" s="189"/>
      <c r="W62" s="192"/>
    </row>
    <row r="63" spans="4:23" ht="15" hidden="1" customHeight="1" x14ac:dyDescent="0.2">
      <c r="D63" s="188"/>
      <c r="E63" s="189"/>
      <c r="F63" s="189"/>
      <c r="G63" s="206"/>
      <c r="H63" s="189"/>
      <c r="I63" s="196"/>
      <c r="J63" s="189"/>
      <c r="K63" s="190" t="s">
        <v>343</v>
      </c>
      <c r="L63" s="190"/>
      <c r="M63" s="190"/>
      <c r="N63" s="190"/>
      <c r="O63" s="190"/>
      <c r="P63" s="190"/>
      <c r="Q63" s="190"/>
      <c r="R63" s="190"/>
      <c r="S63" s="190"/>
      <c r="T63" s="189"/>
      <c r="U63" s="189"/>
      <c r="V63" s="189"/>
      <c r="W63" s="192"/>
    </row>
    <row r="64" spans="4:23" ht="15" hidden="1" customHeight="1" x14ac:dyDescent="0.2">
      <c r="D64" s="271"/>
      <c r="E64" s="189"/>
      <c r="F64" s="189"/>
      <c r="G64" s="206"/>
      <c r="H64" s="189"/>
      <c r="I64" s="196"/>
      <c r="J64" s="189"/>
      <c r="K64" s="186"/>
      <c r="L64" s="186"/>
      <c r="M64" s="186"/>
      <c r="N64" s="186"/>
      <c r="O64" s="186"/>
      <c r="P64" s="186"/>
      <c r="Q64" s="186"/>
      <c r="R64" s="186"/>
      <c r="S64" s="186"/>
      <c r="T64" s="189"/>
      <c r="U64" s="189"/>
      <c r="V64" s="189"/>
      <c r="W64" s="192"/>
    </row>
    <row r="65" spans="1:23" ht="15" hidden="1" customHeight="1" x14ac:dyDescent="0.2">
      <c r="D65" s="188"/>
      <c r="E65" s="189"/>
      <c r="F65" s="189"/>
      <c r="G65" s="206"/>
      <c r="H65" s="189"/>
      <c r="I65" s="196" t="s">
        <v>383</v>
      </c>
      <c r="J65" s="189"/>
      <c r="K65" s="196"/>
      <c r="L65" s="189"/>
      <c r="M65" s="191" t="s">
        <v>384</v>
      </c>
      <c r="N65" s="191"/>
      <c r="O65" s="191" t="s">
        <v>385</v>
      </c>
      <c r="P65" s="191"/>
      <c r="Q65" s="191"/>
      <c r="R65" s="191"/>
      <c r="S65" s="198"/>
      <c r="T65" s="189"/>
      <c r="U65" s="189"/>
      <c r="V65" s="191" t="s">
        <v>346</v>
      </c>
      <c r="W65" s="192"/>
    </row>
    <row r="66" spans="1:23" ht="15" hidden="1" customHeight="1" x14ac:dyDescent="0.2">
      <c r="A66" s="272" t="s">
        <v>386</v>
      </c>
      <c r="D66" s="188"/>
      <c r="E66" s="189"/>
      <c r="F66" s="189"/>
      <c r="G66" s="193" t="s">
        <v>36</v>
      </c>
      <c r="H66" s="189"/>
      <c r="I66" s="193" t="s">
        <v>348</v>
      </c>
      <c r="J66" s="193"/>
      <c r="K66" s="193" t="s">
        <v>377</v>
      </c>
      <c r="L66" s="189"/>
      <c r="M66" s="193" t="s">
        <v>387</v>
      </c>
      <c r="N66" s="191"/>
      <c r="O66" s="193" t="s">
        <v>387</v>
      </c>
      <c r="P66" s="191"/>
      <c r="Q66" s="191"/>
      <c r="R66" s="191"/>
      <c r="S66" s="273" t="s">
        <v>16</v>
      </c>
      <c r="T66" s="189"/>
      <c r="U66" s="189"/>
      <c r="V66" s="193" t="s">
        <v>31</v>
      </c>
      <c r="W66" s="192"/>
    </row>
    <row r="67" spans="1:23" ht="15" hidden="1" customHeight="1" x14ac:dyDescent="0.2">
      <c r="A67" s="274">
        <v>1.132967E-2</v>
      </c>
      <c r="B67" s="179" t="s">
        <v>388</v>
      </c>
      <c r="D67" s="188"/>
      <c r="E67" s="189"/>
      <c r="F67" s="189"/>
      <c r="G67" s="206"/>
      <c r="H67" s="189"/>
      <c r="I67" s="196"/>
      <c r="J67" s="189"/>
      <c r="K67" s="196"/>
      <c r="L67" s="189"/>
      <c r="M67" s="189"/>
      <c r="N67" s="189"/>
      <c r="O67" s="189"/>
      <c r="P67" s="189"/>
      <c r="Q67" s="189"/>
      <c r="R67" s="189"/>
      <c r="S67" s="196"/>
      <c r="T67" s="189"/>
      <c r="U67" s="189"/>
      <c r="V67" s="189"/>
      <c r="W67" s="192"/>
    </row>
    <row r="68" spans="1:23" ht="15" hidden="1" customHeight="1" x14ac:dyDescent="0.2">
      <c r="A68" s="274"/>
      <c r="D68" s="188" t="s">
        <v>389</v>
      </c>
      <c r="E68" s="189"/>
      <c r="F68" s="189"/>
      <c r="G68" s="195">
        <f>+(+A67+A68)/2</f>
        <v>5.664835E-3</v>
      </c>
      <c r="H68" s="189" t="s">
        <v>356</v>
      </c>
      <c r="I68" s="275">
        <v>0</v>
      </c>
      <c r="J68" s="189"/>
      <c r="K68" s="276">
        <f>+G68*I68</f>
        <v>0</v>
      </c>
      <c r="L68" s="189"/>
      <c r="M68" s="277">
        <f>25000000*0.00175</f>
        <v>43750</v>
      </c>
      <c r="N68" s="277"/>
      <c r="O68" s="277">
        <f>+I68*0.00125</f>
        <v>0</v>
      </c>
      <c r="P68" s="189"/>
      <c r="Q68" s="189"/>
      <c r="R68" s="189"/>
      <c r="S68" s="196">
        <f>+K68+M68+O68</f>
        <v>43750</v>
      </c>
      <c r="T68" s="189"/>
      <c r="U68" s="189"/>
      <c r="V68" s="218" t="e">
        <f>+S68/I68*100</f>
        <v>#DIV/0!</v>
      </c>
      <c r="W68" s="192"/>
    </row>
    <row r="69" spans="1:23" ht="15" hidden="1" customHeight="1" x14ac:dyDescent="0.2">
      <c r="A69" s="278" t="s">
        <v>390</v>
      </c>
      <c r="D69" s="188" t="s">
        <v>391</v>
      </c>
      <c r="E69" s="189"/>
      <c r="F69" s="189"/>
      <c r="G69" s="195">
        <f>+(+A70+A71)/2</f>
        <v>5.45E-3</v>
      </c>
      <c r="H69" s="189" t="s">
        <v>356</v>
      </c>
      <c r="I69" s="279">
        <v>0</v>
      </c>
      <c r="J69" s="189"/>
      <c r="K69" s="280">
        <f>+G69*I69</f>
        <v>0</v>
      </c>
      <c r="L69" s="189"/>
      <c r="M69" s="281">
        <f>25000000*0.00175</f>
        <v>43750</v>
      </c>
      <c r="N69" s="277"/>
      <c r="O69" s="281">
        <f>+I69*0.00125</f>
        <v>0</v>
      </c>
      <c r="P69" s="189"/>
      <c r="Q69" s="189"/>
      <c r="R69" s="189"/>
      <c r="S69" s="208">
        <f>+K69+M69+O69</f>
        <v>43750</v>
      </c>
      <c r="T69" s="189"/>
      <c r="U69" s="189"/>
      <c r="V69" s="282" t="e">
        <f>+S69/I69*100</f>
        <v>#DIV/0!</v>
      </c>
      <c r="W69" s="192"/>
    </row>
    <row r="70" spans="1:23" ht="15" hidden="1" customHeight="1" x14ac:dyDescent="0.2">
      <c r="A70" s="283">
        <v>1.09E-2</v>
      </c>
      <c r="B70" s="179" t="s">
        <v>392</v>
      </c>
      <c r="D70" s="188"/>
      <c r="E70" s="189"/>
      <c r="F70" s="189"/>
      <c r="G70" s="206"/>
      <c r="H70" s="189"/>
      <c r="I70" s="196"/>
      <c r="J70" s="189"/>
      <c r="K70" s="196"/>
      <c r="L70" s="189"/>
      <c r="M70" s="189"/>
      <c r="N70" s="189"/>
      <c r="O70" s="189"/>
      <c r="P70" s="189"/>
      <c r="Q70" s="189"/>
      <c r="R70" s="189"/>
      <c r="S70" s="196"/>
      <c r="T70" s="189"/>
      <c r="U70" s="189"/>
      <c r="V70" s="189"/>
      <c r="W70" s="192"/>
    </row>
    <row r="71" spans="1:23" ht="20.25" hidden="1" customHeight="1" x14ac:dyDescent="0.25">
      <c r="A71" s="283"/>
      <c r="D71" s="188"/>
      <c r="E71" s="189"/>
      <c r="F71" s="189"/>
      <c r="G71" s="206"/>
      <c r="H71" s="189"/>
      <c r="I71" s="226">
        <f>SUM(I68:I69)</f>
        <v>0</v>
      </c>
      <c r="J71" s="189"/>
      <c r="K71" s="226">
        <f>SUM(K68:K69)</f>
        <v>0</v>
      </c>
      <c r="L71" s="189"/>
      <c r="M71" s="226">
        <f>SUM(M68:M69)</f>
        <v>87500</v>
      </c>
      <c r="N71" s="189"/>
      <c r="O71" s="226">
        <f>SUM(O68:O69)</f>
        <v>0</v>
      </c>
      <c r="P71" s="189"/>
      <c r="Q71" s="189"/>
      <c r="R71" s="189"/>
      <c r="S71" s="226">
        <f>SUM(S68:S69)</f>
        <v>87500</v>
      </c>
      <c r="T71" s="189"/>
      <c r="U71" s="189"/>
      <c r="V71" s="284" t="e">
        <f>+S71/I71</f>
        <v>#DIV/0!</v>
      </c>
      <c r="W71" s="192"/>
    </row>
    <row r="72" spans="1:23" ht="15" hidden="1" customHeight="1" x14ac:dyDescent="0.2">
      <c r="D72" s="227"/>
      <c r="E72" s="228"/>
      <c r="F72" s="228"/>
      <c r="G72" s="285"/>
      <c r="H72" s="228"/>
      <c r="I72" s="208"/>
      <c r="J72" s="228"/>
      <c r="K72" s="208"/>
      <c r="L72" s="228"/>
      <c r="M72" s="228"/>
      <c r="N72" s="228"/>
      <c r="O72" s="228"/>
      <c r="P72" s="228"/>
      <c r="Q72" s="228"/>
      <c r="R72" s="228"/>
      <c r="S72" s="208"/>
      <c r="T72" s="228"/>
      <c r="U72" s="228"/>
      <c r="V72" s="228"/>
      <c r="W72" s="231"/>
    </row>
    <row r="73" spans="1:23" ht="15" customHeight="1" x14ac:dyDescent="0.2">
      <c r="G73" s="269"/>
      <c r="I73" s="233"/>
      <c r="K73" s="233"/>
      <c r="S73" s="233"/>
    </row>
    <row r="74" spans="1:23" x14ac:dyDescent="0.2">
      <c r="D74" s="287" t="s">
        <v>394</v>
      </c>
      <c r="G74" s="269"/>
      <c r="I74" s="233"/>
      <c r="K74" s="233"/>
      <c r="S74" s="233"/>
    </row>
    <row r="76" spans="1:23" x14ac:dyDescent="0.2">
      <c r="D76" s="287" t="s">
        <v>429</v>
      </c>
      <c r="I76" s="233"/>
      <c r="K76" s="233"/>
      <c r="R76" s="304" t="s">
        <v>430</v>
      </c>
      <c r="S76" s="304"/>
      <c r="V76" s="305" t="s">
        <v>431</v>
      </c>
    </row>
    <row r="77" spans="1:23" x14ac:dyDescent="0.2">
      <c r="D77" s="287"/>
      <c r="I77" s="233"/>
      <c r="K77" s="233"/>
      <c r="R77" s="304" t="s">
        <v>432</v>
      </c>
      <c r="S77" s="304"/>
      <c r="V77" s="305" t="s">
        <v>433</v>
      </c>
    </row>
    <row r="78" spans="1:23" x14ac:dyDescent="0.2">
      <c r="D78" s="287"/>
      <c r="E78" s="306" t="s">
        <v>434</v>
      </c>
      <c r="F78" s="306"/>
      <c r="G78" s="306"/>
      <c r="H78" s="306"/>
      <c r="I78" s="306"/>
      <c r="K78" s="307" t="s">
        <v>435</v>
      </c>
      <c r="L78" s="307"/>
      <c r="M78" s="308" t="s">
        <v>436</v>
      </c>
      <c r="O78" s="309"/>
      <c r="P78" s="309"/>
      <c r="Q78" s="309"/>
      <c r="R78" s="309" t="s">
        <v>437</v>
      </c>
      <c r="S78" s="309"/>
      <c r="V78" s="310" t="s">
        <v>438</v>
      </c>
    </row>
    <row r="79" spans="1:23" x14ac:dyDescent="0.2">
      <c r="D79" s="287"/>
      <c r="E79" s="179" t="s">
        <v>439</v>
      </c>
      <c r="I79" s="233"/>
      <c r="K79" s="233">
        <v>53000000</v>
      </c>
      <c r="M79" s="311" t="s">
        <v>440</v>
      </c>
      <c r="Q79" s="291" t="s">
        <v>441</v>
      </c>
      <c r="R79" s="312" t="s">
        <v>442</v>
      </c>
      <c r="S79" s="312"/>
      <c r="V79" s="313">
        <v>7.9200000000000007E-2</v>
      </c>
    </row>
    <row r="80" spans="1:23" x14ac:dyDescent="0.2">
      <c r="D80" s="287"/>
      <c r="I80" s="233"/>
      <c r="K80" s="233"/>
      <c r="M80" s="311"/>
      <c r="R80" s="312"/>
      <c r="S80" s="312"/>
      <c r="V80" s="313"/>
    </row>
    <row r="81" spans="4:20" x14ac:dyDescent="0.2">
      <c r="D81" s="287"/>
      <c r="I81" s="233"/>
      <c r="K81" s="233"/>
      <c r="S81" s="233"/>
    </row>
    <row r="82" spans="4:20" ht="13.5" customHeight="1" x14ac:dyDescent="0.2">
      <c r="D82" s="287" t="s">
        <v>443</v>
      </c>
      <c r="G82" s="269"/>
      <c r="I82" s="233"/>
      <c r="K82" s="233"/>
    </row>
    <row r="83" spans="4:20" ht="13.5" customHeight="1" x14ac:dyDescent="0.2">
      <c r="D83" s="287" t="s">
        <v>444</v>
      </c>
      <c r="G83" s="269"/>
      <c r="I83" s="233"/>
      <c r="K83" s="233"/>
    </row>
    <row r="84" spans="4:20" ht="13.5" customHeight="1" x14ac:dyDescent="0.2">
      <c r="D84" s="287"/>
      <c r="G84" s="269"/>
      <c r="I84" s="233"/>
      <c r="K84" s="233"/>
    </row>
    <row r="85" spans="4:20" ht="15" customHeight="1" x14ac:dyDescent="0.2">
      <c r="N85" s="288"/>
      <c r="O85" s="289"/>
      <c r="P85" s="289"/>
      <c r="Q85" s="289"/>
      <c r="R85" s="289"/>
      <c r="T85" s="233"/>
    </row>
    <row r="86" spans="4:20" ht="15" hidden="1" customHeight="1" x14ac:dyDescent="0.2">
      <c r="N86" s="288"/>
      <c r="O86" s="289"/>
      <c r="P86" s="289"/>
      <c r="Q86" s="289"/>
      <c r="R86" s="289"/>
      <c r="T86" s="233"/>
    </row>
    <row r="87" spans="4:20" ht="15" hidden="1" customHeight="1" x14ac:dyDescent="0.2">
      <c r="N87" s="288"/>
      <c r="O87" s="289"/>
      <c r="P87" s="289"/>
      <c r="Q87" s="289"/>
      <c r="R87" s="289"/>
      <c r="T87" s="233"/>
    </row>
    <row r="88" spans="4:20" ht="15" hidden="1" customHeight="1" x14ac:dyDescent="0.2">
      <c r="N88" s="288"/>
      <c r="O88" s="289"/>
      <c r="P88" s="289"/>
      <c r="Q88" s="289"/>
      <c r="R88" s="289"/>
      <c r="T88" s="233"/>
    </row>
    <row r="89" spans="4:20" ht="15" hidden="1" customHeight="1" x14ac:dyDescent="0.2">
      <c r="N89" s="288"/>
      <c r="O89" s="289"/>
      <c r="P89" s="289"/>
      <c r="Q89" s="289"/>
      <c r="R89" s="289"/>
      <c r="T89" s="233"/>
    </row>
    <row r="90" spans="4:20" ht="15" hidden="1" customHeight="1" x14ac:dyDescent="0.2">
      <c r="N90" s="288"/>
      <c r="O90" s="289"/>
      <c r="P90" s="289"/>
      <c r="Q90" s="289"/>
      <c r="R90" s="289"/>
      <c r="T90" s="233"/>
    </row>
    <row r="91" spans="4:20" ht="15" hidden="1" customHeight="1" x14ac:dyDescent="0.2">
      <c r="N91" s="288"/>
      <c r="O91" s="289"/>
      <c r="P91" s="289"/>
      <c r="Q91" s="289"/>
      <c r="R91" s="289"/>
      <c r="T91" s="233"/>
    </row>
    <row r="92" spans="4:20" ht="15" hidden="1" customHeight="1" x14ac:dyDescent="0.2">
      <c r="N92" s="288"/>
      <c r="O92" s="289"/>
      <c r="P92" s="289"/>
      <c r="Q92" s="289"/>
      <c r="R92" s="289"/>
      <c r="T92" s="233"/>
    </row>
    <row r="93" spans="4:20" ht="15" hidden="1" customHeight="1" x14ac:dyDescent="0.2">
      <c r="N93" s="288"/>
      <c r="O93" s="289"/>
      <c r="P93" s="289"/>
      <c r="Q93" s="289"/>
      <c r="R93" s="289"/>
      <c r="T93" s="233"/>
    </row>
    <row r="94" spans="4:20" ht="15" hidden="1" customHeight="1" x14ac:dyDescent="0.2">
      <c r="N94" s="288"/>
      <c r="O94" s="289"/>
      <c r="P94" s="289"/>
      <c r="Q94" s="289"/>
      <c r="R94" s="289"/>
      <c r="T94" s="233"/>
    </row>
    <row r="95" spans="4:20" ht="15" hidden="1" customHeight="1" x14ac:dyDescent="0.2">
      <c r="N95" s="288"/>
      <c r="O95" s="289"/>
      <c r="P95" s="289"/>
      <c r="Q95" s="289"/>
      <c r="R95" s="289"/>
      <c r="T95" s="233"/>
    </row>
    <row r="96" spans="4:20" ht="15" customHeight="1" x14ac:dyDescent="0.2">
      <c r="D96" s="179" t="s">
        <v>398</v>
      </c>
      <c r="N96" s="288"/>
      <c r="O96" s="289"/>
      <c r="P96" s="289"/>
      <c r="Q96" s="289"/>
      <c r="R96" s="289"/>
      <c r="T96" s="233"/>
    </row>
    <row r="97" spans="4:23" ht="15" customHeight="1" x14ac:dyDescent="0.2">
      <c r="N97" s="288"/>
      <c r="O97" s="289"/>
      <c r="P97" s="289"/>
      <c r="Q97" s="289"/>
      <c r="R97" s="289"/>
      <c r="T97" s="233"/>
    </row>
    <row r="98" spans="4:23" x14ac:dyDescent="0.2">
      <c r="D98" s="287" t="s">
        <v>445</v>
      </c>
      <c r="I98" s="287" t="s">
        <v>411</v>
      </c>
      <c r="J98" s="233"/>
      <c r="M98" s="287" t="s">
        <v>412</v>
      </c>
      <c r="Q98" s="287" t="s">
        <v>446</v>
      </c>
      <c r="R98" s="290"/>
      <c r="S98" s="290"/>
      <c r="T98" s="290"/>
      <c r="U98" s="290"/>
      <c r="V98" s="287" t="s">
        <v>406</v>
      </c>
      <c r="W98" s="290"/>
    </row>
    <row r="99" spans="4:23" x14ac:dyDescent="0.2">
      <c r="D99" s="179" t="s">
        <v>447</v>
      </c>
      <c r="I99" s="287" t="s">
        <v>400</v>
      </c>
      <c r="M99" s="179" t="s">
        <v>401</v>
      </c>
      <c r="N99" s="233"/>
      <c r="P99" s="233"/>
      <c r="Q99" s="179" t="s">
        <v>413</v>
      </c>
      <c r="S99" s="233"/>
      <c r="V99" s="287" t="s">
        <v>448</v>
      </c>
    </row>
    <row r="100" spans="4:23" x14ac:dyDescent="0.2">
      <c r="D100" s="287" t="s">
        <v>403</v>
      </c>
      <c r="E100" s="290"/>
      <c r="F100" s="290"/>
      <c r="G100" s="290"/>
      <c r="H100" s="290"/>
      <c r="I100" s="287" t="s">
        <v>404</v>
      </c>
      <c r="J100" s="290"/>
      <c r="K100" s="290"/>
      <c r="L100" s="290"/>
      <c r="M100" s="287" t="s">
        <v>409</v>
      </c>
      <c r="N100" s="290"/>
      <c r="O100" s="290"/>
      <c r="P100" s="290"/>
      <c r="Q100" s="179" t="s">
        <v>449</v>
      </c>
      <c r="V100" s="287" t="s">
        <v>399</v>
      </c>
    </row>
    <row r="101" spans="4:23" x14ac:dyDescent="0.2">
      <c r="D101" s="287" t="s">
        <v>407</v>
      </c>
      <c r="I101" s="287" t="s">
        <v>408</v>
      </c>
      <c r="M101" s="287" t="s">
        <v>417</v>
      </c>
    </row>
    <row r="104" spans="4:23" x14ac:dyDescent="0.2">
      <c r="D104" s="179" t="s">
        <v>420</v>
      </c>
    </row>
    <row r="106" spans="4:23" x14ac:dyDescent="0.2">
      <c r="D106" s="179" t="s">
        <v>421</v>
      </c>
    </row>
    <row r="128" spans="4:13" x14ac:dyDescent="0.2"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</row>
    <row r="129" spans="4:13" x14ac:dyDescent="0.2"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</row>
    <row r="130" spans="4:13" x14ac:dyDescent="0.2"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</row>
    <row r="131" spans="4:13" x14ac:dyDescent="0.2"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</row>
  </sheetData>
  <phoneticPr fontId="9" type="noConversion"/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W128"/>
  <sheetViews>
    <sheetView topLeftCell="C1" zoomScale="65" workbookViewId="0">
      <selection activeCell="E11" sqref="E11"/>
    </sheetView>
  </sheetViews>
  <sheetFormatPr defaultColWidth="9.7109375" defaultRowHeight="15" x14ac:dyDescent="0.2"/>
  <cols>
    <col min="1" max="1" width="11.42578125" style="179" customWidth="1"/>
    <col min="2" max="2" width="9.7109375" style="179"/>
    <col min="3" max="3" width="2.7109375" style="179" customWidth="1"/>
    <col min="4" max="4" width="41.5703125" style="179" customWidth="1"/>
    <col min="5" max="5" width="13.7109375" style="179" customWidth="1"/>
    <col min="6" max="6" width="1.7109375" style="179" customWidth="1"/>
    <col min="7" max="7" width="10.7109375" style="179" customWidth="1"/>
    <col min="8" max="8" width="1.7109375" style="179" customWidth="1"/>
    <col min="9" max="9" width="16.7109375" style="179" customWidth="1"/>
    <col min="10" max="10" width="1.7109375" style="179" customWidth="1"/>
    <col min="11" max="11" width="16.5703125" style="179" customWidth="1"/>
    <col min="12" max="12" width="3.140625" style="179" customWidth="1"/>
    <col min="13" max="13" width="14.7109375" style="179" customWidth="1"/>
    <col min="14" max="14" width="3.7109375" style="179" customWidth="1"/>
    <col min="15" max="15" width="10.7109375" style="179" customWidth="1"/>
    <col min="16" max="16" width="1.7109375" style="179" customWidth="1"/>
    <col min="17" max="17" width="15.85546875" style="179" customWidth="1"/>
    <col min="18" max="18" width="3.7109375" style="179" customWidth="1"/>
    <col min="19" max="19" width="15.7109375" style="179" customWidth="1"/>
    <col min="20" max="20" width="1.7109375" style="179" customWidth="1"/>
    <col min="21" max="21" width="2.7109375" style="179" customWidth="1"/>
    <col min="22" max="22" width="11.85546875" style="179" customWidth="1"/>
    <col min="23" max="23" width="4.7109375" style="179" customWidth="1"/>
    <col min="24" max="16384" width="9.7109375" style="179"/>
  </cols>
  <sheetData>
    <row r="1" spans="4:23" ht="15.75" x14ac:dyDescent="0.25">
      <c r="D1" s="177" t="s">
        <v>82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4:23" ht="15.75" x14ac:dyDescent="0.25">
      <c r="D2" s="177" t="s">
        <v>341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4:23" ht="18" x14ac:dyDescent="0.25">
      <c r="D3" s="180">
        <v>38717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</row>
    <row r="4" spans="4:23" x14ac:dyDescent="0.2">
      <c r="D4" s="181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</row>
    <row r="5" spans="4:23" x14ac:dyDescent="0.2"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</row>
    <row r="6" spans="4:23" ht="20.25" x14ac:dyDescent="0.3">
      <c r="D6" s="182" t="s">
        <v>342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4"/>
    </row>
    <row r="7" spans="4:23" ht="20.25" x14ac:dyDescent="0.3"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7"/>
    </row>
    <row r="8" spans="4:23" x14ac:dyDescent="0.2">
      <c r="D8" s="188"/>
      <c r="E8" s="189"/>
      <c r="F8" s="189"/>
      <c r="G8" s="189"/>
      <c r="H8" s="189"/>
      <c r="I8" s="189"/>
      <c r="J8" s="189"/>
      <c r="K8" s="190" t="s">
        <v>343</v>
      </c>
      <c r="L8" s="190"/>
      <c r="M8" s="190"/>
      <c r="N8" s="190"/>
      <c r="O8" s="190"/>
      <c r="P8" s="190"/>
      <c r="Q8" s="190"/>
      <c r="R8" s="190"/>
      <c r="S8" s="190"/>
      <c r="T8" s="189"/>
      <c r="U8" s="189"/>
      <c r="V8" s="191"/>
      <c r="W8" s="187"/>
    </row>
    <row r="9" spans="4:23" x14ac:dyDescent="0.2">
      <c r="D9" s="188"/>
      <c r="E9" s="189"/>
      <c r="F9" s="189"/>
      <c r="G9" s="189"/>
      <c r="H9" s="189"/>
      <c r="I9" s="189"/>
      <c r="J9" s="189"/>
      <c r="K9" s="189"/>
      <c r="L9" s="189"/>
      <c r="M9" s="189" t="s">
        <v>344</v>
      </c>
      <c r="N9" s="189"/>
      <c r="O9" s="189"/>
      <c r="P9" s="189"/>
      <c r="Q9" s="191" t="s">
        <v>345</v>
      </c>
      <c r="R9" s="189"/>
      <c r="S9" s="189"/>
      <c r="T9" s="189"/>
      <c r="U9" s="189"/>
      <c r="V9" s="191" t="s">
        <v>346</v>
      </c>
      <c r="W9" s="192"/>
    </row>
    <row r="10" spans="4:23" x14ac:dyDescent="0.2">
      <c r="D10" s="188"/>
      <c r="E10" s="193" t="s">
        <v>347</v>
      </c>
      <c r="F10" s="191"/>
      <c r="G10" s="193" t="s">
        <v>36</v>
      </c>
      <c r="H10" s="191"/>
      <c r="I10" s="193" t="s">
        <v>348</v>
      </c>
      <c r="J10" s="191"/>
      <c r="K10" s="193" t="s">
        <v>349</v>
      </c>
      <c r="L10" s="189"/>
      <c r="M10" s="193" t="s">
        <v>350</v>
      </c>
      <c r="N10" s="189"/>
      <c r="O10" s="193" t="s">
        <v>351</v>
      </c>
      <c r="P10" s="189"/>
      <c r="Q10" s="193" t="s">
        <v>352</v>
      </c>
      <c r="R10" s="189"/>
      <c r="S10" s="193" t="s">
        <v>16</v>
      </c>
      <c r="T10" s="189"/>
      <c r="U10" s="189"/>
      <c r="V10" s="193" t="s">
        <v>353</v>
      </c>
      <c r="W10" s="192"/>
    </row>
    <row r="11" spans="4:23" x14ac:dyDescent="0.2">
      <c r="D11" s="200" t="s">
        <v>422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92"/>
    </row>
    <row r="12" spans="4:23" x14ac:dyDescent="0.2">
      <c r="D12" s="188" t="s">
        <v>450</v>
      </c>
      <c r="E12" s="194">
        <v>38732</v>
      </c>
      <c r="F12" s="189"/>
      <c r="G12" s="195">
        <v>5.9900000000000002E-2</v>
      </c>
      <c r="H12" s="189"/>
      <c r="I12" s="196">
        <v>36000000</v>
      </c>
      <c r="J12" s="189"/>
      <c r="K12" s="196">
        <f>ROUND(G12*I12,0)</f>
        <v>2156400</v>
      </c>
      <c r="L12" s="189"/>
      <c r="M12" s="197">
        <f>3188.18*12</f>
        <v>38258.159999999996</v>
      </c>
      <c r="N12" s="198"/>
      <c r="O12" s="198" t="s">
        <v>357</v>
      </c>
      <c r="P12" s="196"/>
      <c r="Q12" s="196">
        <f>5118.3*12</f>
        <v>61419.600000000006</v>
      </c>
      <c r="R12" s="196"/>
      <c r="S12" s="196">
        <f>SUM(K12:R12)</f>
        <v>2256077.7600000002</v>
      </c>
      <c r="T12" s="189"/>
      <c r="U12" s="189"/>
      <c r="V12" s="201">
        <f>ROUND((S12/I12)*100,2)</f>
        <v>6.27</v>
      </c>
      <c r="W12" s="192"/>
    </row>
    <row r="13" spans="4:23" x14ac:dyDescent="0.2">
      <c r="D13" s="188" t="s">
        <v>423</v>
      </c>
      <c r="E13" s="194">
        <v>39217</v>
      </c>
      <c r="F13" s="189"/>
      <c r="G13" s="195">
        <v>7.9200000000000007E-2</v>
      </c>
      <c r="H13" s="189"/>
      <c r="I13" s="196">
        <v>53000000</v>
      </c>
      <c r="J13" s="189"/>
      <c r="K13" s="196">
        <f>ROUND(G13*I13,0)</f>
        <v>4197600</v>
      </c>
      <c r="L13" s="189"/>
      <c r="M13" s="197">
        <f>3424*12</f>
        <v>41088</v>
      </c>
      <c r="N13" s="191"/>
      <c r="O13" s="198" t="s">
        <v>357</v>
      </c>
      <c r="P13" s="189"/>
      <c r="Q13" s="196">
        <f>17418*12</f>
        <v>209016</v>
      </c>
      <c r="R13" s="189"/>
      <c r="S13" s="196">
        <f>SUM(K13:R13)</f>
        <v>4447704</v>
      </c>
      <c r="T13" s="189"/>
      <c r="U13" s="189"/>
      <c r="V13" s="201">
        <f>ROUND(($S13/$I13)*100,2)</f>
        <v>8.39</v>
      </c>
      <c r="W13" s="192"/>
    </row>
    <row r="14" spans="4:23" x14ac:dyDescent="0.2">
      <c r="D14" s="188"/>
      <c r="E14" s="194"/>
      <c r="F14" s="189"/>
      <c r="G14" s="195"/>
      <c r="H14" s="189"/>
      <c r="I14" s="196"/>
      <c r="J14" s="189"/>
      <c r="K14" s="196"/>
      <c r="L14" s="189"/>
      <c r="M14" s="197"/>
      <c r="N14" s="198"/>
      <c r="O14" s="198"/>
      <c r="P14" s="196"/>
      <c r="Q14" s="196"/>
      <c r="R14" s="196"/>
      <c r="S14" s="196"/>
      <c r="T14" s="189"/>
      <c r="U14" s="189"/>
      <c r="V14" s="199"/>
      <c r="W14" s="192"/>
    </row>
    <row r="15" spans="4:23" x14ac:dyDescent="0.2">
      <c r="D15" s="200" t="s">
        <v>424</v>
      </c>
      <c r="E15" s="194"/>
      <c r="F15" s="189"/>
      <c r="G15" s="195"/>
      <c r="H15" s="189"/>
      <c r="I15" s="196"/>
      <c r="J15" s="189"/>
      <c r="K15" s="196"/>
      <c r="L15" s="189"/>
      <c r="M15" s="197"/>
      <c r="N15" s="198"/>
      <c r="O15" s="198"/>
      <c r="P15" s="196"/>
      <c r="Q15" s="196"/>
      <c r="R15" s="196"/>
      <c r="S15" s="196"/>
      <c r="T15" s="189"/>
      <c r="U15" s="189"/>
      <c r="V15" s="201"/>
      <c r="W15" s="192"/>
    </row>
    <row r="16" spans="4:23" x14ac:dyDescent="0.2">
      <c r="D16" s="200" t="s">
        <v>425</v>
      </c>
      <c r="E16" s="194">
        <v>45597</v>
      </c>
      <c r="F16" s="189"/>
      <c r="G16" s="203">
        <v>3.1789999999999999E-2</v>
      </c>
      <c r="H16" s="189" t="s">
        <v>356</v>
      </c>
      <c r="I16" s="196">
        <v>54000000</v>
      </c>
      <c r="J16" s="189"/>
      <c r="K16" s="196">
        <f t="shared" ref="K16:K25" si="0">ROUND(G16*I16,0)</f>
        <v>1716660</v>
      </c>
      <c r="L16" s="189"/>
      <c r="M16" s="197">
        <f>1706*12</f>
        <v>20472</v>
      </c>
      <c r="N16" s="294"/>
      <c r="O16" s="198" t="s">
        <v>357</v>
      </c>
      <c r="P16" s="189"/>
      <c r="Q16" s="204">
        <v>0</v>
      </c>
      <c r="R16" s="295"/>
      <c r="S16" s="196">
        <f t="shared" ref="S16:S26" si="1">SUM(K16:R16)</f>
        <v>1737132</v>
      </c>
      <c r="T16" s="189"/>
      <c r="U16" s="189"/>
      <c r="V16" s="201">
        <f t="shared" ref="V16:V25" si="2">ROUND((S16/I16)*100,2)</f>
        <v>3.22</v>
      </c>
      <c r="W16" s="192"/>
    </row>
    <row r="17" spans="4:23" x14ac:dyDescent="0.2">
      <c r="D17" s="200" t="s">
        <v>355</v>
      </c>
      <c r="E17" s="194">
        <v>45047</v>
      </c>
      <c r="F17" s="189"/>
      <c r="G17" s="203">
        <v>3.032E-2</v>
      </c>
      <c r="H17" s="189" t="s">
        <v>356</v>
      </c>
      <c r="I17" s="196">
        <v>12900000</v>
      </c>
      <c r="J17" s="189"/>
      <c r="K17" s="196">
        <f t="shared" si="0"/>
        <v>391128</v>
      </c>
      <c r="L17" s="189"/>
      <c r="M17" s="197">
        <f>1441*12</f>
        <v>17292</v>
      </c>
      <c r="N17" s="198"/>
      <c r="O17" s="198" t="s">
        <v>357</v>
      </c>
      <c r="P17" s="196"/>
      <c r="Q17" s="196">
        <f>1399*12</f>
        <v>16788</v>
      </c>
      <c r="R17" s="196"/>
      <c r="S17" s="196">
        <f t="shared" si="1"/>
        <v>425208</v>
      </c>
      <c r="T17" s="189"/>
      <c r="U17" s="189"/>
      <c r="V17" s="201">
        <f t="shared" si="2"/>
        <v>3.3</v>
      </c>
      <c r="W17" s="192"/>
    </row>
    <row r="18" spans="4:23" x14ac:dyDescent="0.2">
      <c r="D18" s="200" t="s">
        <v>358</v>
      </c>
      <c r="E18" s="194">
        <v>11720</v>
      </c>
      <c r="F18" s="189"/>
      <c r="G18" s="203">
        <v>3.15E-2</v>
      </c>
      <c r="H18" s="189" t="s">
        <v>356</v>
      </c>
      <c r="I18" s="196">
        <v>20930000</v>
      </c>
      <c r="J18" s="189"/>
      <c r="K18" s="196">
        <f t="shared" si="0"/>
        <v>659295</v>
      </c>
      <c r="L18" s="189"/>
      <c r="M18" s="197">
        <f>341.75*12</f>
        <v>4101</v>
      </c>
      <c r="N18" s="198"/>
      <c r="O18" s="198" t="s">
        <v>357</v>
      </c>
      <c r="P18" s="196"/>
      <c r="Q18" s="196">
        <f>3025*12</f>
        <v>36300</v>
      </c>
      <c r="R18" s="196"/>
      <c r="S18" s="196">
        <f t="shared" si="1"/>
        <v>699696</v>
      </c>
      <c r="T18" s="189"/>
      <c r="U18" s="189"/>
      <c r="V18" s="201">
        <f t="shared" si="2"/>
        <v>3.34</v>
      </c>
      <c r="W18" s="192"/>
    </row>
    <row r="19" spans="4:23" x14ac:dyDescent="0.2">
      <c r="D19" s="200" t="s">
        <v>359</v>
      </c>
      <c r="E19" s="194">
        <v>11720</v>
      </c>
      <c r="F19" s="189"/>
      <c r="G19" s="203">
        <v>3.15E-2</v>
      </c>
      <c r="H19" s="189" t="s">
        <v>356</v>
      </c>
      <c r="I19" s="196">
        <v>2400000</v>
      </c>
      <c r="J19" s="189"/>
      <c r="K19" s="196">
        <f t="shared" si="0"/>
        <v>75600</v>
      </c>
      <c r="L19" s="189"/>
      <c r="M19" s="197">
        <f>237.59*12</f>
        <v>2851.08</v>
      </c>
      <c r="N19" s="198"/>
      <c r="O19" s="198" t="s">
        <v>357</v>
      </c>
      <c r="P19" s="196"/>
      <c r="Q19" s="196">
        <f>346*12</f>
        <v>4152</v>
      </c>
      <c r="R19" s="196"/>
      <c r="S19" s="196">
        <f t="shared" si="1"/>
        <v>82603.08</v>
      </c>
      <c r="T19" s="189"/>
      <c r="U19" s="189"/>
      <c r="V19" s="201">
        <f t="shared" si="2"/>
        <v>3.44</v>
      </c>
      <c r="W19" s="192"/>
    </row>
    <row r="20" spans="4:23" x14ac:dyDescent="0.2">
      <c r="D20" s="200" t="s">
        <v>360</v>
      </c>
      <c r="E20" s="194">
        <v>11720</v>
      </c>
      <c r="F20" s="189"/>
      <c r="G20" s="203">
        <v>3.15E-2</v>
      </c>
      <c r="H20" s="189" t="s">
        <v>356</v>
      </c>
      <c r="I20" s="196">
        <v>2400000</v>
      </c>
      <c r="J20" s="189"/>
      <c r="K20" s="196">
        <f t="shared" si="0"/>
        <v>75600</v>
      </c>
      <c r="L20" s="189"/>
      <c r="M20" s="197">
        <f>95*12</f>
        <v>1140</v>
      </c>
      <c r="N20" s="198"/>
      <c r="O20" s="198" t="s">
        <v>357</v>
      </c>
      <c r="P20" s="196"/>
      <c r="Q20" s="196">
        <f>(229+1075)*12</f>
        <v>15648</v>
      </c>
      <c r="R20" s="196"/>
      <c r="S20" s="196">
        <f t="shared" si="1"/>
        <v>92388</v>
      </c>
      <c r="T20" s="189"/>
      <c r="U20" s="189"/>
      <c r="V20" s="201">
        <f t="shared" si="2"/>
        <v>3.85</v>
      </c>
      <c r="W20" s="192"/>
    </row>
    <row r="21" spans="4:23" x14ac:dyDescent="0.2">
      <c r="D21" s="200" t="s">
        <v>361</v>
      </c>
      <c r="E21" s="194">
        <v>11720</v>
      </c>
      <c r="F21" s="189"/>
      <c r="G21" s="203">
        <v>3.15E-2</v>
      </c>
      <c r="H21" s="189" t="s">
        <v>356</v>
      </c>
      <c r="I21" s="196">
        <v>7400000</v>
      </c>
      <c r="J21" s="189"/>
      <c r="K21" s="196">
        <f t="shared" si="0"/>
        <v>233100</v>
      </c>
      <c r="L21" s="189"/>
      <c r="M21" s="197">
        <f>264.5*12</f>
        <v>3174</v>
      </c>
      <c r="N21" s="198"/>
      <c r="O21" s="198" t="s">
        <v>357</v>
      </c>
      <c r="P21" s="196"/>
      <c r="Q21" s="196">
        <f>1062*12</f>
        <v>12744</v>
      </c>
      <c r="R21" s="196"/>
      <c r="S21" s="196">
        <f t="shared" si="1"/>
        <v>249018</v>
      </c>
      <c r="T21" s="189"/>
      <c r="U21" s="189"/>
      <c r="V21" s="201">
        <f t="shared" si="2"/>
        <v>3.37</v>
      </c>
      <c r="W21" s="192"/>
    </row>
    <row r="22" spans="4:23" x14ac:dyDescent="0.2">
      <c r="D22" s="200" t="s">
        <v>362</v>
      </c>
      <c r="E22" s="194">
        <v>11963</v>
      </c>
      <c r="F22" s="189"/>
      <c r="G22" s="203">
        <v>3.04E-2</v>
      </c>
      <c r="H22" s="189" t="s">
        <v>356</v>
      </c>
      <c r="I22" s="196">
        <v>96000000</v>
      </c>
      <c r="J22" s="189"/>
      <c r="K22" s="196">
        <f t="shared" si="0"/>
        <v>2918400</v>
      </c>
      <c r="L22" s="189"/>
      <c r="M22" s="197">
        <f>6058.79*12</f>
        <v>72705.48</v>
      </c>
      <c r="N22" s="198"/>
      <c r="O22" s="198"/>
      <c r="P22" s="196"/>
      <c r="Q22" s="196">
        <f>15502*12</f>
        <v>186024</v>
      </c>
      <c r="R22" s="196"/>
      <c r="S22" s="196">
        <f t="shared" si="1"/>
        <v>3177129.48</v>
      </c>
      <c r="T22" s="189"/>
      <c r="U22" s="189"/>
      <c r="V22" s="201">
        <f t="shared" si="2"/>
        <v>3.31</v>
      </c>
      <c r="W22" s="192"/>
    </row>
    <row r="23" spans="4:23" x14ac:dyDescent="0.2">
      <c r="D23" s="200" t="s">
        <v>363</v>
      </c>
      <c r="E23" s="194">
        <v>49218</v>
      </c>
      <c r="F23" s="189"/>
      <c r="G23" s="203">
        <v>2.9360000000000001E-2</v>
      </c>
      <c r="H23" s="189" t="s">
        <v>356</v>
      </c>
      <c r="I23" s="196">
        <v>50000000</v>
      </c>
      <c r="J23" s="189"/>
      <c r="K23" s="196">
        <f t="shared" si="0"/>
        <v>1468000</v>
      </c>
      <c r="L23" s="189"/>
      <c r="M23" s="197">
        <f>3339*12</f>
        <v>40068</v>
      </c>
      <c r="N23" s="198"/>
      <c r="O23" s="198"/>
      <c r="P23" s="196"/>
      <c r="Q23" s="196">
        <f>4495*12</f>
        <v>53940</v>
      </c>
      <c r="R23" s="196"/>
      <c r="S23" s="196">
        <f t="shared" si="1"/>
        <v>1562008</v>
      </c>
      <c r="T23" s="189"/>
      <c r="U23" s="189"/>
      <c r="V23" s="201">
        <f t="shared" si="2"/>
        <v>3.12</v>
      </c>
      <c r="W23" s="192"/>
    </row>
    <row r="24" spans="4:23" x14ac:dyDescent="0.2">
      <c r="D24" s="200" t="s">
        <v>364</v>
      </c>
      <c r="E24" s="194">
        <v>49461</v>
      </c>
      <c r="F24" s="189"/>
      <c r="G24" s="203">
        <v>3.184E-2</v>
      </c>
      <c r="H24" s="189" t="s">
        <v>356</v>
      </c>
      <c r="I24" s="196">
        <v>13266950</v>
      </c>
      <c r="J24" s="189"/>
      <c r="K24" s="196">
        <f t="shared" si="0"/>
        <v>422420</v>
      </c>
      <c r="L24" s="189"/>
      <c r="M24" s="197">
        <f>1274.42*12</f>
        <v>15293.04</v>
      </c>
      <c r="N24" s="198"/>
      <c r="O24" s="198"/>
      <c r="P24" s="196"/>
      <c r="Q24" s="204">
        <v>0</v>
      </c>
      <c r="R24" s="196"/>
      <c r="S24" s="196">
        <f t="shared" si="1"/>
        <v>437713.04</v>
      </c>
      <c r="T24" s="189"/>
      <c r="U24" s="189"/>
      <c r="V24" s="201">
        <f t="shared" si="2"/>
        <v>3.3</v>
      </c>
      <c r="W24" s="192"/>
    </row>
    <row r="25" spans="4:23" x14ac:dyDescent="0.2">
      <c r="D25" s="200" t="s">
        <v>365</v>
      </c>
      <c r="E25" s="194">
        <v>49461</v>
      </c>
      <c r="F25" s="189"/>
      <c r="G25" s="203">
        <v>3.0249999999999999E-2</v>
      </c>
      <c r="H25" s="189" t="s">
        <v>356</v>
      </c>
      <c r="I25" s="196">
        <v>13266950</v>
      </c>
      <c r="J25" s="189"/>
      <c r="K25" s="196">
        <f t="shared" si="0"/>
        <v>401325</v>
      </c>
      <c r="L25" s="189"/>
      <c r="M25" s="197">
        <f>1054.69*12</f>
        <v>12656.28</v>
      </c>
      <c r="N25" s="198"/>
      <c r="O25" s="198"/>
      <c r="P25" s="196"/>
      <c r="Q25" s="204">
        <v>0</v>
      </c>
      <c r="R25" s="196"/>
      <c r="S25" s="196">
        <f t="shared" si="1"/>
        <v>413981.28</v>
      </c>
      <c r="T25" s="189"/>
      <c r="U25" s="189"/>
      <c r="V25" s="201">
        <f t="shared" si="2"/>
        <v>3.12</v>
      </c>
      <c r="W25" s="192"/>
    </row>
    <row r="26" spans="4:23" x14ac:dyDescent="0.2">
      <c r="D26" s="200" t="s">
        <v>371</v>
      </c>
      <c r="E26" s="189"/>
      <c r="F26" s="189"/>
      <c r="G26" s="206"/>
      <c r="H26" s="189"/>
      <c r="I26" s="198" t="s">
        <v>372</v>
      </c>
      <c r="J26" s="189"/>
      <c r="K26" s="198" t="s">
        <v>357</v>
      </c>
      <c r="L26" s="189"/>
      <c r="M26" s="198" t="s">
        <v>357</v>
      </c>
      <c r="N26" s="198"/>
      <c r="O26" s="198" t="s">
        <v>357</v>
      </c>
      <c r="P26" s="196"/>
      <c r="Q26" s="196">
        <f>+(8838+6601+1515)*12</f>
        <v>203448</v>
      </c>
      <c r="R26" s="209">
        <v>2</v>
      </c>
      <c r="S26" s="196">
        <f t="shared" si="1"/>
        <v>203450</v>
      </c>
      <c r="T26" s="189"/>
      <c r="U26" s="189"/>
      <c r="V26" s="210" t="s">
        <v>357</v>
      </c>
      <c r="W26" s="192"/>
    </row>
    <row r="27" spans="4:23" x14ac:dyDescent="0.2">
      <c r="D27" s="200"/>
      <c r="E27" s="189"/>
      <c r="F27" s="189"/>
      <c r="G27" s="206"/>
      <c r="H27" s="189"/>
      <c r="I27" s="214"/>
      <c r="J27" s="189"/>
      <c r="K27" s="214"/>
      <c r="L27" s="189"/>
      <c r="M27" s="198"/>
      <c r="N27" s="198"/>
      <c r="O27" s="198"/>
      <c r="P27" s="196"/>
      <c r="Q27" s="196"/>
      <c r="R27" s="209"/>
      <c r="S27" s="196"/>
      <c r="T27" s="189"/>
      <c r="U27" s="189"/>
      <c r="V27" s="215"/>
      <c r="W27" s="192"/>
    </row>
    <row r="28" spans="4:23" x14ac:dyDescent="0.2">
      <c r="D28" s="200" t="s">
        <v>426</v>
      </c>
      <c r="E28" s="296"/>
      <c r="F28" s="189"/>
      <c r="G28" s="189"/>
      <c r="H28" s="189"/>
      <c r="I28" s="196"/>
      <c r="J28" s="189"/>
      <c r="K28" s="297"/>
      <c r="L28" s="209"/>
      <c r="M28" s="198"/>
      <c r="N28" s="191"/>
      <c r="O28" s="198"/>
      <c r="P28" s="189"/>
      <c r="Q28" s="298"/>
      <c r="R28" s="189"/>
      <c r="S28" s="196"/>
      <c r="T28" s="189"/>
      <c r="U28" s="299"/>
      <c r="V28" s="300"/>
      <c r="W28" s="192"/>
    </row>
    <row r="29" spans="4:23" x14ac:dyDescent="0.2">
      <c r="D29" s="200" t="s">
        <v>427</v>
      </c>
      <c r="E29" s="194">
        <v>39217</v>
      </c>
      <c r="F29" s="189"/>
      <c r="G29" s="191">
        <v>1</v>
      </c>
      <c r="H29" s="189"/>
      <c r="I29" s="196"/>
      <c r="J29" s="189"/>
      <c r="K29" s="301">
        <f>-57254.72*12</f>
        <v>-687056.64</v>
      </c>
      <c r="L29" s="209"/>
      <c r="M29" s="198"/>
      <c r="N29" s="191"/>
      <c r="O29" s="198"/>
      <c r="P29" s="189"/>
      <c r="Q29" s="298"/>
      <c r="R29" s="189"/>
      <c r="S29" s="196">
        <f>+K29</f>
        <v>-687056.64</v>
      </c>
      <c r="T29" s="189"/>
      <c r="U29" s="299"/>
      <c r="V29" s="201"/>
      <c r="W29" s="192"/>
    </row>
    <row r="30" spans="4:23" ht="16.5" customHeight="1" x14ac:dyDescent="0.2">
      <c r="D30" s="200"/>
      <c r="E30" s="194"/>
      <c r="F30" s="189"/>
      <c r="G30" s="191"/>
      <c r="H30" s="189"/>
      <c r="I30" s="196"/>
      <c r="J30" s="189"/>
      <c r="K30" s="276"/>
      <c r="L30" s="209"/>
      <c r="M30" s="198"/>
      <c r="N30" s="191"/>
      <c r="O30" s="198"/>
      <c r="P30" s="189"/>
      <c r="Q30" s="298"/>
      <c r="R30" s="189"/>
      <c r="S30" s="196"/>
      <c r="T30" s="189"/>
      <c r="U30" s="299"/>
      <c r="V30" s="201"/>
      <c r="W30" s="192"/>
    </row>
    <row r="31" spans="4:23" ht="16.5" customHeight="1" x14ac:dyDescent="0.2">
      <c r="D31" s="200" t="s">
        <v>428</v>
      </c>
      <c r="E31" s="194">
        <v>39217</v>
      </c>
      <c r="F31" s="189"/>
      <c r="G31" s="191"/>
      <c r="H31" s="189"/>
      <c r="I31" s="275">
        <v>2040500</v>
      </c>
      <c r="J31" s="189"/>
      <c r="K31" s="276"/>
      <c r="L31" s="209"/>
      <c r="M31" s="198"/>
      <c r="N31" s="191"/>
      <c r="O31" s="198"/>
      <c r="P31" s="189"/>
      <c r="Q31" s="298"/>
      <c r="R31" s="189"/>
      <c r="S31" s="196"/>
      <c r="T31" s="189"/>
      <c r="U31" s="299"/>
      <c r="V31" s="201"/>
      <c r="W31" s="192"/>
    </row>
    <row r="32" spans="4:23" ht="16.5" customHeight="1" x14ac:dyDescent="0.2">
      <c r="D32" s="200"/>
      <c r="E32" s="194"/>
      <c r="F32" s="189"/>
      <c r="G32" s="191"/>
      <c r="H32" s="189"/>
      <c r="I32" s="196"/>
      <c r="J32" s="189"/>
      <c r="K32" s="276"/>
      <c r="L32" s="209"/>
      <c r="M32" s="198"/>
      <c r="N32" s="191"/>
      <c r="O32" s="198"/>
      <c r="P32" s="189"/>
      <c r="Q32" s="298"/>
      <c r="R32" s="189"/>
      <c r="S32" s="196"/>
      <c r="T32" s="189"/>
      <c r="U32" s="299"/>
      <c r="V32" s="201"/>
      <c r="W32" s="192"/>
    </row>
    <row r="33" spans="4:23" ht="15.75" customHeight="1" x14ac:dyDescent="0.2">
      <c r="D33" s="188" t="s">
        <v>374</v>
      </c>
      <c r="E33" s="194">
        <v>41394</v>
      </c>
      <c r="F33" s="189"/>
      <c r="G33" s="195">
        <v>4.5499999999999999E-2</v>
      </c>
      <c r="H33" s="189"/>
      <c r="I33" s="196">
        <v>100000000</v>
      </c>
      <c r="J33" s="189"/>
      <c r="K33" s="196">
        <f t="shared" ref="K33:K38" si="3">ROUND(G33*I33,0)</f>
        <v>4550000</v>
      </c>
      <c r="L33" s="189"/>
      <c r="M33" s="217">
        <v>0</v>
      </c>
      <c r="N33" s="217"/>
      <c r="O33" s="217">
        <v>0</v>
      </c>
      <c r="P33" s="217"/>
      <c r="Q33" s="217">
        <v>0</v>
      </c>
      <c r="R33" s="189"/>
      <c r="S33" s="196">
        <f t="shared" ref="S33:S38" si="4">SUM(K33,M33,Q33)</f>
        <v>4550000</v>
      </c>
      <c r="T33" s="189"/>
      <c r="U33" s="189"/>
      <c r="V33" s="218">
        <f t="shared" ref="V33:V38" si="5">K33/I33*100</f>
        <v>4.55</v>
      </c>
      <c r="W33" s="192"/>
    </row>
    <row r="34" spans="4:23" ht="15.75" customHeight="1" x14ac:dyDescent="0.2">
      <c r="D34" s="188" t="s">
        <v>374</v>
      </c>
      <c r="E34" s="194">
        <v>41501</v>
      </c>
      <c r="F34" s="189"/>
      <c r="G34" s="195">
        <v>5.3100000000000001E-2</v>
      </c>
      <c r="H34" s="189"/>
      <c r="I34" s="196">
        <v>75000000</v>
      </c>
      <c r="J34" s="189"/>
      <c r="K34" s="196">
        <f t="shared" si="3"/>
        <v>3982500</v>
      </c>
      <c r="L34" s="189"/>
      <c r="M34" s="217">
        <v>0</v>
      </c>
      <c r="N34" s="217"/>
      <c r="O34" s="217">
        <v>0</v>
      </c>
      <c r="P34" s="217"/>
      <c r="Q34" s="217">
        <v>0</v>
      </c>
      <c r="R34" s="189"/>
      <c r="S34" s="196">
        <f t="shared" si="4"/>
        <v>3982500</v>
      </c>
      <c r="T34" s="189"/>
      <c r="U34" s="189"/>
      <c r="V34" s="218">
        <f t="shared" si="5"/>
        <v>5.3100000000000005</v>
      </c>
      <c r="W34" s="192"/>
    </row>
    <row r="35" spans="4:23" ht="15.75" customHeight="1" x14ac:dyDescent="0.2">
      <c r="D35" s="188" t="s">
        <v>374</v>
      </c>
      <c r="E35" s="194">
        <v>40506</v>
      </c>
      <c r="F35" s="189"/>
      <c r="G35" s="195">
        <v>4.24E-2</v>
      </c>
      <c r="H35" s="189"/>
      <c r="I35" s="196">
        <v>33000000</v>
      </c>
      <c r="J35" s="189"/>
      <c r="K35" s="196">
        <f t="shared" si="3"/>
        <v>1399200</v>
      </c>
      <c r="L35" s="189"/>
      <c r="M35" s="217">
        <v>0</v>
      </c>
      <c r="N35" s="217"/>
      <c r="O35" s="217">
        <v>0</v>
      </c>
      <c r="P35" s="217"/>
      <c r="Q35" s="217">
        <v>0</v>
      </c>
      <c r="R35" s="189"/>
      <c r="S35" s="196">
        <f t="shared" si="4"/>
        <v>1399200</v>
      </c>
      <c r="T35" s="189"/>
      <c r="U35" s="189"/>
      <c r="V35" s="218">
        <f t="shared" si="5"/>
        <v>4.24</v>
      </c>
      <c r="W35" s="192"/>
    </row>
    <row r="36" spans="4:23" ht="15.75" customHeight="1" x14ac:dyDescent="0.2">
      <c r="D36" s="188" t="s">
        <v>374</v>
      </c>
      <c r="E36" s="194">
        <v>40924</v>
      </c>
      <c r="F36" s="189"/>
      <c r="G36" s="195">
        <v>4.3900000000000002E-2</v>
      </c>
      <c r="H36" s="189"/>
      <c r="I36" s="196">
        <v>50000000</v>
      </c>
      <c r="J36" s="189"/>
      <c r="K36" s="196">
        <f t="shared" si="3"/>
        <v>2195000</v>
      </c>
      <c r="L36" s="189"/>
      <c r="M36" s="217">
        <v>0</v>
      </c>
      <c r="N36" s="217"/>
      <c r="O36" s="217">
        <v>0</v>
      </c>
      <c r="P36" s="217"/>
      <c r="Q36" s="217">
        <v>0</v>
      </c>
      <c r="R36" s="189"/>
      <c r="S36" s="196">
        <f t="shared" si="4"/>
        <v>2195000</v>
      </c>
      <c r="T36" s="189"/>
      <c r="U36" s="189"/>
      <c r="V36" s="218">
        <f t="shared" si="5"/>
        <v>4.3900000000000006</v>
      </c>
      <c r="W36" s="192"/>
    </row>
    <row r="37" spans="4:23" ht="15.75" customHeight="1" x14ac:dyDescent="0.2">
      <c r="D37" s="188" t="s">
        <v>374</v>
      </c>
      <c r="E37" s="194">
        <v>42193</v>
      </c>
      <c r="F37" s="189"/>
      <c r="G37" s="195">
        <v>4.7350000000000003E-2</v>
      </c>
      <c r="H37" s="189"/>
      <c r="I37" s="196">
        <v>50000000</v>
      </c>
      <c r="J37" s="189"/>
      <c r="K37" s="196">
        <f t="shared" si="3"/>
        <v>2367500</v>
      </c>
      <c r="L37" s="189"/>
      <c r="M37" s="217">
        <v>0</v>
      </c>
      <c r="N37" s="217"/>
      <c r="O37" s="217">
        <v>0</v>
      </c>
      <c r="P37" s="217"/>
      <c r="Q37" s="217">
        <v>0</v>
      </c>
      <c r="R37" s="189"/>
      <c r="S37" s="196">
        <f t="shared" si="4"/>
        <v>2367500</v>
      </c>
      <c r="T37" s="189"/>
      <c r="U37" s="189"/>
      <c r="V37" s="218">
        <f t="shared" si="5"/>
        <v>4.7350000000000003</v>
      </c>
      <c r="W37" s="192"/>
    </row>
    <row r="38" spans="4:23" ht="15.75" customHeight="1" x14ac:dyDescent="0.2">
      <c r="D38" s="188" t="s">
        <v>374</v>
      </c>
      <c r="E38" s="194">
        <v>42359</v>
      </c>
      <c r="F38" s="189"/>
      <c r="G38" s="195">
        <v>5.3600000000000002E-2</v>
      </c>
      <c r="H38" s="189"/>
      <c r="I38" s="208">
        <v>75000000</v>
      </c>
      <c r="J38" s="189"/>
      <c r="K38" s="208">
        <f t="shared" si="3"/>
        <v>4020000</v>
      </c>
      <c r="L38" s="189"/>
      <c r="M38" s="220">
        <v>0</v>
      </c>
      <c r="N38" s="217"/>
      <c r="O38" s="220">
        <v>0</v>
      </c>
      <c r="P38" s="217"/>
      <c r="Q38" s="220">
        <v>0</v>
      </c>
      <c r="R38" s="189"/>
      <c r="S38" s="208">
        <f t="shared" si="4"/>
        <v>4020000</v>
      </c>
      <c r="T38" s="189"/>
      <c r="U38" s="189"/>
      <c r="V38" s="218">
        <f t="shared" si="5"/>
        <v>5.36</v>
      </c>
      <c r="W38" s="192"/>
    </row>
    <row r="39" spans="4:23" ht="15.75" thickBot="1" x14ac:dyDescent="0.25">
      <c r="D39" s="188"/>
      <c r="E39" s="189"/>
      <c r="F39" s="189"/>
      <c r="G39" s="206"/>
      <c r="H39" s="189"/>
      <c r="I39" s="196"/>
      <c r="J39" s="189"/>
      <c r="K39" s="196"/>
      <c r="L39" s="189"/>
      <c r="M39" s="198"/>
      <c r="N39" s="198"/>
      <c r="O39" s="198"/>
      <c r="P39" s="196"/>
      <c r="Q39" s="196"/>
      <c r="R39" s="196"/>
      <c r="S39" s="196"/>
      <c r="T39" s="189"/>
      <c r="U39" s="189"/>
      <c r="V39" s="199"/>
      <c r="W39" s="192"/>
    </row>
    <row r="40" spans="4:23" ht="18.75" thickBot="1" x14ac:dyDescent="0.3">
      <c r="D40" s="188"/>
      <c r="E40" s="189"/>
      <c r="F40" s="189"/>
      <c r="G40" s="225" t="s">
        <v>16</v>
      </c>
      <c r="H40" s="189"/>
      <c r="I40" s="226">
        <f>SUM(I12:I38)</f>
        <v>746604400</v>
      </c>
      <c r="J40" s="189"/>
      <c r="K40" s="226">
        <f>SUM(K12:K38)</f>
        <v>32542671.359999999</v>
      </c>
      <c r="L40" s="189"/>
      <c r="M40" s="302">
        <f>SUM(M12:M38)</f>
        <v>269099.04000000004</v>
      </c>
      <c r="N40" s="189"/>
      <c r="O40" s="303">
        <v>0</v>
      </c>
      <c r="P40" s="196"/>
      <c r="Q40" s="226">
        <f>SUM(Q12:Q38)</f>
        <v>799479.6</v>
      </c>
      <c r="R40" s="196"/>
      <c r="S40" s="226">
        <f>SUM(S12:S38)</f>
        <v>33611252</v>
      </c>
      <c r="T40" s="189"/>
      <c r="U40" s="189"/>
      <c r="V40" s="213">
        <f>+S40/I40</f>
        <v>4.5018823891206643E-2</v>
      </c>
      <c r="W40" s="192"/>
    </row>
    <row r="41" spans="4:23" ht="16.5" thickTop="1" x14ac:dyDescent="0.25">
      <c r="D41" s="227"/>
      <c r="E41" s="228"/>
      <c r="F41" s="228"/>
      <c r="G41" s="229"/>
      <c r="H41" s="228"/>
      <c r="I41" s="208"/>
      <c r="J41" s="228"/>
      <c r="K41" s="208"/>
      <c r="L41" s="228"/>
      <c r="M41" s="208"/>
      <c r="N41" s="208"/>
      <c r="O41" s="208"/>
      <c r="P41" s="208"/>
      <c r="Q41" s="208"/>
      <c r="R41" s="208"/>
      <c r="S41" s="208"/>
      <c r="T41" s="228"/>
      <c r="U41" s="228"/>
      <c r="V41" s="230"/>
      <c r="W41" s="231"/>
    </row>
    <row r="42" spans="4:23" ht="15.75" x14ac:dyDescent="0.25">
      <c r="G42" s="232"/>
      <c r="I42" s="233"/>
      <c r="K42" s="233"/>
      <c r="M42" s="233"/>
      <c r="N42" s="233"/>
      <c r="O42" s="233"/>
      <c r="P42" s="233"/>
      <c r="Q42" s="233"/>
      <c r="R42" s="233"/>
      <c r="S42" s="233"/>
      <c r="V42" s="234"/>
    </row>
    <row r="43" spans="4:23" ht="15.75" x14ac:dyDescent="0.25">
      <c r="G43" s="232"/>
      <c r="I43" s="233"/>
      <c r="K43" s="233"/>
      <c r="M43" s="233"/>
      <c r="N43" s="233"/>
      <c r="O43" s="233"/>
      <c r="P43" s="233"/>
      <c r="Q43" s="233"/>
      <c r="R43" s="233"/>
      <c r="S43" s="233"/>
      <c r="V43" s="234"/>
    </row>
    <row r="44" spans="4:23" ht="15.75" x14ac:dyDescent="0.25">
      <c r="G44" s="232"/>
      <c r="I44" s="233"/>
      <c r="K44" s="233"/>
      <c r="M44" s="233"/>
      <c r="N44" s="233"/>
      <c r="O44" s="233"/>
      <c r="P44" s="233"/>
      <c r="Q44" s="233"/>
      <c r="R44" s="233"/>
      <c r="S44" s="233"/>
      <c r="V44" s="234"/>
    </row>
    <row r="45" spans="4:23" ht="15.75" x14ac:dyDescent="0.25">
      <c r="G45" s="232"/>
      <c r="I45" s="233"/>
      <c r="K45" s="233"/>
      <c r="M45" s="233"/>
      <c r="N45" s="233"/>
      <c r="O45" s="233"/>
      <c r="P45" s="233"/>
      <c r="Q45" s="233"/>
      <c r="R45" s="233"/>
      <c r="S45" s="233"/>
      <c r="V45" s="234"/>
    </row>
    <row r="46" spans="4:23" ht="20.25" x14ac:dyDescent="0.3">
      <c r="D46" s="235" t="s">
        <v>376</v>
      </c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7"/>
    </row>
    <row r="47" spans="4:23" x14ac:dyDescent="0.2">
      <c r="D47" s="216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9"/>
    </row>
    <row r="48" spans="4:23" x14ac:dyDescent="0.2">
      <c r="D48" s="216"/>
      <c r="E48" s="238"/>
      <c r="F48" s="238"/>
      <c r="G48" s="238"/>
      <c r="H48" s="238"/>
      <c r="I48" s="238"/>
      <c r="J48" s="238"/>
      <c r="K48" s="240" t="s">
        <v>343</v>
      </c>
      <c r="L48" s="240"/>
      <c r="M48" s="240"/>
      <c r="N48" s="240"/>
      <c r="O48" s="240"/>
      <c r="P48" s="240"/>
      <c r="Q48" s="240"/>
      <c r="R48" s="240"/>
      <c r="S48" s="240"/>
      <c r="T48" s="238"/>
      <c r="U48" s="238"/>
      <c r="V48" s="238"/>
      <c r="W48" s="239"/>
    </row>
    <row r="49" spans="1:23" x14ac:dyDescent="0.2">
      <c r="D49" s="241"/>
      <c r="E49" s="242"/>
      <c r="F49" s="242"/>
      <c r="G49" s="238"/>
      <c r="H49" s="238"/>
      <c r="I49" s="238"/>
      <c r="J49" s="238"/>
      <c r="K49" s="238"/>
      <c r="L49" s="238"/>
      <c r="M49" s="243"/>
      <c r="N49" s="238"/>
      <c r="O49" s="238"/>
      <c r="P49" s="238"/>
      <c r="Q49" s="243"/>
      <c r="R49" s="238"/>
      <c r="S49" s="238"/>
      <c r="T49" s="238"/>
      <c r="V49" s="243" t="s">
        <v>346</v>
      </c>
      <c r="W49" s="244"/>
    </row>
    <row r="50" spans="1:23" x14ac:dyDescent="0.2">
      <c r="D50" s="241"/>
      <c r="E50" s="242"/>
      <c r="F50" s="245"/>
      <c r="G50" s="246" t="s">
        <v>36</v>
      </c>
      <c r="H50" s="247"/>
      <c r="I50" s="246" t="s">
        <v>348</v>
      </c>
      <c r="J50" s="246"/>
      <c r="K50" s="246" t="s">
        <v>377</v>
      </c>
      <c r="L50" s="243"/>
      <c r="M50" s="246" t="s">
        <v>378</v>
      </c>
      <c r="N50" s="243"/>
      <c r="O50" s="246" t="s">
        <v>351</v>
      </c>
      <c r="P50" s="243"/>
      <c r="Q50" s="246" t="s">
        <v>379</v>
      </c>
      <c r="R50" s="243"/>
      <c r="S50" s="246" t="s">
        <v>16</v>
      </c>
      <c r="T50" s="238"/>
      <c r="V50" s="246" t="s">
        <v>31</v>
      </c>
      <c r="W50" s="248"/>
    </row>
    <row r="51" spans="1:23" x14ac:dyDescent="0.2">
      <c r="D51" s="216"/>
      <c r="E51" s="242"/>
      <c r="F51" s="242"/>
      <c r="G51" s="242"/>
      <c r="H51" s="242"/>
      <c r="I51" s="242"/>
      <c r="J51" s="242"/>
      <c r="K51" s="242"/>
      <c r="L51" s="242"/>
      <c r="M51" s="242"/>
      <c r="N51" s="238"/>
      <c r="O51" s="238"/>
      <c r="P51" s="238"/>
      <c r="Q51" s="238"/>
      <c r="R51" s="238"/>
      <c r="S51" s="238"/>
      <c r="T51" s="238"/>
      <c r="U51" s="238"/>
      <c r="V51" s="249"/>
      <c r="W51" s="239"/>
    </row>
    <row r="52" spans="1:23" x14ac:dyDescent="0.2">
      <c r="D52" s="216" t="s">
        <v>380</v>
      </c>
      <c r="E52" s="242"/>
      <c r="F52" s="242"/>
      <c r="G52" s="250">
        <v>4.2099999999999999E-2</v>
      </c>
      <c r="H52" s="189" t="s">
        <v>356</v>
      </c>
      <c r="I52" s="251">
        <v>69665000</v>
      </c>
      <c r="J52" s="242"/>
      <c r="K52" s="252">
        <f>ROUND(G52*I52,0)</f>
        <v>2932897</v>
      </c>
      <c r="L52" s="238"/>
      <c r="M52" s="243" t="s">
        <v>357</v>
      </c>
      <c r="N52" s="238"/>
      <c r="O52" s="264" t="s">
        <v>357</v>
      </c>
      <c r="P52" s="238"/>
      <c r="Q52" s="264" t="s">
        <v>357</v>
      </c>
      <c r="R52" s="238"/>
      <c r="S52" s="252">
        <f>SUM(K52,M52,Q52)</f>
        <v>2932897</v>
      </c>
      <c r="T52" s="238"/>
      <c r="U52" s="254"/>
      <c r="V52" s="255">
        <f>K52/I52*100</f>
        <v>4.2100007177205194</v>
      </c>
      <c r="W52" s="239"/>
    </row>
    <row r="53" spans="1:23" ht="15.75" thickBot="1" x14ac:dyDescent="0.25">
      <c r="D53" s="188"/>
      <c r="E53" s="194"/>
      <c r="F53" s="189"/>
      <c r="G53" s="195"/>
      <c r="H53" s="189"/>
      <c r="I53" s="208"/>
      <c r="J53" s="189"/>
      <c r="K53" s="208"/>
      <c r="L53" s="189"/>
      <c r="M53" s="292"/>
      <c r="N53" s="198"/>
      <c r="O53" s="207" t="s">
        <v>357</v>
      </c>
      <c r="P53" s="196"/>
      <c r="Q53" s="208"/>
      <c r="R53" s="196"/>
      <c r="S53" s="208"/>
      <c r="T53" s="189"/>
      <c r="U53" s="189"/>
      <c r="V53" s="201"/>
      <c r="W53" s="192"/>
    </row>
    <row r="54" spans="1:23" ht="18.75" thickBot="1" x14ac:dyDescent="0.3">
      <c r="D54" s="216"/>
      <c r="E54" s="238"/>
      <c r="F54" s="238"/>
      <c r="G54" s="238" t="s">
        <v>16</v>
      </c>
      <c r="H54" s="238"/>
      <c r="I54" s="263">
        <f>SUM(I52:I53)</f>
        <v>69665000</v>
      </c>
      <c r="J54" s="238"/>
      <c r="K54" s="263">
        <f>SUM(K52:K53)</f>
        <v>2932897</v>
      </c>
      <c r="L54" s="238"/>
      <c r="M54" s="263">
        <f>SUM(M52:M53)</f>
        <v>0</v>
      </c>
      <c r="N54" s="238"/>
      <c r="O54" s="293" t="s">
        <v>357</v>
      </c>
      <c r="P54" s="264"/>
      <c r="Q54" s="263">
        <f>SUM(Q52:Q53)</f>
        <v>0</v>
      </c>
      <c r="R54" s="238"/>
      <c r="S54" s="263">
        <f>SUM(S52:S53)</f>
        <v>2932897</v>
      </c>
      <c r="T54" s="238"/>
      <c r="U54" s="242"/>
      <c r="V54" s="265">
        <f>S54/I54</f>
        <v>4.2100007177205197E-2</v>
      </c>
      <c r="W54" s="239"/>
    </row>
    <row r="55" spans="1:23" ht="15.75" thickTop="1" x14ac:dyDescent="0.2">
      <c r="D55" s="266"/>
      <c r="E55" s="267"/>
      <c r="F55" s="267"/>
      <c r="G55" s="267"/>
      <c r="H55" s="267"/>
      <c r="I55" s="267"/>
      <c r="J55" s="267"/>
      <c r="K55" s="258"/>
      <c r="L55" s="267"/>
      <c r="M55" s="267"/>
      <c r="N55" s="267"/>
      <c r="O55" s="267"/>
      <c r="P55" s="267"/>
      <c r="Q55" s="258"/>
      <c r="R55" s="267"/>
      <c r="S55" s="267"/>
      <c r="T55" s="267"/>
      <c r="U55" s="267"/>
      <c r="V55" s="267"/>
      <c r="W55" s="268"/>
    </row>
    <row r="56" spans="1:23" x14ac:dyDescent="0.2">
      <c r="G56" s="269"/>
      <c r="I56" s="233"/>
      <c r="K56" s="233"/>
      <c r="S56" s="233"/>
    </row>
    <row r="57" spans="1:23" x14ac:dyDescent="0.2">
      <c r="G57" s="269"/>
      <c r="I57" s="233"/>
      <c r="K57" s="233"/>
      <c r="S57" s="233"/>
    </row>
    <row r="58" spans="1:23" ht="21.75" hidden="1" customHeight="1" x14ac:dyDescent="0.3">
      <c r="D58" s="182" t="s">
        <v>382</v>
      </c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270"/>
    </row>
    <row r="59" spans="1:23" ht="15" hidden="1" customHeight="1" x14ac:dyDescent="0.2">
      <c r="D59" s="188"/>
      <c r="E59" s="189"/>
      <c r="F59" s="189"/>
      <c r="G59" s="206"/>
      <c r="H59" s="189"/>
      <c r="I59" s="196"/>
      <c r="J59" s="189"/>
      <c r="K59" s="196"/>
      <c r="L59" s="189"/>
      <c r="M59" s="189"/>
      <c r="N59" s="189"/>
      <c r="O59" s="189"/>
      <c r="P59" s="189"/>
      <c r="Q59" s="189"/>
      <c r="R59" s="189"/>
      <c r="S59" s="196"/>
      <c r="T59" s="189"/>
      <c r="U59" s="189"/>
      <c r="V59" s="189"/>
      <c r="W59" s="192"/>
    </row>
    <row r="60" spans="1:23" ht="15" hidden="1" customHeight="1" x14ac:dyDescent="0.2">
      <c r="D60" s="188"/>
      <c r="E60" s="189"/>
      <c r="F60" s="189"/>
      <c r="G60" s="206"/>
      <c r="H60" s="189"/>
      <c r="I60" s="196"/>
      <c r="J60" s="189"/>
      <c r="K60" s="190" t="s">
        <v>343</v>
      </c>
      <c r="L60" s="190"/>
      <c r="M60" s="190"/>
      <c r="N60" s="190"/>
      <c r="O60" s="190"/>
      <c r="P60" s="190"/>
      <c r="Q60" s="190"/>
      <c r="R60" s="190"/>
      <c r="S60" s="190"/>
      <c r="T60" s="189"/>
      <c r="U60" s="189"/>
      <c r="V60" s="189"/>
      <c r="W60" s="192"/>
    </row>
    <row r="61" spans="1:23" ht="15" hidden="1" customHeight="1" x14ac:dyDescent="0.2">
      <c r="D61" s="271"/>
      <c r="E61" s="189"/>
      <c r="F61" s="189"/>
      <c r="G61" s="206"/>
      <c r="H61" s="189"/>
      <c r="I61" s="196"/>
      <c r="J61" s="189"/>
      <c r="K61" s="186"/>
      <c r="L61" s="186"/>
      <c r="M61" s="186"/>
      <c r="N61" s="186"/>
      <c r="O61" s="186"/>
      <c r="P61" s="186"/>
      <c r="Q61" s="186"/>
      <c r="R61" s="186"/>
      <c r="S61" s="186"/>
      <c r="T61" s="189"/>
      <c r="U61" s="189"/>
      <c r="V61" s="189"/>
      <c r="W61" s="192"/>
    </row>
    <row r="62" spans="1:23" ht="15" hidden="1" customHeight="1" x14ac:dyDescent="0.2">
      <c r="D62" s="188"/>
      <c r="E62" s="189"/>
      <c r="F62" s="189"/>
      <c r="G62" s="206"/>
      <c r="H62" s="189"/>
      <c r="I62" s="196" t="s">
        <v>383</v>
      </c>
      <c r="J62" s="189"/>
      <c r="K62" s="196"/>
      <c r="L62" s="189"/>
      <c r="M62" s="191" t="s">
        <v>384</v>
      </c>
      <c r="N62" s="191"/>
      <c r="O62" s="191" t="s">
        <v>385</v>
      </c>
      <c r="P62" s="191"/>
      <c r="Q62" s="191"/>
      <c r="R62" s="191"/>
      <c r="S62" s="198"/>
      <c r="T62" s="189"/>
      <c r="U62" s="189"/>
      <c r="V62" s="191" t="s">
        <v>346</v>
      </c>
      <c r="W62" s="192"/>
    </row>
    <row r="63" spans="1:23" ht="15" hidden="1" customHeight="1" x14ac:dyDescent="0.2">
      <c r="A63" s="272" t="s">
        <v>386</v>
      </c>
      <c r="D63" s="188"/>
      <c r="E63" s="189"/>
      <c r="F63" s="189"/>
      <c r="G63" s="193" t="s">
        <v>36</v>
      </c>
      <c r="H63" s="189"/>
      <c r="I63" s="193" t="s">
        <v>348</v>
      </c>
      <c r="J63" s="193"/>
      <c r="K63" s="193" t="s">
        <v>377</v>
      </c>
      <c r="L63" s="189"/>
      <c r="M63" s="193" t="s">
        <v>387</v>
      </c>
      <c r="N63" s="191"/>
      <c r="O63" s="193" t="s">
        <v>387</v>
      </c>
      <c r="P63" s="191"/>
      <c r="Q63" s="191"/>
      <c r="R63" s="191"/>
      <c r="S63" s="273" t="s">
        <v>16</v>
      </c>
      <c r="T63" s="189"/>
      <c r="U63" s="189"/>
      <c r="V63" s="193" t="s">
        <v>31</v>
      </c>
      <c r="W63" s="192"/>
    </row>
    <row r="64" spans="1:23" ht="15" hidden="1" customHeight="1" x14ac:dyDescent="0.2">
      <c r="A64" s="274">
        <v>1.132967E-2</v>
      </c>
      <c r="B64" s="179" t="s">
        <v>388</v>
      </c>
      <c r="D64" s="188"/>
      <c r="E64" s="189"/>
      <c r="F64" s="189"/>
      <c r="G64" s="206"/>
      <c r="H64" s="189"/>
      <c r="I64" s="196"/>
      <c r="J64" s="189"/>
      <c r="K64" s="196"/>
      <c r="L64" s="189"/>
      <c r="M64" s="189"/>
      <c r="N64" s="189"/>
      <c r="O64" s="189"/>
      <c r="P64" s="189"/>
      <c r="Q64" s="189"/>
      <c r="R64" s="189"/>
      <c r="S64" s="196"/>
      <c r="T64" s="189"/>
      <c r="U64" s="189"/>
      <c r="V64" s="189"/>
      <c r="W64" s="192"/>
    </row>
    <row r="65" spans="1:23" ht="15" hidden="1" customHeight="1" x14ac:dyDescent="0.2">
      <c r="A65" s="274"/>
      <c r="D65" s="188" t="s">
        <v>389</v>
      </c>
      <c r="E65" s="189"/>
      <c r="F65" s="189"/>
      <c r="G65" s="195">
        <f>+(+A64+A65)/2</f>
        <v>5.664835E-3</v>
      </c>
      <c r="H65" s="189" t="s">
        <v>356</v>
      </c>
      <c r="I65" s="275">
        <v>0</v>
      </c>
      <c r="J65" s="189"/>
      <c r="K65" s="276">
        <f>+G65*I65</f>
        <v>0</v>
      </c>
      <c r="L65" s="189"/>
      <c r="M65" s="277">
        <f>25000000*0.00175</f>
        <v>43750</v>
      </c>
      <c r="N65" s="277"/>
      <c r="O65" s="277">
        <f>+I65*0.00125</f>
        <v>0</v>
      </c>
      <c r="P65" s="189"/>
      <c r="Q65" s="189"/>
      <c r="R65" s="189"/>
      <c r="S65" s="196">
        <f>+K65+M65+O65</f>
        <v>43750</v>
      </c>
      <c r="T65" s="189"/>
      <c r="U65" s="189"/>
      <c r="V65" s="218" t="e">
        <f>+S65/I65*100</f>
        <v>#DIV/0!</v>
      </c>
      <c r="W65" s="192"/>
    </row>
    <row r="66" spans="1:23" ht="15" hidden="1" customHeight="1" x14ac:dyDescent="0.2">
      <c r="A66" s="278" t="s">
        <v>390</v>
      </c>
      <c r="D66" s="188" t="s">
        <v>391</v>
      </c>
      <c r="E66" s="189"/>
      <c r="F66" s="189"/>
      <c r="G66" s="195">
        <f>+(+A67+A68)/2</f>
        <v>5.45E-3</v>
      </c>
      <c r="H66" s="189" t="s">
        <v>356</v>
      </c>
      <c r="I66" s="279">
        <v>0</v>
      </c>
      <c r="J66" s="189"/>
      <c r="K66" s="280">
        <f>+G66*I66</f>
        <v>0</v>
      </c>
      <c r="L66" s="189"/>
      <c r="M66" s="281">
        <f>25000000*0.00175</f>
        <v>43750</v>
      </c>
      <c r="N66" s="277"/>
      <c r="O66" s="281">
        <f>+I66*0.00125</f>
        <v>0</v>
      </c>
      <c r="P66" s="189"/>
      <c r="Q66" s="189"/>
      <c r="R66" s="189"/>
      <c r="S66" s="208">
        <f>+K66+M66+O66</f>
        <v>43750</v>
      </c>
      <c r="T66" s="189"/>
      <c r="U66" s="189"/>
      <c r="V66" s="282" t="e">
        <f>+S66/I66*100</f>
        <v>#DIV/0!</v>
      </c>
      <c r="W66" s="192"/>
    </row>
    <row r="67" spans="1:23" ht="15" hidden="1" customHeight="1" x14ac:dyDescent="0.2">
      <c r="A67" s="283">
        <v>1.09E-2</v>
      </c>
      <c r="B67" s="179" t="s">
        <v>392</v>
      </c>
      <c r="D67" s="188"/>
      <c r="E67" s="189"/>
      <c r="F67" s="189"/>
      <c r="G67" s="206"/>
      <c r="H67" s="189"/>
      <c r="I67" s="196"/>
      <c r="J67" s="189"/>
      <c r="K67" s="196"/>
      <c r="L67" s="189"/>
      <c r="M67" s="189"/>
      <c r="N67" s="189"/>
      <c r="O67" s="189"/>
      <c r="P67" s="189"/>
      <c r="Q67" s="189"/>
      <c r="R67" s="189"/>
      <c r="S67" s="196"/>
      <c r="T67" s="189"/>
      <c r="U67" s="189"/>
      <c r="V67" s="189"/>
      <c r="W67" s="192"/>
    </row>
    <row r="68" spans="1:23" ht="20.25" hidden="1" customHeight="1" x14ac:dyDescent="0.25">
      <c r="A68" s="283"/>
      <c r="D68" s="188"/>
      <c r="E68" s="189"/>
      <c r="F68" s="189"/>
      <c r="G68" s="206"/>
      <c r="H68" s="189"/>
      <c r="I68" s="226">
        <f>SUM(I65:I66)</f>
        <v>0</v>
      </c>
      <c r="J68" s="189"/>
      <c r="K68" s="226">
        <f>SUM(K65:K66)</f>
        <v>0</v>
      </c>
      <c r="L68" s="189"/>
      <c r="M68" s="226">
        <f>SUM(M65:M66)</f>
        <v>87500</v>
      </c>
      <c r="N68" s="189"/>
      <c r="O68" s="226">
        <f>SUM(O65:O66)</f>
        <v>0</v>
      </c>
      <c r="P68" s="189"/>
      <c r="Q68" s="189"/>
      <c r="R68" s="189"/>
      <c r="S68" s="226">
        <f>SUM(S65:S66)</f>
        <v>87500</v>
      </c>
      <c r="T68" s="189"/>
      <c r="U68" s="189"/>
      <c r="V68" s="284" t="e">
        <f>+S68/I68</f>
        <v>#DIV/0!</v>
      </c>
      <c r="W68" s="192"/>
    </row>
    <row r="69" spans="1:23" ht="15" hidden="1" customHeight="1" x14ac:dyDescent="0.2">
      <c r="D69" s="227"/>
      <c r="E69" s="228"/>
      <c r="F69" s="228"/>
      <c r="G69" s="285"/>
      <c r="H69" s="228"/>
      <c r="I69" s="208"/>
      <c r="J69" s="228"/>
      <c r="K69" s="208"/>
      <c r="L69" s="228"/>
      <c r="M69" s="228"/>
      <c r="N69" s="228"/>
      <c r="O69" s="228"/>
      <c r="P69" s="228"/>
      <c r="Q69" s="228"/>
      <c r="R69" s="228"/>
      <c r="S69" s="208"/>
      <c r="T69" s="228"/>
      <c r="U69" s="228"/>
      <c r="V69" s="228"/>
      <c r="W69" s="231"/>
    </row>
    <row r="70" spans="1:23" ht="15" customHeight="1" x14ac:dyDescent="0.2">
      <c r="G70" s="269"/>
      <c r="I70" s="233"/>
      <c r="K70" s="233"/>
      <c r="S70" s="233"/>
    </row>
    <row r="71" spans="1:23" x14ac:dyDescent="0.2">
      <c r="D71" s="287" t="s">
        <v>394</v>
      </c>
      <c r="G71" s="269"/>
      <c r="I71" s="233"/>
      <c r="K71" s="233"/>
      <c r="S71" s="233"/>
    </row>
    <row r="73" spans="1:23" x14ac:dyDescent="0.2">
      <c r="D73" s="287" t="s">
        <v>429</v>
      </c>
      <c r="I73" s="233"/>
      <c r="K73" s="233"/>
      <c r="R73" s="867" t="s">
        <v>430</v>
      </c>
      <c r="S73" s="867"/>
      <c r="V73" s="305" t="s">
        <v>431</v>
      </c>
    </row>
    <row r="74" spans="1:23" x14ac:dyDescent="0.2">
      <c r="D74" s="287"/>
      <c r="I74" s="233"/>
      <c r="K74" s="233"/>
      <c r="R74" s="867" t="s">
        <v>432</v>
      </c>
      <c r="S74" s="867"/>
      <c r="V74" s="305" t="s">
        <v>433</v>
      </c>
    </row>
    <row r="75" spans="1:23" x14ac:dyDescent="0.2">
      <c r="D75" s="287"/>
      <c r="E75" s="306" t="s">
        <v>434</v>
      </c>
      <c r="F75" s="306"/>
      <c r="G75" s="306"/>
      <c r="H75" s="306"/>
      <c r="I75" s="306"/>
      <c r="K75" s="307" t="s">
        <v>435</v>
      </c>
      <c r="L75" s="307"/>
      <c r="M75" s="308" t="s">
        <v>436</v>
      </c>
      <c r="O75" s="309"/>
      <c r="P75" s="309"/>
      <c r="Q75" s="309"/>
      <c r="R75" s="868" t="s">
        <v>437</v>
      </c>
      <c r="S75" s="868"/>
      <c r="V75" s="310" t="s">
        <v>438</v>
      </c>
    </row>
    <row r="76" spans="1:23" x14ac:dyDescent="0.2">
      <c r="D76" s="287"/>
      <c r="E76" s="179" t="s">
        <v>439</v>
      </c>
      <c r="I76" s="233"/>
      <c r="K76" s="233">
        <v>53000000</v>
      </c>
      <c r="M76" s="311" t="s">
        <v>440</v>
      </c>
      <c r="Q76" s="291" t="s">
        <v>441</v>
      </c>
      <c r="R76" s="869" t="s">
        <v>442</v>
      </c>
      <c r="S76" s="869"/>
      <c r="V76" s="313">
        <v>7.9200000000000007E-2</v>
      </c>
    </row>
    <row r="77" spans="1:23" x14ac:dyDescent="0.2">
      <c r="D77" s="287"/>
      <c r="I77" s="233"/>
      <c r="K77" s="233"/>
      <c r="M77" s="311"/>
      <c r="R77" s="312"/>
      <c r="S77" s="312"/>
      <c r="V77" s="313"/>
    </row>
    <row r="78" spans="1:23" x14ac:dyDescent="0.2">
      <c r="D78" s="287"/>
      <c r="I78" s="233"/>
      <c r="K78" s="233"/>
      <c r="S78" s="233"/>
    </row>
    <row r="79" spans="1:23" ht="13.5" customHeight="1" x14ac:dyDescent="0.2">
      <c r="D79" s="287" t="s">
        <v>451</v>
      </c>
      <c r="G79" s="269"/>
      <c r="I79" s="233"/>
      <c r="K79" s="233"/>
    </row>
    <row r="80" spans="1:23" ht="13.5" customHeight="1" x14ac:dyDescent="0.2">
      <c r="D80" s="287" t="s">
        <v>452</v>
      </c>
      <c r="G80" s="269"/>
      <c r="I80" s="233"/>
      <c r="K80" s="233"/>
    </row>
    <row r="81" spans="4:23" ht="13.5" customHeight="1" x14ac:dyDescent="0.2">
      <c r="D81" s="287"/>
      <c r="G81" s="269"/>
      <c r="I81" s="233"/>
      <c r="K81" s="233"/>
    </row>
    <row r="82" spans="4:23" ht="15" customHeight="1" x14ac:dyDescent="0.2">
      <c r="N82" s="288"/>
      <c r="O82" s="289"/>
      <c r="P82" s="289"/>
      <c r="Q82" s="289"/>
      <c r="R82" s="289"/>
      <c r="T82" s="233"/>
    </row>
    <row r="83" spans="4:23" ht="15" hidden="1" customHeight="1" x14ac:dyDescent="0.2">
      <c r="N83" s="288"/>
      <c r="O83" s="289"/>
      <c r="P83" s="289"/>
      <c r="Q83" s="289"/>
      <c r="R83" s="289"/>
      <c r="T83" s="233"/>
    </row>
    <row r="84" spans="4:23" ht="15" hidden="1" customHeight="1" x14ac:dyDescent="0.2">
      <c r="N84" s="288"/>
      <c r="O84" s="289"/>
      <c r="P84" s="289"/>
      <c r="Q84" s="289"/>
      <c r="R84" s="289"/>
      <c r="T84" s="233"/>
    </row>
    <row r="85" spans="4:23" ht="15" hidden="1" customHeight="1" x14ac:dyDescent="0.2">
      <c r="N85" s="288"/>
      <c r="O85" s="289"/>
      <c r="P85" s="289"/>
      <c r="Q85" s="289"/>
      <c r="R85" s="289"/>
      <c r="T85" s="233"/>
    </row>
    <row r="86" spans="4:23" ht="15" hidden="1" customHeight="1" x14ac:dyDescent="0.2">
      <c r="N86" s="288"/>
      <c r="O86" s="289"/>
      <c r="P86" s="289"/>
      <c r="Q86" s="289"/>
      <c r="R86" s="289"/>
      <c r="T86" s="233"/>
    </row>
    <row r="87" spans="4:23" ht="15" hidden="1" customHeight="1" x14ac:dyDescent="0.2">
      <c r="N87" s="288"/>
      <c r="O87" s="289"/>
      <c r="P87" s="289"/>
      <c r="Q87" s="289"/>
      <c r="R87" s="289"/>
      <c r="T87" s="233"/>
    </row>
    <row r="88" spans="4:23" ht="15" hidden="1" customHeight="1" x14ac:dyDescent="0.2">
      <c r="N88" s="288"/>
      <c r="O88" s="289"/>
      <c r="P88" s="289"/>
      <c r="Q88" s="289"/>
      <c r="R88" s="289"/>
      <c r="T88" s="233"/>
    </row>
    <row r="89" spans="4:23" ht="15" hidden="1" customHeight="1" x14ac:dyDescent="0.2">
      <c r="N89" s="288"/>
      <c r="O89" s="289"/>
      <c r="P89" s="289"/>
      <c r="Q89" s="289"/>
      <c r="R89" s="289"/>
      <c r="T89" s="233"/>
    </row>
    <row r="90" spans="4:23" ht="15" hidden="1" customHeight="1" x14ac:dyDescent="0.2">
      <c r="N90" s="288"/>
      <c r="O90" s="289"/>
      <c r="P90" s="289"/>
      <c r="Q90" s="289"/>
      <c r="R90" s="289"/>
      <c r="T90" s="233"/>
    </row>
    <row r="91" spans="4:23" ht="15" hidden="1" customHeight="1" x14ac:dyDescent="0.2">
      <c r="N91" s="288"/>
      <c r="O91" s="289"/>
      <c r="P91" s="289"/>
      <c r="Q91" s="289"/>
      <c r="R91" s="289"/>
      <c r="T91" s="233"/>
    </row>
    <row r="92" spans="4:23" ht="15" hidden="1" customHeight="1" x14ac:dyDescent="0.2">
      <c r="N92" s="288"/>
      <c r="O92" s="289"/>
      <c r="P92" s="289"/>
      <c r="Q92" s="289"/>
      <c r="R92" s="289"/>
      <c r="T92" s="233"/>
    </row>
    <row r="93" spans="4:23" ht="15" customHeight="1" x14ac:dyDescent="0.2">
      <c r="D93" s="179" t="s">
        <v>398</v>
      </c>
      <c r="N93" s="288"/>
      <c r="O93" s="289"/>
      <c r="P93" s="289"/>
      <c r="Q93" s="289"/>
      <c r="R93" s="289"/>
      <c r="T93" s="233"/>
    </row>
    <row r="94" spans="4:23" ht="15" customHeight="1" x14ac:dyDescent="0.2">
      <c r="N94" s="288"/>
      <c r="O94" s="289"/>
      <c r="P94" s="289"/>
      <c r="Q94" s="289"/>
      <c r="R94" s="289"/>
      <c r="T94" s="233"/>
    </row>
    <row r="95" spans="4:23" x14ac:dyDescent="0.2">
      <c r="D95" s="287" t="s">
        <v>401</v>
      </c>
      <c r="I95" s="287" t="s">
        <v>411</v>
      </c>
      <c r="J95" s="233"/>
      <c r="M95" s="287" t="s">
        <v>412</v>
      </c>
      <c r="Q95" s="287" t="s">
        <v>446</v>
      </c>
      <c r="R95" s="290"/>
      <c r="S95" s="290"/>
      <c r="T95" s="290"/>
      <c r="U95" s="290"/>
      <c r="V95" s="287" t="s">
        <v>453</v>
      </c>
      <c r="W95" s="290"/>
    </row>
    <row r="96" spans="4:23" x14ac:dyDescent="0.2">
      <c r="D96" s="179" t="s">
        <v>447</v>
      </c>
      <c r="I96" s="287" t="s">
        <v>400</v>
      </c>
      <c r="M96" s="179" t="s">
        <v>454</v>
      </c>
      <c r="N96" s="233"/>
      <c r="P96" s="233"/>
      <c r="Q96" s="179" t="s">
        <v>455</v>
      </c>
      <c r="S96" s="233"/>
    </row>
    <row r="97" spans="4:17" x14ac:dyDescent="0.2">
      <c r="D97" s="287" t="s">
        <v>403</v>
      </c>
      <c r="E97" s="290"/>
      <c r="F97" s="290"/>
      <c r="G97" s="290"/>
      <c r="H97" s="290"/>
      <c r="I97" s="287" t="s">
        <v>404</v>
      </c>
      <c r="J97" s="290"/>
      <c r="K97" s="290"/>
      <c r="L97" s="290"/>
      <c r="M97" s="287" t="s">
        <v>409</v>
      </c>
      <c r="N97" s="290"/>
      <c r="O97" s="290"/>
      <c r="P97" s="290"/>
      <c r="Q97" s="179" t="s">
        <v>449</v>
      </c>
    </row>
    <row r="98" spans="4:17" x14ac:dyDescent="0.2">
      <c r="D98" s="287"/>
    </row>
    <row r="101" spans="4:17" x14ac:dyDescent="0.2">
      <c r="D101" s="179" t="s">
        <v>420</v>
      </c>
    </row>
    <row r="103" spans="4:17" x14ac:dyDescent="0.2">
      <c r="D103" s="179" t="s">
        <v>421</v>
      </c>
    </row>
    <row r="125" spans="4:13" x14ac:dyDescent="0.2"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</row>
    <row r="126" spans="4:13" x14ac:dyDescent="0.2"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</row>
    <row r="127" spans="4:13" x14ac:dyDescent="0.2"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</row>
    <row r="128" spans="4:13" x14ac:dyDescent="0.2"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</row>
  </sheetData>
  <mergeCells count="4">
    <mergeCell ref="R73:S73"/>
    <mergeCell ref="R74:S74"/>
    <mergeCell ref="R75:S75"/>
    <mergeCell ref="R76:S76"/>
  </mergeCells>
  <phoneticPr fontId="0" type="noConversion"/>
  <printOptions horizontalCentered="1" verticalCentered="1"/>
  <pageMargins left="0" right="0.25" top="0" bottom="0.25" header="0" footer="0"/>
  <pageSetup scale="45" orientation="portrait" r:id="rId1"/>
  <headerFooter alignWithMargins="0">
    <oddFooter>&amp;L&amp;Z&amp;F&amp;R&amp;D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Normal="100" workbookViewId="0">
      <selection activeCell="E11" sqref="E11"/>
    </sheetView>
  </sheetViews>
  <sheetFormatPr defaultRowHeight="12.75" x14ac:dyDescent="0.2"/>
  <cols>
    <col min="1" max="1" width="22.140625" style="490" customWidth="1"/>
    <col min="2" max="2" width="21.85546875" style="490" customWidth="1"/>
    <col min="3" max="5" width="18.28515625" style="490" bestFit="1" customWidth="1"/>
    <col min="6" max="9" width="17.42578125" style="490" bestFit="1" customWidth="1"/>
    <col min="10" max="16384" width="9.140625" style="490"/>
  </cols>
  <sheetData>
    <row r="1" spans="1:9" x14ac:dyDescent="0.2">
      <c r="A1" s="832" t="s">
        <v>21</v>
      </c>
      <c r="B1" s="832"/>
      <c r="C1" s="832"/>
      <c r="D1" s="832"/>
      <c r="E1" s="832"/>
      <c r="F1" s="832"/>
      <c r="G1" s="832"/>
      <c r="H1" s="511"/>
      <c r="I1" s="511"/>
    </row>
    <row r="2" spans="1:9" x14ac:dyDescent="0.2">
      <c r="A2" s="832" t="s">
        <v>22</v>
      </c>
      <c r="B2" s="832"/>
      <c r="C2" s="832"/>
      <c r="D2" s="832"/>
      <c r="E2" s="832"/>
      <c r="F2" s="832"/>
      <c r="G2" s="832"/>
    </row>
    <row r="3" spans="1:9" x14ac:dyDescent="0.2">
      <c r="A3" s="832" t="s">
        <v>23</v>
      </c>
      <c r="B3" s="832"/>
      <c r="C3" s="832"/>
      <c r="D3" s="832"/>
      <c r="E3" s="832"/>
      <c r="F3" s="832"/>
      <c r="G3" s="832"/>
    </row>
    <row r="4" spans="1:9" x14ac:dyDescent="0.2">
      <c r="A4" s="832"/>
      <c r="B4" s="832"/>
      <c r="C4" s="832"/>
      <c r="D4" s="832"/>
      <c r="E4" s="832"/>
      <c r="F4" s="832"/>
      <c r="G4" s="832"/>
    </row>
    <row r="6" spans="1:9" ht="15" x14ac:dyDescent="0.35">
      <c r="A6" s="830" t="s">
        <v>730</v>
      </c>
      <c r="B6" s="830"/>
      <c r="C6" s="830"/>
      <c r="D6" s="831"/>
      <c r="E6" s="831"/>
      <c r="F6" s="831"/>
      <c r="G6" s="831"/>
    </row>
    <row r="7" spans="1:9" x14ac:dyDescent="0.2">
      <c r="B7" s="491"/>
      <c r="C7" s="492" t="s">
        <v>24</v>
      </c>
      <c r="D7" s="489"/>
      <c r="F7" s="489" t="s">
        <v>25</v>
      </c>
      <c r="G7" s="489" t="s">
        <v>26</v>
      </c>
    </row>
    <row r="8" spans="1:9" x14ac:dyDescent="0.2">
      <c r="B8" s="493" t="s">
        <v>27</v>
      </c>
      <c r="C8" s="492" t="s">
        <v>28</v>
      </c>
      <c r="D8" s="489" t="s">
        <v>29</v>
      </c>
      <c r="E8" s="493" t="s">
        <v>30</v>
      </c>
      <c r="F8" s="489" t="s">
        <v>31</v>
      </c>
      <c r="G8" s="489" t="s">
        <v>32</v>
      </c>
    </row>
    <row r="9" spans="1:9" x14ac:dyDescent="0.2">
      <c r="B9" s="494" t="s">
        <v>33</v>
      </c>
      <c r="C9" s="495" t="s">
        <v>34</v>
      </c>
      <c r="D9" s="494" t="s">
        <v>27</v>
      </c>
      <c r="E9" s="494" t="s">
        <v>35</v>
      </c>
      <c r="F9" s="494" t="s">
        <v>36</v>
      </c>
      <c r="G9" s="494" t="s">
        <v>37</v>
      </c>
    </row>
    <row r="10" spans="1:9" x14ac:dyDescent="0.2">
      <c r="A10" s="490" t="s">
        <v>38</v>
      </c>
      <c r="B10" s="496">
        <v>10434000</v>
      </c>
      <c r="C10" s="497">
        <f t="shared" ref="C10:D14" si="0">+C29+C48</f>
        <v>1</v>
      </c>
      <c r="D10" s="496">
        <f t="shared" si="0"/>
        <v>10434000</v>
      </c>
      <c r="E10" s="497">
        <f>ROUND(+D10/$D$15,4)</f>
        <v>2.7000000000000001E-3</v>
      </c>
      <c r="F10" s="510">
        <v>2.5000000000000001E-3</v>
      </c>
      <c r="G10" s="497">
        <f>ROUND(+E10*F10,4)</f>
        <v>0</v>
      </c>
      <c r="H10" s="498"/>
    </row>
    <row r="11" spans="1:9" x14ac:dyDescent="0.2">
      <c r="A11" s="490" t="s">
        <v>39</v>
      </c>
      <c r="B11" s="496">
        <v>0</v>
      </c>
      <c r="C11" s="497">
        <f t="shared" si="0"/>
        <v>1</v>
      </c>
      <c r="D11" s="496">
        <f t="shared" si="0"/>
        <v>0</v>
      </c>
      <c r="E11" s="497">
        <f>ROUND(+D11/$D$15,4)</f>
        <v>0</v>
      </c>
      <c r="F11" s="510">
        <v>0</v>
      </c>
      <c r="G11" s="497">
        <f>ROUND(+E11*F11,4)</f>
        <v>0</v>
      </c>
    </row>
    <row r="12" spans="1:9" x14ac:dyDescent="0.2">
      <c r="A12" s="490" t="s">
        <v>40</v>
      </c>
      <c r="B12" s="496">
        <v>1839956311.25</v>
      </c>
      <c r="C12" s="497">
        <f t="shared" si="0"/>
        <v>1</v>
      </c>
      <c r="D12" s="496">
        <f t="shared" si="0"/>
        <v>1839956312</v>
      </c>
      <c r="E12" s="497">
        <f>ROUND(+D12/$D$15,4)</f>
        <v>0.46870000000000001</v>
      </c>
      <c r="F12" s="510">
        <v>3.8039999999999997E-2</v>
      </c>
      <c r="G12" s="497">
        <f>ROUND(+E12*F12,4)</f>
        <v>1.78E-2</v>
      </c>
    </row>
    <row r="13" spans="1:9" ht="13.5" thickBot="1" x14ac:dyDescent="0.25">
      <c r="A13" s="490" t="s">
        <v>41</v>
      </c>
      <c r="B13" s="496">
        <v>0</v>
      </c>
      <c r="C13" s="497">
        <f t="shared" si="0"/>
        <v>1</v>
      </c>
      <c r="D13" s="496">
        <f t="shared" si="0"/>
        <v>0</v>
      </c>
      <c r="E13" s="497">
        <f>ROUND(+D13/$D$15,4)</f>
        <v>0</v>
      </c>
      <c r="F13" s="510">
        <v>0</v>
      </c>
      <c r="G13" s="497">
        <f>ROUND(+E13*F13,4)</f>
        <v>0</v>
      </c>
    </row>
    <row r="14" spans="1:9" ht="13.5" thickBot="1" x14ac:dyDescent="0.25">
      <c r="A14" s="490" t="s">
        <v>42</v>
      </c>
      <c r="B14" s="496">
        <v>2075467084.02</v>
      </c>
      <c r="C14" s="497">
        <f t="shared" si="0"/>
        <v>1</v>
      </c>
      <c r="D14" s="496">
        <f t="shared" si="0"/>
        <v>2075467084</v>
      </c>
      <c r="E14" s="497">
        <f>ROUND(+D14/$D$15,4)</f>
        <v>0.52869999999999995</v>
      </c>
      <c r="F14" s="824">
        <f>ROUND(+G14/E14,4)</f>
        <v>8.7999999999999995E-2</v>
      </c>
      <c r="G14" s="499">
        <f>+G19-G10-G11-G12-G13</f>
        <v>4.65E-2</v>
      </c>
    </row>
    <row r="15" spans="1:9" x14ac:dyDescent="0.2">
      <c r="B15" s="500">
        <f>SUM(B10:B14)</f>
        <v>3925857395.27</v>
      </c>
      <c r="D15" s="500">
        <f>SUM(D10:D14)</f>
        <v>3925857396</v>
      </c>
      <c r="E15" s="501">
        <f>SUM(E10:E14)</f>
        <v>1.0001</v>
      </c>
      <c r="F15" s="496"/>
      <c r="G15" s="497">
        <f>SUM(G10:G14)</f>
        <v>6.4299999999999996E-2</v>
      </c>
    </row>
    <row r="16" spans="1:9" x14ac:dyDescent="0.2">
      <c r="B16" s="496"/>
      <c r="D16" s="496"/>
      <c r="E16" s="496"/>
      <c r="F16" s="496"/>
      <c r="G16" s="497"/>
    </row>
    <row r="17" spans="1:8" x14ac:dyDescent="0.2">
      <c r="D17" s="496"/>
      <c r="E17" s="496"/>
      <c r="F17" s="496"/>
      <c r="G17" s="496"/>
    </row>
    <row r="18" spans="1:8" x14ac:dyDescent="0.2">
      <c r="A18" s="715" t="s">
        <v>731</v>
      </c>
      <c r="D18" s="496"/>
      <c r="E18" s="496"/>
      <c r="F18" s="496"/>
      <c r="G18" s="720">
        <f>'2010 IS'!C35</f>
        <v>252468461.87999988</v>
      </c>
    </row>
    <row r="19" spans="1:8" x14ac:dyDescent="0.2">
      <c r="A19" s="490" t="s">
        <v>44</v>
      </c>
      <c r="D19" s="496"/>
      <c r="E19" s="496"/>
      <c r="F19" s="496"/>
      <c r="G19" s="497">
        <f>ROUND(+G18/D15,4)</f>
        <v>6.4299999999999996E-2</v>
      </c>
      <c r="H19" s="503">
        <f>+G15-G19</f>
        <v>0</v>
      </c>
    </row>
    <row r="20" spans="1:8" x14ac:dyDescent="0.2">
      <c r="D20" s="496"/>
      <c r="E20" s="496"/>
      <c r="F20" s="496"/>
      <c r="G20" s="496"/>
    </row>
    <row r="22" spans="1:8" ht="13.5" thickBot="1" x14ac:dyDescent="0.25">
      <c r="A22" s="504"/>
      <c r="B22" s="504"/>
      <c r="C22" s="504"/>
      <c r="D22" s="504"/>
      <c r="E22" s="504"/>
      <c r="F22" s="504"/>
      <c r="G22" s="505"/>
    </row>
    <row r="23" spans="1:8" x14ac:dyDescent="0.2">
      <c r="G23" s="496"/>
    </row>
    <row r="25" spans="1:8" ht="15" x14ac:dyDescent="0.35">
      <c r="A25" s="830" t="s">
        <v>733</v>
      </c>
      <c r="B25" s="830"/>
      <c r="C25" s="830"/>
      <c r="D25" s="831"/>
      <c r="E25" s="831"/>
      <c r="F25" s="831"/>
      <c r="G25" s="831"/>
    </row>
    <row r="26" spans="1:8" x14ac:dyDescent="0.2">
      <c r="B26" s="491"/>
      <c r="C26" s="492" t="s">
        <v>45</v>
      </c>
      <c r="D26" s="489"/>
      <c r="E26" s="618"/>
      <c r="F26" s="489" t="s">
        <v>25</v>
      </c>
      <c r="G26" s="489" t="s">
        <v>26</v>
      </c>
    </row>
    <row r="27" spans="1:8" x14ac:dyDescent="0.2">
      <c r="B27" s="493" t="s">
        <v>27</v>
      </c>
      <c r="C27" s="492" t="s">
        <v>28</v>
      </c>
      <c r="D27" s="489" t="s">
        <v>45</v>
      </c>
      <c r="E27" s="618" t="s">
        <v>30</v>
      </c>
      <c r="F27" s="618" t="s">
        <v>31</v>
      </c>
      <c r="G27" s="618" t="s">
        <v>32</v>
      </c>
    </row>
    <row r="28" spans="1:8" x14ac:dyDescent="0.2">
      <c r="B28" s="494" t="s">
        <v>33</v>
      </c>
      <c r="C28" s="495" t="s">
        <v>34</v>
      </c>
      <c r="D28" s="494" t="s">
        <v>27</v>
      </c>
      <c r="E28" s="620" t="s">
        <v>35</v>
      </c>
      <c r="F28" s="620" t="s">
        <v>36</v>
      </c>
      <c r="G28" s="620" t="s">
        <v>37</v>
      </c>
    </row>
    <row r="29" spans="1:8" x14ac:dyDescent="0.2">
      <c r="A29" s="490" t="s">
        <v>38</v>
      </c>
      <c r="B29" s="506">
        <f>+B10</f>
        <v>10434000</v>
      </c>
      <c r="C29" s="510">
        <f>'Ex 3 - 2010'!D46</f>
        <v>0.87360000000000004</v>
      </c>
      <c r="D29" s="496">
        <f>ROUND(+B29*C29,0)</f>
        <v>9115142</v>
      </c>
      <c r="E29" s="497">
        <f>ROUND(+D29/$D$34,4)</f>
        <v>2.7000000000000001E-3</v>
      </c>
      <c r="F29" s="510">
        <f>+F10</f>
        <v>2.5000000000000001E-3</v>
      </c>
      <c r="G29" s="497">
        <f>ROUND(+E29*F29,4)</f>
        <v>0</v>
      </c>
    </row>
    <row r="30" spans="1:8" x14ac:dyDescent="0.2">
      <c r="A30" s="490" t="s">
        <v>39</v>
      </c>
      <c r="B30" s="506">
        <f>+B11</f>
        <v>0</v>
      </c>
      <c r="C30" s="727">
        <f>+C29</f>
        <v>0.87360000000000004</v>
      </c>
      <c r="D30" s="496">
        <f>ROUND(+B30*C30,0)</f>
        <v>0</v>
      </c>
      <c r="E30" s="497">
        <f>ROUND(+D30/$D$34,4)</f>
        <v>0</v>
      </c>
      <c r="F30" s="510">
        <f>+F11</f>
        <v>0</v>
      </c>
      <c r="G30" s="497">
        <f>ROUND(+E30*F30,4)</f>
        <v>0</v>
      </c>
    </row>
    <row r="31" spans="1:8" x14ac:dyDescent="0.2">
      <c r="A31" s="490" t="s">
        <v>40</v>
      </c>
      <c r="B31" s="506">
        <f>+B12</f>
        <v>1839956311.25</v>
      </c>
      <c r="C31" s="727">
        <f>+C30</f>
        <v>0.87360000000000004</v>
      </c>
      <c r="D31" s="496">
        <f>ROUND(+B31*C31,0)</f>
        <v>1607385834</v>
      </c>
      <c r="E31" s="497">
        <f>ROUND(+D31/$D$34,4)</f>
        <v>0.46870000000000001</v>
      </c>
      <c r="F31" s="510">
        <f>+F12</f>
        <v>3.8039999999999997E-2</v>
      </c>
      <c r="G31" s="497">
        <f>ROUND(+E31*F31,4)</f>
        <v>1.78E-2</v>
      </c>
    </row>
    <row r="32" spans="1:8" ht="13.5" thickBot="1" x14ac:dyDescent="0.25">
      <c r="A32" s="490" t="s">
        <v>41</v>
      </c>
      <c r="B32" s="506">
        <f>+B13</f>
        <v>0</v>
      </c>
      <c r="C32" s="727">
        <f>+C31</f>
        <v>0.87360000000000004</v>
      </c>
      <c r="D32" s="496">
        <f>ROUND(+B32*C32,0)</f>
        <v>0</v>
      </c>
      <c r="E32" s="497">
        <f>ROUND(+D32/$D$34,4)</f>
        <v>0</v>
      </c>
      <c r="F32" s="510">
        <f>+F13</f>
        <v>0</v>
      </c>
      <c r="G32" s="497">
        <f>ROUND(+E32*F32,4)</f>
        <v>0</v>
      </c>
    </row>
    <row r="33" spans="1:8" ht="13.5" thickBot="1" x14ac:dyDescent="0.25">
      <c r="A33" s="490" t="s">
        <v>42</v>
      </c>
      <c r="B33" s="506">
        <f>+B14</f>
        <v>2075467084.02</v>
      </c>
      <c r="C33" s="727">
        <f>+C32</f>
        <v>0.87360000000000004</v>
      </c>
      <c r="D33" s="496">
        <f>ROUND(+B33*C33,0)</f>
        <v>1813128045</v>
      </c>
      <c r="E33" s="497">
        <f>ROUND(+D33/$D$34,4)</f>
        <v>0.52869999999999995</v>
      </c>
      <c r="F33" s="824">
        <f>ROUND(+G33/E33,4)</f>
        <v>9.1200000000000003E-2</v>
      </c>
      <c r="G33" s="499">
        <f>+G38-G29-G30-G31-G32</f>
        <v>4.8200000000000007E-2</v>
      </c>
    </row>
    <row r="34" spans="1:8" x14ac:dyDescent="0.2">
      <c r="B34" s="507">
        <f>SUM(B29:B33)</f>
        <v>3925857395.27</v>
      </c>
      <c r="D34" s="500">
        <f>SUM(D29:D33)</f>
        <v>3429629021</v>
      </c>
      <c r="E34" s="501">
        <v>1</v>
      </c>
      <c r="F34" s="496"/>
      <c r="G34" s="497">
        <f>SUM(G29:G33)</f>
        <v>6.6000000000000003E-2</v>
      </c>
    </row>
    <row r="35" spans="1:8" x14ac:dyDescent="0.2">
      <c r="D35" s="496"/>
      <c r="E35" s="496"/>
      <c r="F35" s="508"/>
      <c r="G35" s="497"/>
    </row>
    <row r="36" spans="1:8" x14ac:dyDescent="0.2">
      <c r="D36" s="496"/>
      <c r="E36" s="496"/>
      <c r="F36" s="496"/>
      <c r="G36" s="496"/>
    </row>
    <row r="37" spans="1:8" x14ac:dyDescent="0.2">
      <c r="A37" s="715" t="s">
        <v>731</v>
      </c>
      <c r="D37" s="496"/>
      <c r="E37" s="496"/>
      <c r="F37" s="496"/>
      <c r="G37" s="720">
        <f>'Ex 3 - 2010'!D48</f>
        <v>226197402</v>
      </c>
    </row>
    <row r="38" spans="1:8" x14ac:dyDescent="0.2">
      <c r="A38" s="490" t="s">
        <v>44</v>
      </c>
      <c r="D38" s="496"/>
      <c r="E38" s="496"/>
      <c r="F38" s="496"/>
      <c r="G38" s="497">
        <f>ROUND(+G37/D34,4)</f>
        <v>6.6000000000000003E-2</v>
      </c>
      <c r="H38" s="503">
        <f>+G34-G38</f>
        <v>0</v>
      </c>
    </row>
    <row r="39" spans="1:8" x14ac:dyDescent="0.2">
      <c r="D39" s="496"/>
      <c r="E39" s="496"/>
      <c r="F39" s="496"/>
      <c r="G39" s="496"/>
    </row>
    <row r="41" spans="1:8" ht="13.5" thickBot="1" x14ac:dyDescent="0.25">
      <c r="A41" s="504"/>
      <c r="B41" s="504"/>
      <c r="C41" s="504"/>
      <c r="D41" s="504"/>
      <c r="E41" s="504"/>
      <c r="F41" s="504"/>
      <c r="G41" s="504"/>
    </row>
    <row r="42" spans="1:8" x14ac:dyDescent="0.2">
      <c r="A42" s="491"/>
      <c r="B42" s="491"/>
      <c r="C42" s="491"/>
      <c r="D42" s="491"/>
      <c r="E42" s="491"/>
      <c r="F42" s="491"/>
      <c r="G42" s="491"/>
    </row>
    <row r="44" spans="1:8" ht="15" x14ac:dyDescent="0.35">
      <c r="A44" s="830" t="s">
        <v>732</v>
      </c>
      <c r="B44" s="830"/>
      <c r="C44" s="830"/>
      <c r="D44" s="831"/>
      <c r="E44" s="831"/>
      <c r="F44" s="831"/>
      <c r="G44" s="831"/>
    </row>
    <row r="45" spans="1:8" x14ac:dyDescent="0.2">
      <c r="B45" s="491"/>
      <c r="C45" s="492" t="s">
        <v>45</v>
      </c>
      <c r="D45" s="489"/>
      <c r="F45" s="489" t="s">
        <v>25</v>
      </c>
      <c r="G45" s="489" t="s">
        <v>26</v>
      </c>
    </row>
    <row r="46" spans="1:8" x14ac:dyDescent="0.2">
      <c r="B46" s="493" t="s">
        <v>27</v>
      </c>
      <c r="C46" s="492" t="s">
        <v>28</v>
      </c>
      <c r="D46" s="489" t="s">
        <v>45</v>
      </c>
      <c r="E46" s="489" t="s">
        <v>30</v>
      </c>
      <c r="F46" s="489" t="s">
        <v>31</v>
      </c>
      <c r="G46" s="489" t="s">
        <v>32</v>
      </c>
    </row>
    <row r="47" spans="1:8" x14ac:dyDescent="0.2">
      <c r="B47" s="494" t="s">
        <v>33</v>
      </c>
      <c r="C47" s="495" t="s">
        <v>34</v>
      </c>
      <c r="D47" s="494" t="s">
        <v>27</v>
      </c>
      <c r="E47" s="494" t="s">
        <v>35</v>
      </c>
      <c r="F47" s="494" t="s">
        <v>36</v>
      </c>
      <c r="G47" s="494" t="s">
        <v>37</v>
      </c>
    </row>
    <row r="48" spans="1:8" x14ac:dyDescent="0.2">
      <c r="A48" s="490" t="s">
        <v>38</v>
      </c>
      <c r="B48" s="506">
        <f>+B10</f>
        <v>10434000</v>
      </c>
      <c r="C48" s="510">
        <f>'Ex 3 - 2010'!F46</f>
        <v>0.12640000000000001</v>
      </c>
      <c r="D48" s="496">
        <f>ROUND(+B48*C48,0)</f>
        <v>1318858</v>
      </c>
      <c r="E48" s="497">
        <f>ROUND(+D48/$D$53,4)</f>
        <v>2.7000000000000001E-3</v>
      </c>
      <c r="F48" s="510">
        <f>+F29</f>
        <v>2.5000000000000001E-3</v>
      </c>
      <c r="G48" s="497">
        <f>ROUND(+E48*F48,4)</f>
        <v>0</v>
      </c>
    </row>
    <row r="49" spans="1:8" x14ac:dyDescent="0.2">
      <c r="A49" s="490" t="s">
        <v>39</v>
      </c>
      <c r="B49" s="506">
        <f>+B11</f>
        <v>0</v>
      </c>
      <c r="C49" s="727">
        <f>+C48</f>
        <v>0.12640000000000001</v>
      </c>
      <c r="D49" s="496">
        <f>ROUND(+B49*C49,0)</f>
        <v>0</v>
      </c>
      <c r="E49" s="497">
        <f>ROUND(+D49/$D$53,4)</f>
        <v>0</v>
      </c>
      <c r="F49" s="510">
        <f>+F30</f>
        <v>0</v>
      </c>
      <c r="G49" s="497">
        <f>ROUND(+E49*F49,4)</f>
        <v>0</v>
      </c>
    </row>
    <row r="50" spans="1:8" x14ac:dyDescent="0.2">
      <c r="A50" s="490" t="s">
        <v>40</v>
      </c>
      <c r="B50" s="506">
        <f>+B12</f>
        <v>1839956311.25</v>
      </c>
      <c r="C50" s="727">
        <f>+C49</f>
        <v>0.12640000000000001</v>
      </c>
      <c r="D50" s="496">
        <f>ROUND(+B50*C50,0)</f>
        <v>232570478</v>
      </c>
      <c r="E50" s="497">
        <f>ROUND(+D50/$D$53,4)</f>
        <v>0.46870000000000001</v>
      </c>
      <c r="F50" s="510">
        <f>+F31</f>
        <v>3.8039999999999997E-2</v>
      </c>
      <c r="G50" s="497">
        <f>ROUND(+E50*F50,4)</f>
        <v>1.78E-2</v>
      </c>
    </row>
    <row r="51" spans="1:8" ht="13.5" thickBot="1" x14ac:dyDescent="0.25">
      <c r="A51" s="490" t="s">
        <v>41</v>
      </c>
      <c r="B51" s="506">
        <f>+B13</f>
        <v>0</v>
      </c>
      <c r="C51" s="727">
        <f>+C50</f>
        <v>0.12640000000000001</v>
      </c>
      <c r="D51" s="496">
        <f>ROUND(+B51*C51,0)</f>
        <v>0</v>
      </c>
      <c r="E51" s="497">
        <f>ROUND(+D51/$D$53,4)</f>
        <v>0</v>
      </c>
      <c r="F51" s="510">
        <f>+F32</f>
        <v>0</v>
      </c>
      <c r="G51" s="497">
        <f>ROUND(+E51*F51,4)</f>
        <v>0</v>
      </c>
    </row>
    <row r="52" spans="1:8" ht="13.5" thickBot="1" x14ac:dyDescent="0.25">
      <c r="A52" s="490" t="s">
        <v>42</v>
      </c>
      <c r="B52" s="506">
        <f>+B14</f>
        <v>2075467084.02</v>
      </c>
      <c r="C52" s="727">
        <f>+C51</f>
        <v>0.12640000000000001</v>
      </c>
      <c r="D52" s="496">
        <f>ROUND(+B52*C52,0)</f>
        <v>262339039</v>
      </c>
      <c r="E52" s="497">
        <f>ROUND(+D52/$D$53,4)</f>
        <v>0.52869999999999995</v>
      </c>
      <c r="F52" s="824">
        <f>ROUND(+G52/E52,4)</f>
        <v>6.6400000000000001E-2</v>
      </c>
      <c r="G52" s="499">
        <f>+G57-G48-G49-G50-G51</f>
        <v>3.5100000000000006E-2</v>
      </c>
    </row>
    <row r="53" spans="1:8" x14ac:dyDescent="0.2">
      <c r="B53" s="507">
        <f>SUM(B48:B52)</f>
        <v>3925857395.27</v>
      </c>
      <c r="D53" s="500">
        <f>SUM(D48:D52)</f>
        <v>496228375</v>
      </c>
      <c r="E53" s="501">
        <v>1</v>
      </c>
      <c r="F53" s="496"/>
      <c r="G53" s="497">
        <f>SUM(G48:G52)</f>
        <v>5.2900000000000003E-2</v>
      </c>
    </row>
    <row r="54" spans="1:8" x14ac:dyDescent="0.2">
      <c r="D54" s="496"/>
      <c r="E54" s="496"/>
      <c r="F54" s="508"/>
      <c r="G54" s="497"/>
    </row>
    <row r="55" spans="1:8" x14ac:dyDescent="0.2">
      <c r="D55" s="496"/>
      <c r="E55" s="496"/>
      <c r="F55" s="496"/>
      <c r="G55" s="496"/>
    </row>
    <row r="56" spans="1:8" x14ac:dyDescent="0.2">
      <c r="A56" s="715" t="s">
        <v>731</v>
      </c>
      <c r="D56" s="496"/>
      <c r="E56" s="496"/>
      <c r="F56" s="496"/>
      <c r="G56" s="720">
        <f>'Ex 3 - 2010'!F48</f>
        <v>26271059.879999995</v>
      </c>
      <c r="H56" s="509"/>
    </row>
    <row r="57" spans="1:8" x14ac:dyDescent="0.2">
      <c r="A57" s="490" t="s">
        <v>44</v>
      </c>
      <c r="D57" s="496"/>
      <c r="E57" s="496"/>
      <c r="F57" s="496"/>
      <c r="G57" s="497">
        <f>ROUND(+G56/D53,4)</f>
        <v>5.2900000000000003E-2</v>
      </c>
      <c r="H57" s="503">
        <f>+G53-G57</f>
        <v>0</v>
      </c>
    </row>
    <row r="58" spans="1:8" x14ac:dyDescent="0.2">
      <c r="D58" s="496"/>
      <c r="E58" s="496"/>
      <c r="F58" s="496"/>
      <c r="G58" s="496"/>
    </row>
    <row r="60" spans="1:8" ht="13.5" thickBot="1" x14ac:dyDescent="0.25">
      <c r="A60" s="504"/>
      <c r="B60" s="504"/>
      <c r="C60" s="504"/>
      <c r="D60" s="504"/>
      <c r="E60" s="504"/>
      <c r="F60" s="504"/>
      <c r="G60" s="504"/>
    </row>
  </sheetData>
  <mergeCells count="7">
    <mergeCell ref="A44:G44"/>
    <mergeCell ref="A1:G1"/>
    <mergeCell ref="A2:G2"/>
    <mergeCell ref="A3:G3"/>
    <mergeCell ref="A4:G4"/>
    <mergeCell ref="A6:G6"/>
    <mergeCell ref="A25:G25"/>
  </mergeCells>
  <printOptions horizontalCentered="1"/>
  <pageMargins left="0.75" right="0.75" top="1" bottom="1" header="0.25" footer="0.5"/>
  <pageSetup scale="68" orientation="portrait" blackAndWhite="1" r:id="rId1"/>
  <headerFooter alignWithMargins="0">
    <oddHeader xml:space="preserve">&amp;R&amp;"Times New Roman,Bold"&amp;14Attachment to Response to Question No. 38
Page &amp;P of &amp;N
Blake&amp;12
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3">
    <pageSetUpPr fitToPage="1"/>
  </sheetPr>
  <dimension ref="A1:W142"/>
  <sheetViews>
    <sheetView zoomScale="65" zoomScaleNormal="65" workbookViewId="0">
      <selection activeCell="E11" sqref="E11"/>
    </sheetView>
  </sheetViews>
  <sheetFormatPr defaultColWidth="9.7109375" defaultRowHeight="15" x14ac:dyDescent="0.2"/>
  <cols>
    <col min="1" max="1" width="11.42578125" style="316" customWidth="1"/>
    <col min="2" max="2" width="9.7109375" style="316"/>
    <col min="3" max="3" width="2.7109375" style="316" customWidth="1"/>
    <col min="4" max="4" width="41.5703125" style="316" customWidth="1"/>
    <col min="5" max="5" width="13.7109375" style="316" customWidth="1"/>
    <col min="6" max="6" width="1.7109375" style="316" customWidth="1"/>
    <col min="7" max="7" width="10.7109375" style="316" customWidth="1"/>
    <col min="8" max="8" width="1.7109375" style="316" customWidth="1"/>
    <col min="9" max="9" width="16.7109375" style="316" customWidth="1"/>
    <col min="10" max="10" width="1.7109375" style="316" customWidth="1"/>
    <col min="11" max="11" width="16.5703125" style="316" customWidth="1"/>
    <col min="12" max="12" width="3.140625" style="316" customWidth="1"/>
    <col min="13" max="13" width="14.7109375" style="316" customWidth="1"/>
    <col min="14" max="14" width="3.7109375" style="316" customWidth="1"/>
    <col min="15" max="15" width="10.7109375" style="316" customWidth="1"/>
    <col min="16" max="16" width="1.7109375" style="316" customWidth="1"/>
    <col min="17" max="17" width="15.85546875" style="316" customWidth="1"/>
    <col min="18" max="18" width="3.7109375" style="316" customWidth="1"/>
    <col min="19" max="19" width="15.7109375" style="316" customWidth="1"/>
    <col min="20" max="20" width="1.7109375" style="316" customWidth="1"/>
    <col min="21" max="21" width="2.7109375" style="316" customWidth="1"/>
    <col min="22" max="22" width="11.85546875" style="316" customWidth="1"/>
    <col min="23" max="23" width="4.7109375" style="316" customWidth="1"/>
    <col min="24" max="16384" width="9.7109375" style="316"/>
  </cols>
  <sheetData>
    <row r="1" spans="4:23" ht="15.75" x14ac:dyDescent="0.25">
      <c r="D1" s="314" t="s">
        <v>82</v>
      </c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4:23" ht="15.75" x14ac:dyDescent="0.25">
      <c r="D2" s="314" t="s">
        <v>341</v>
      </c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</row>
    <row r="3" spans="4:23" ht="18" x14ac:dyDescent="0.25">
      <c r="D3" s="317">
        <v>38352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</row>
    <row r="4" spans="4:23" x14ac:dyDescent="0.2">
      <c r="D4" s="318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</row>
    <row r="5" spans="4:23" x14ac:dyDescent="0.2"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</row>
    <row r="6" spans="4:23" ht="20.25" x14ac:dyDescent="0.3">
      <c r="D6" s="319" t="s">
        <v>342</v>
      </c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1"/>
    </row>
    <row r="7" spans="4:23" ht="20.25" x14ac:dyDescent="0.3">
      <c r="D7" s="322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4"/>
    </row>
    <row r="8" spans="4:23" x14ac:dyDescent="0.2">
      <c r="D8" s="325"/>
      <c r="E8" s="326"/>
      <c r="F8" s="326"/>
      <c r="G8" s="326"/>
      <c r="H8" s="326"/>
      <c r="I8" s="326"/>
      <c r="J8" s="326"/>
      <c r="K8" s="327" t="s">
        <v>343</v>
      </c>
      <c r="L8" s="327"/>
      <c r="M8" s="327"/>
      <c r="N8" s="327"/>
      <c r="O8" s="327"/>
      <c r="P8" s="327"/>
      <c r="Q8" s="327"/>
      <c r="R8" s="327"/>
      <c r="S8" s="327"/>
      <c r="T8" s="326"/>
      <c r="U8" s="326"/>
      <c r="V8" s="328"/>
      <c r="W8" s="324"/>
    </row>
    <row r="9" spans="4:23" x14ac:dyDescent="0.2">
      <c r="D9" s="325"/>
      <c r="E9" s="326"/>
      <c r="F9" s="326"/>
      <c r="G9" s="326"/>
      <c r="H9" s="326"/>
      <c r="I9" s="326"/>
      <c r="J9" s="326"/>
      <c r="K9" s="326"/>
      <c r="L9" s="326"/>
      <c r="M9" s="326" t="s">
        <v>344</v>
      </c>
      <c r="N9" s="326"/>
      <c r="O9" s="326"/>
      <c r="P9" s="326"/>
      <c r="Q9" s="328" t="s">
        <v>345</v>
      </c>
      <c r="R9" s="326"/>
      <c r="S9" s="326"/>
      <c r="T9" s="326"/>
      <c r="U9" s="326"/>
      <c r="V9" s="328" t="s">
        <v>346</v>
      </c>
      <c r="W9" s="329"/>
    </row>
    <row r="10" spans="4:23" x14ac:dyDescent="0.2">
      <c r="D10" s="325"/>
      <c r="E10" s="330" t="s">
        <v>347</v>
      </c>
      <c r="F10" s="328"/>
      <c r="G10" s="330" t="s">
        <v>36</v>
      </c>
      <c r="H10" s="328"/>
      <c r="I10" s="330" t="s">
        <v>348</v>
      </c>
      <c r="J10" s="328"/>
      <c r="K10" s="330" t="s">
        <v>349</v>
      </c>
      <c r="L10" s="326"/>
      <c r="M10" s="330" t="s">
        <v>350</v>
      </c>
      <c r="N10" s="326"/>
      <c r="O10" s="330" t="s">
        <v>351</v>
      </c>
      <c r="P10" s="326"/>
      <c r="Q10" s="330" t="s">
        <v>352</v>
      </c>
      <c r="R10" s="326"/>
      <c r="S10" s="330" t="s">
        <v>16</v>
      </c>
      <c r="T10" s="326"/>
      <c r="U10" s="326"/>
      <c r="V10" s="330" t="s">
        <v>353</v>
      </c>
      <c r="W10" s="329"/>
    </row>
    <row r="11" spans="4:23" x14ac:dyDescent="0.2">
      <c r="D11" s="331" t="s">
        <v>422</v>
      </c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9"/>
    </row>
    <row r="12" spans="4:23" x14ac:dyDescent="0.2">
      <c r="D12" s="325" t="s">
        <v>423</v>
      </c>
      <c r="E12" s="332">
        <v>39217</v>
      </c>
      <c r="F12" s="326"/>
      <c r="G12" s="195">
        <v>7.9200000000000007E-2</v>
      </c>
      <c r="H12" s="326"/>
      <c r="I12" s="333">
        <v>53000000</v>
      </c>
      <c r="J12" s="326"/>
      <c r="K12" s="333">
        <f>ROUND(G12*I12,0)</f>
        <v>4197600</v>
      </c>
      <c r="L12" s="326"/>
      <c r="M12" s="334">
        <f>3424*12</f>
        <v>41088</v>
      </c>
      <c r="N12" s="328"/>
      <c r="O12" s="335" t="s">
        <v>357</v>
      </c>
      <c r="P12" s="326"/>
      <c r="Q12" s="333">
        <f>17418*12</f>
        <v>209016</v>
      </c>
      <c r="R12" s="326"/>
      <c r="S12" s="333">
        <f>SUM(K12:R12)</f>
        <v>4447704</v>
      </c>
      <c r="T12" s="326"/>
      <c r="U12" s="326"/>
      <c r="V12" s="336">
        <f>ROUND(($S12/$I12)*100,2)</f>
        <v>8.39</v>
      </c>
      <c r="W12" s="329"/>
    </row>
    <row r="13" spans="4:23" x14ac:dyDescent="0.2">
      <c r="D13" s="325" t="s">
        <v>456</v>
      </c>
      <c r="E13" s="332">
        <v>45809</v>
      </c>
      <c r="F13" s="326"/>
      <c r="G13" s="195">
        <v>7.5499999999999998E-2</v>
      </c>
      <c r="H13" s="326"/>
      <c r="I13" s="333">
        <v>50000000</v>
      </c>
      <c r="J13" s="326"/>
      <c r="K13" s="333">
        <f>ROUND(G13*I13,0)</f>
        <v>3775000</v>
      </c>
      <c r="L13" s="326"/>
      <c r="M13" s="334">
        <f>1515*12</f>
        <v>18180</v>
      </c>
      <c r="N13" s="335"/>
      <c r="O13" s="335" t="s">
        <v>357</v>
      </c>
      <c r="P13" s="333"/>
      <c r="Q13" s="204">
        <v>0</v>
      </c>
      <c r="R13" s="333"/>
      <c r="S13" s="333">
        <f>SUM(K13:R13)</f>
        <v>3793180</v>
      </c>
      <c r="T13" s="326"/>
      <c r="U13" s="326"/>
      <c r="V13" s="336">
        <f>ROUND((S13/I13)*100,2)</f>
        <v>7.59</v>
      </c>
      <c r="W13" s="329"/>
    </row>
    <row r="14" spans="4:23" x14ac:dyDescent="0.2">
      <c r="D14" s="325" t="s">
        <v>450</v>
      </c>
      <c r="E14" s="332">
        <v>38732</v>
      </c>
      <c r="F14" s="326"/>
      <c r="G14" s="195">
        <v>5.9900000000000002E-2</v>
      </c>
      <c r="H14" s="326"/>
      <c r="I14" s="333">
        <v>36000000</v>
      </c>
      <c r="J14" s="326"/>
      <c r="K14" s="333">
        <f>ROUND(G14*I14,0)</f>
        <v>2156400</v>
      </c>
      <c r="L14" s="326"/>
      <c r="M14" s="334">
        <f>3188*12</f>
        <v>38256</v>
      </c>
      <c r="N14" s="335"/>
      <c r="O14" s="335" t="s">
        <v>357</v>
      </c>
      <c r="P14" s="333"/>
      <c r="Q14" s="333">
        <f>5118*12</f>
        <v>61416</v>
      </c>
      <c r="R14" s="333"/>
      <c r="S14" s="333">
        <f>SUM(K14:R14)</f>
        <v>2256072</v>
      </c>
      <c r="T14" s="326"/>
      <c r="U14" s="326"/>
      <c r="V14" s="336">
        <f>ROUND((S14/I14)*100,2)</f>
        <v>6.27</v>
      </c>
      <c r="W14" s="329"/>
    </row>
    <row r="15" spans="4:23" x14ac:dyDescent="0.2">
      <c r="D15" s="325"/>
      <c r="E15" s="332"/>
      <c r="F15" s="326"/>
      <c r="G15" s="195"/>
      <c r="H15" s="326"/>
      <c r="I15" s="333"/>
      <c r="J15" s="326"/>
      <c r="K15" s="333"/>
      <c r="L15" s="326"/>
      <c r="M15" s="334"/>
      <c r="N15" s="335"/>
      <c r="O15" s="335"/>
      <c r="P15" s="333"/>
      <c r="Q15" s="333"/>
      <c r="R15" s="333"/>
      <c r="S15" s="333"/>
      <c r="T15" s="326"/>
      <c r="U15" s="326"/>
      <c r="V15" s="337"/>
      <c r="W15" s="329"/>
    </row>
    <row r="16" spans="4:23" x14ac:dyDescent="0.2">
      <c r="D16" s="331" t="s">
        <v>424</v>
      </c>
      <c r="E16" s="332"/>
      <c r="F16" s="326"/>
      <c r="G16" s="195"/>
      <c r="H16" s="326"/>
      <c r="I16" s="333"/>
      <c r="J16" s="326"/>
      <c r="K16" s="333"/>
      <c r="L16" s="326"/>
      <c r="M16" s="334"/>
      <c r="N16" s="335"/>
      <c r="O16" s="335"/>
      <c r="P16" s="333"/>
      <c r="Q16" s="333"/>
      <c r="R16" s="333"/>
      <c r="S16" s="333"/>
      <c r="T16" s="326"/>
      <c r="U16" s="326"/>
      <c r="V16" s="336"/>
      <c r="W16" s="329"/>
    </row>
    <row r="17" spans="4:23" x14ac:dyDescent="0.2">
      <c r="D17" s="331" t="s">
        <v>425</v>
      </c>
      <c r="E17" s="332">
        <v>45597</v>
      </c>
      <c r="F17" s="326"/>
      <c r="G17" s="338">
        <v>1.7309999999999999E-2</v>
      </c>
      <c r="H17" s="326" t="s">
        <v>356</v>
      </c>
      <c r="I17" s="333">
        <v>54000000</v>
      </c>
      <c r="J17" s="326"/>
      <c r="K17" s="333">
        <f t="shared" ref="K17:K24" si="0">ROUND(G17*I17,0)</f>
        <v>934740</v>
      </c>
      <c r="L17" s="326"/>
      <c r="M17" s="334">
        <f>1706*12</f>
        <v>20472</v>
      </c>
      <c r="N17" s="339"/>
      <c r="O17" s="335" t="s">
        <v>357</v>
      </c>
      <c r="P17" s="326"/>
      <c r="Q17" s="204">
        <v>0</v>
      </c>
      <c r="R17" s="340"/>
      <c r="S17" s="333">
        <f t="shared" ref="S17:S24" si="1">SUM(K17:R17)</f>
        <v>955212</v>
      </c>
      <c r="T17" s="326"/>
      <c r="U17" s="326"/>
      <c r="V17" s="336">
        <f t="shared" ref="V17:V24" si="2">ROUND((S17/I17)*100,2)</f>
        <v>1.77</v>
      </c>
      <c r="W17" s="329"/>
    </row>
    <row r="18" spans="4:23" x14ac:dyDescent="0.2">
      <c r="D18" s="331" t="s">
        <v>355</v>
      </c>
      <c r="E18" s="332">
        <v>45047</v>
      </c>
      <c r="F18" s="326"/>
      <c r="G18" s="338">
        <v>1.7500000000000002E-2</v>
      </c>
      <c r="H18" s="326" t="s">
        <v>356</v>
      </c>
      <c r="I18" s="333">
        <v>12900000</v>
      </c>
      <c r="J18" s="326"/>
      <c r="K18" s="333">
        <f t="shared" si="0"/>
        <v>225750</v>
      </c>
      <c r="L18" s="326"/>
      <c r="M18" s="334">
        <f>1441*12</f>
        <v>17292</v>
      </c>
      <c r="N18" s="335"/>
      <c r="O18" s="335" t="s">
        <v>357</v>
      </c>
      <c r="P18" s="333"/>
      <c r="Q18" s="333">
        <f>1399*12</f>
        <v>16788</v>
      </c>
      <c r="R18" s="333"/>
      <c r="S18" s="333">
        <f t="shared" si="1"/>
        <v>259830</v>
      </c>
      <c r="T18" s="326"/>
      <c r="U18" s="326"/>
      <c r="V18" s="336">
        <f t="shared" si="2"/>
        <v>2.0099999999999998</v>
      </c>
      <c r="W18" s="329"/>
    </row>
    <row r="19" spans="4:23" x14ac:dyDescent="0.2">
      <c r="D19" s="331" t="s">
        <v>358</v>
      </c>
      <c r="E19" s="332">
        <v>11720</v>
      </c>
      <c r="F19" s="326"/>
      <c r="G19" s="338">
        <v>1.9300000000000001E-2</v>
      </c>
      <c r="H19" s="326" t="s">
        <v>356</v>
      </c>
      <c r="I19" s="333">
        <v>20930000</v>
      </c>
      <c r="J19" s="326"/>
      <c r="K19" s="333">
        <f t="shared" si="0"/>
        <v>403949</v>
      </c>
      <c r="L19" s="326"/>
      <c r="M19" s="334">
        <f>342*12</f>
        <v>4104</v>
      </c>
      <c r="N19" s="335"/>
      <c r="O19" s="335" t="s">
        <v>357</v>
      </c>
      <c r="P19" s="333"/>
      <c r="Q19" s="333">
        <f>3025*12</f>
        <v>36300</v>
      </c>
      <c r="R19" s="333"/>
      <c r="S19" s="333">
        <f t="shared" si="1"/>
        <v>444353</v>
      </c>
      <c r="T19" s="326"/>
      <c r="U19" s="326"/>
      <c r="V19" s="336">
        <f t="shared" si="2"/>
        <v>2.12</v>
      </c>
      <c r="W19" s="329"/>
    </row>
    <row r="20" spans="4:23" x14ac:dyDescent="0.2">
      <c r="D20" s="331" t="s">
        <v>359</v>
      </c>
      <c r="E20" s="332">
        <v>11720</v>
      </c>
      <c r="F20" s="326"/>
      <c r="G20" s="338">
        <v>1.9300000000000001E-2</v>
      </c>
      <c r="H20" s="326" t="s">
        <v>356</v>
      </c>
      <c r="I20" s="333">
        <v>2400000</v>
      </c>
      <c r="J20" s="326"/>
      <c r="K20" s="333">
        <f t="shared" si="0"/>
        <v>46320</v>
      </c>
      <c r="L20" s="326"/>
      <c r="M20" s="334">
        <f>238*12</f>
        <v>2856</v>
      </c>
      <c r="N20" s="335"/>
      <c r="O20" s="335" t="s">
        <v>357</v>
      </c>
      <c r="P20" s="333"/>
      <c r="Q20" s="333">
        <f>346*12</f>
        <v>4152</v>
      </c>
      <c r="R20" s="333"/>
      <c r="S20" s="333">
        <f t="shared" si="1"/>
        <v>53328</v>
      </c>
      <c r="T20" s="326"/>
      <c r="U20" s="326"/>
      <c r="V20" s="336">
        <f t="shared" si="2"/>
        <v>2.2200000000000002</v>
      </c>
      <c r="W20" s="329"/>
    </row>
    <row r="21" spans="4:23" x14ac:dyDescent="0.2">
      <c r="D21" s="331" t="s">
        <v>360</v>
      </c>
      <c r="E21" s="332">
        <v>11720</v>
      </c>
      <c r="F21" s="326"/>
      <c r="G21" s="338">
        <v>1.9300000000000001E-2</v>
      </c>
      <c r="H21" s="326" t="s">
        <v>356</v>
      </c>
      <c r="I21" s="333">
        <v>2400000</v>
      </c>
      <c r="J21" s="326"/>
      <c r="K21" s="333">
        <f t="shared" si="0"/>
        <v>46320</v>
      </c>
      <c r="L21" s="326"/>
      <c r="M21" s="334">
        <f>267*12</f>
        <v>3204</v>
      </c>
      <c r="N21" s="335"/>
      <c r="O21" s="335" t="s">
        <v>357</v>
      </c>
      <c r="P21" s="333"/>
      <c r="Q21" s="333">
        <f>1075*12</f>
        <v>12900</v>
      </c>
      <c r="R21" s="333"/>
      <c r="S21" s="333">
        <f t="shared" si="1"/>
        <v>62424</v>
      </c>
      <c r="T21" s="326"/>
      <c r="U21" s="326"/>
      <c r="V21" s="336">
        <f t="shared" si="2"/>
        <v>2.6</v>
      </c>
      <c r="W21" s="329"/>
    </row>
    <row r="22" spans="4:23" x14ac:dyDescent="0.2">
      <c r="D22" s="331" t="s">
        <v>361</v>
      </c>
      <c r="E22" s="332">
        <v>11720</v>
      </c>
      <c r="F22" s="326"/>
      <c r="G22" s="338">
        <v>1.9300000000000001E-2</v>
      </c>
      <c r="H22" s="326" t="s">
        <v>356</v>
      </c>
      <c r="I22" s="333">
        <v>7400000</v>
      </c>
      <c r="J22" s="326"/>
      <c r="K22" s="333">
        <f t="shared" si="0"/>
        <v>142820</v>
      </c>
      <c r="L22" s="326"/>
      <c r="M22" s="334">
        <f>264*12</f>
        <v>3168</v>
      </c>
      <c r="N22" s="335"/>
      <c r="O22" s="335" t="s">
        <v>357</v>
      </c>
      <c r="P22" s="333"/>
      <c r="Q22" s="333">
        <f>1062*12</f>
        <v>12744</v>
      </c>
      <c r="R22" s="333"/>
      <c r="S22" s="333">
        <f t="shared" si="1"/>
        <v>158732</v>
      </c>
      <c r="T22" s="326"/>
      <c r="U22" s="326"/>
      <c r="V22" s="336">
        <f t="shared" si="2"/>
        <v>2.15</v>
      </c>
      <c r="W22" s="329"/>
    </row>
    <row r="23" spans="4:23" x14ac:dyDescent="0.2">
      <c r="D23" s="331" t="s">
        <v>362</v>
      </c>
      <c r="E23" s="332">
        <v>11963</v>
      </c>
      <c r="F23" s="326"/>
      <c r="G23" s="338">
        <v>1.736E-2</v>
      </c>
      <c r="H23" s="326" t="s">
        <v>356</v>
      </c>
      <c r="I23" s="333">
        <v>96000000</v>
      </c>
      <c r="J23" s="326"/>
      <c r="K23" s="333">
        <f t="shared" si="0"/>
        <v>1666560</v>
      </c>
      <c r="L23" s="326"/>
      <c r="M23" s="334">
        <f>6054*12</f>
        <v>72648</v>
      </c>
      <c r="N23" s="335"/>
      <c r="O23" s="335"/>
      <c r="P23" s="333"/>
      <c r="Q23" s="333">
        <f>15502*12</f>
        <v>186024</v>
      </c>
      <c r="R23" s="333"/>
      <c r="S23" s="333">
        <f t="shared" si="1"/>
        <v>1925232</v>
      </c>
      <c r="T23" s="326"/>
      <c r="U23" s="326"/>
      <c r="V23" s="336">
        <f t="shared" si="2"/>
        <v>2.0099999999999998</v>
      </c>
      <c r="W23" s="329"/>
    </row>
    <row r="24" spans="4:23" x14ac:dyDescent="0.2">
      <c r="D24" s="331" t="s">
        <v>363</v>
      </c>
      <c r="E24" s="332">
        <v>49218</v>
      </c>
      <c r="F24" s="326"/>
      <c r="G24" s="338">
        <v>1.7770000000000001E-2</v>
      </c>
      <c r="H24" s="326" t="s">
        <v>356</v>
      </c>
      <c r="I24" s="333">
        <v>50000000</v>
      </c>
      <c r="J24" s="326"/>
      <c r="K24" s="333">
        <f t="shared" si="0"/>
        <v>888500</v>
      </c>
      <c r="L24" s="326"/>
      <c r="M24" s="334">
        <f>3113*12</f>
        <v>37356</v>
      </c>
      <c r="N24" s="335"/>
      <c r="O24" s="335"/>
      <c r="P24" s="333"/>
      <c r="Q24" s="333">
        <f>4495*12</f>
        <v>53940</v>
      </c>
      <c r="R24" s="333"/>
      <c r="S24" s="333">
        <f t="shared" si="1"/>
        <v>979796</v>
      </c>
      <c r="T24" s="326"/>
      <c r="U24" s="326"/>
      <c r="V24" s="336">
        <f t="shared" si="2"/>
        <v>1.96</v>
      </c>
      <c r="W24" s="329"/>
    </row>
    <row r="25" spans="4:23" x14ac:dyDescent="0.2">
      <c r="D25" s="331"/>
      <c r="E25" s="332"/>
      <c r="F25" s="326"/>
      <c r="G25" s="341"/>
      <c r="H25" s="326"/>
      <c r="I25" s="333"/>
      <c r="J25" s="326"/>
      <c r="K25" s="333"/>
      <c r="L25" s="326"/>
      <c r="M25" s="335"/>
      <c r="N25" s="335"/>
      <c r="O25" s="335"/>
      <c r="P25" s="333"/>
      <c r="Q25" s="333"/>
      <c r="R25" s="333"/>
      <c r="S25" s="333"/>
      <c r="T25" s="326"/>
      <c r="U25" s="326"/>
      <c r="V25" s="336"/>
      <c r="W25" s="329"/>
    </row>
    <row r="26" spans="4:23" x14ac:dyDescent="0.2">
      <c r="D26" s="331" t="s">
        <v>371</v>
      </c>
      <c r="E26" s="326"/>
      <c r="F26" s="326"/>
      <c r="G26" s="341"/>
      <c r="H26" s="326"/>
      <c r="I26" s="342" t="s">
        <v>372</v>
      </c>
      <c r="J26" s="326"/>
      <c r="K26" s="342" t="s">
        <v>372</v>
      </c>
      <c r="L26" s="326"/>
      <c r="M26" s="335" t="s">
        <v>357</v>
      </c>
      <c r="N26" s="335"/>
      <c r="O26" s="335" t="s">
        <v>357</v>
      </c>
      <c r="P26" s="333"/>
      <c r="Q26" s="333">
        <f>+(8838+6601)*12</f>
        <v>185268</v>
      </c>
      <c r="R26" s="343">
        <v>2</v>
      </c>
      <c r="S26" s="333">
        <f>SUM(K26:R26)</f>
        <v>185270</v>
      </c>
      <c r="T26" s="326"/>
      <c r="U26" s="326"/>
      <c r="V26" s="344" t="s">
        <v>357</v>
      </c>
      <c r="W26" s="329"/>
    </row>
    <row r="27" spans="4:23" x14ac:dyDescent="0.2">
      <c r="D27" s="331"/>
      <c r="E27" s="326"/>
      <c r="F27" s="326"/>
      <c r="G27" s="341"/>
      <c r="H27" s="326"/>
      <c r="I27" s="342"/>
      <c r="J27" s="326"/>
      <c r="K27" s="342"/>
      <c r="L27" s="326"/>
      <c r="M27" s="335"/>
      <c r="N27" s="335"/>
      <c r="O27" s="335"/>
      <c r="P27" s="333"/>
      <c r="Q27" s="333"/>
      <c r="R27" s="343"/>
      <c r="S27" s="333"/>
      <c r="T27" s="326"/>
      <c r="U27" s="326"/>
      <c r="V27" s="344"/>
      <c r="W27" s="329"/>
    </row>
    <row r="28" spans="4:23" x14ac:dyDescent="0.2">
      <c r="D28" s="331" t="s">
        <v>426</v>
      </c>
      <c r="E28" s="345"/>
      <c r="F28" s="326"/>
      <c r="G28" s="326"/>
      <c r="H28" s="326"/>
      <c r="I28" s="333"/>
      <c r="J28" s="326"/>
      <c r="K28" s="297"/>
      <c r="L28" s="343"/>
      <c r="M28" s="335"/>
      <c r="N28" s="328"/>
      <c r="O28" s="335"/>
      <c r="P28" s="326"/>
      <c r="Q28" s="346"/>
      <c r="R28" s="326"/>
      <c r="S28" s="333"/>
      <c r="T28" s="326"/>
      <c r="U28" s="347"/>
      <c r="V28" s="348"/>
      <c r="W28" s="329"/>
    </row>
    <row r="29" spans="4:23" x14ac:dyDescent="0.2">
      <c r="D29" s="331" t="s">
        <v>427</v>
      </c>
      <c r="E29" s="332">
        <v>39217</v>
      </c>
      <c r="F29" s="326"/>
      <c r="G29" s="328">
        <v>1</v>
      </c>
      <c r="H29" s="326"/>
      <c r="I29" s="333"/>
      <c r="J29" s="326"/>
      <c r="K29" s="301">
        <f>-150814.44*12</f>
        <v>-1809773.28</v>
      </c>
      <c r="L29" s="343"/>
      <c r="M29" s="335"/>
      <c r="N29" s="328"/>
      <c r="O29" s="335"/>
      <c r="P29" s="326"/>
      <c r="Q29" s="346"/>
      <c r="R29" s="326"/>
      <c r="S29" s="333">
        <f>+K29</f>
        <v>-1809773.28</v>
      </c>
      <c r="T29" s="326"/>
      <c r="U29" s="347"/>
      <c r="V29" s="336"/>
      <c r="W29" s="329"/>
    </row>
    <row r="30" spans="4:23" ht="16.5" customHeight="1" x14ac:dyDescent="0.2">
      <c r="D30" s="331" t="s">
        <v>457</v>
      </c>
      <c r="E30" s="332">
        <v>45809</v>
      </c>
      <c r="F30" s="326"/>
      <c r="G30" s="328">
        <v>1</v>
      </c>
      <c r="H30" s="326"/>
      <c r="I30" s="333"/>
      <c r="J30" s="326"/>
      <c r="K30" s="301">
        <f>-221583.33*12</f>
        <v>-2658999.96</v>
      </c>
      <c r="L30" s="343"/>
      <c r="M30" s="335"/>
      <c r="N30" s="328"/>
      <c r="O30" s="335"/>
      <c r="P30" s="326"/>
      <c r="Q30" s="346"/>
      <c r="R30" s="326"/>
      <c r="S30" s="333">
        <f>+K30</f>
        <v>-2658999.96</v>
      </c>
      <c r="T30" s="326"/>
      <c r="U30" s="347"/>
      <c r="V30" s="336"/>
      <c r="W30" s="329"/>
    </row>
    <row r="31" spans="4:23" ht="16.5" customHeight="1" x14ac:dyDescent="0.2">
      <c r="D31" s="331"/>
      <c r="E31" s="332"/>
      <c r="F31" s="326"/>
      <c r="G31" s="328"/>
      <c r="H31" s="326"/>
      <c r="I31" s="333"/>
      <c r="J31" s="326"/>
      <c r="K31" s="276"/>
      <c r="L31" s="343"/>
      <c r="M31" s="335"/>
      <c r="N31" s="328"/>
      <c r="O31" s="335"/>
      <c r="P31" s="326"/>
      <c r="Q31" s="346"/>
      <c r="R31" s="326"/>
      <c r="S31" s="333"/>
      <c r="T31" s="326"/>
      <c r="U31" s="347"/>
      <c r="V31" s="336"/>
      <c r="W31" s="329"/>
    </row>
    <row r="32" spans="4:23" ht="16.5" customHeight="1" x14ac:dyDescent="0.2">
      <c r="D32" s="331" t="s">
        <v>428</v>
      </c>
      <c r="E32" s="332">
        <v>39217</v>
      </c>
      <c r="F32" s="326"/>
      <c r="G32" s="328"/>
      <c r="H32" s="326"/>
      <c r="I32" s="349">
        <v>5088000</v>
      </c>
      <c r="J32" s="326"/>
      <c r="K32" s="276"/>
      <c r="L32" s="343"/>
      <c r="M32" s="335"/>
      <c r="N32" s="328"/>
      <c r="O32" s="335"/>
      <c r="P32" s="326"/>
      <c r="Q32" s="346"/>
      <c r="R32" s="326"/>
      <c r="S32" s="333"/>
      <c r="T32" s="326"/>
      <c r="U32" s="347"/>
      <c r="V32" s="336"/>
      <c r="W32" s="329"/>
    </row>
    <row r="33" spans="4:23" ht="16.5" customHeight="1" x14ac:dyDescent="0.2">
      <c r="D33" s="331" t="s">
        <v>458</v>
      </c>
      <c r="E33" s="332">
        <v>45809</v>
      </c>
      <c r="F33" s="326"/>
      <c r="G33" s="328"/>
      <c r="H33" s="326"/>
      <c r="I33" s="349">
        <v>3092817</v>
      </c>
      <c r="J33" s="326"/>
      <c r="K33" s="276"/>
      <c r="L33" s="343"/>
      <c r="M33" s="335"/>
      <c r="N33" s="328"/>
      <c r="O33" s="335"/>
      <c r="P33" s="326"/>
      <c r="Q33" s="346"/>
      <c r="R33" s="326"/>
      <c r="S33" s="333"/>
      <c r="T33" s="326"/>
      <c r="U33" s="347"/>
      <c r="V33" s="336"/>
      <c r="W33" s="329"/>
    </row>
    <row r="34" spans="4:23" ht="16.5" customHeight="1" x14ac:dyDescent="0.2">
      <c r="D34" s="331"/>
      <c r="E34" s="332"/>
      <c r="F34" s="326"/>
      <c r="G34" s="328"/>
      <c r="H34" s="326"/>
      <c r="I34" s="333"/>
      <c r="J34" s="326"/>
      <c r="K34" s="276"/>
      <c r="L34" s="343"/>
      <c r="M34" s="335"/>
      <c r="N34" s="328"/>
      <c r="O34" s="335"/>
      <c r="P34" s="326"/>
      <c r="Q34" s="346"/>
      <c r="R34" s="326"/>
      <c r="S34" s="333"/>
      <c r="T34" s="326"/>
      <c r="U34" s="347"/>
      <c r="V34" s="336"/>
      <c r="W34" s="329"/>
    </row>
    <row r="35" spans="4:23" ht="15.75" customHeight="1" x14ac:dyDescent="0.2">
      <c r="D35" s="325" t="s">
        <v>374</v>
      </c>
      <c r="E35" s="332">
        <v>41394</v>
      </c>
      <c r="F35" s="326"/>
      <c r="G35" s="350">
        <v>4.5499999999999999E-2</v>
      </c>
      <c r="H35" s="326"/>
      <c r="I35" s="333">
        <v>100000000</v>
      </c>
      <c r="J35" s="326"/>
      <c r="K35" s="333">
        <f>ROUND(G35*I35,0)</f>
        <v>4550000</v>
      </c>
      <c r="L35" s="326"/>
      <c r="M35" s="217">
        <v>0</v>
      </c>
      <c r="N35" s="217"/>
      <c r="O35" s="217">
        <v>0</v>
      </c>
      <c r="P35" s="217"/>
      <c r="Q35" s="217">
        <v>0</v>
      </c>
      <c r="R35" s="326"/>
      <c r="S35" s="333">
        <f>SUM(K35,M35,Q35)</f>
        <v>4550000</v>
      </c>
      <c r="T35" s="326"/>
      <c r="U35" s="326"/>
      <c r="V35" s="218">
        <f>K35/I35*100</f>
        <v>4.55</v>
      </c>
      <c r="W35" s="329"/>
    </row>
    <row r="36" spans="4:23" ht="15.75" customHeight="1" x14ac:dyDescent="0.2">
      <c r="D36" s="325" t="s">
        <v>374</v>
      </c>
      <c r="E36" s="332">
        <v>41501</v>
      </c>
      <c r="F36" s="326"/>
      <c r="G36" s="350">
        <v>5.3100000000000001E-2</v>
      </c>
      <c r="H36" s="326"/>
      <c r="I36" s="333">
        <v>75000000</v>
      </c>
      <c r="J36" s="326"/>
      <c r="K36" s="333">
        <f>ROUND(G36*I36,0)</f>
        <v>3982500</v>
      </c>
      <c r="L36" s="326"/>
      <c r="M36" s="217">
        <v>0</v>
      </c>
      <c r="N36" s="217"/>
      <c r="O36" s="217">
        <v>0</v>
      </c>
      <c r="P36" s="217"/>
      <c r="Q36" s="217">
        <v>0</v>
      </c>
      <c r="R36" s="326"/>
      <c r="S36" s="333">
        <f>SUM(K36,M36,Q36)</f>
        <v>3982500</v>
      </c>
      <c r="T36" s="326"/>
      <c r="U36" s="326"/>
      <c r="V36" s="218">
        <f>K36/I36*100</f>
        <v>5.3100000000000005</v>
      </c>
      <c r="W36" s="329"/>
    </row>
    <row r="37" spans="4:23" ht="15.75" customHeight="1" x14ac:dyDescent="0.2">
      <c r="D37" s="325" t="s">
        <v>374</v>
      </c>
      <c r="E37" s="332">
        <v>40506</v>
      </c>
      <c r="F37" s="326"/>
      <c r="G37" s="350">
        <v>4.24E-2</v>
      </c>
      <c r="H37" s="326"/>
      <c r="I37" s="333">
        <v>33000000</v>
      </c>
      <c r="J37" s="326"/>
      <c r="K37" s="333">
        <f>ROUND(G37*I37,0)</f>
        <v>1399200</v>
      </c>
      <c r="L37" s="326"/>
      <c r="M37" s="217">
        <v>0</v>
      </c>
      <c r="N37" s="217"/>
      <c r="O37" s="217">
        <v>0</v>
      </c>
      <c r="P37" s="217"/>
      <c r="Q37" s="217">
        <v>0</v>
      </c>
      <c r="R37" s="326"/>
      <c r="S37" s="333">
        <f>SUM(K37,M37,Q37)</f>
        <v>1399200</v>
      </c>
      <c r="T37" s="326"/>
      <c r="U37" s="326"/>
      <c r="V37" s="218">
        <f>K37/I37*100</f>
        <v>4.24</v>
      </c>
      <c r="W37" s="329"/>
    </row>
    <row r="38" spans="4:23" ht="15.75" customHeight="1" x14ac:dyDescent="0.2">
      <c r="D38" s="325" t="s">
        <v>374</v>
      </c>
      <c r="E38" s="332">
        <v>38705</v>
      </c>
      <c r="F38" s="326"/>
      <c r="G38" s="350">
        <v>2.29E-2</v>
      </c>
      <c r="H38" s="326"/>
      <c r="I38" s="333">
        <v>75000000</v>
      </c>
      <c r="J38" s="326"/>
      <c r="K38" s="333">
        <f>ROUND(G38*I38,0)</f>
        <v>1717500</v>
      </c>
      <c r="L38" s="326"/>
      <c r="M38" s="217">
        <v>0</v>
      </c>
      <c r="N38" s="217"/>
      <c r="O38" s="217">
        <v>0</v>
      </c>
      <c r="P38" s="217"/>
      <c r="Q38" s="217">
        <v>0</v>
      </c>
      <c r="R38" s="326"/>
      <c r="S38" s="333">
        <f>SUM(K38,M38,Q38)</f>
        <v>1717500</v>
      </c>
      <c r="T38" s="326"/>
      <c r="U38" s="326"/>
      <c r="V38" s="218">
        <f>K38/I38*100</f>
        <v>2.29</v>
      </c>
      <c r="W38" s="329"/>
    </row>
    <row r="39" spans="4:23" ht="15.75" customHeight="1" x14ac:dyDescent="0.2">
      <c r="D39" s="325" t="s">
        <v>374</v>
      </c>
      <c r="E39" s="332">
        <v>40924</v>
      </c>
      <c r="F39" s="326"/>
      <c r="G39" s="350">
        <v>4.3900000000000002E-2</v>
      </c>
      <c r="H39" s="326"/>
      <c r="I39" s="351">
        <v>50000000</v>
      </c>
      <c r="J39" s="326"/>
      <c r="K39" s="351">
        <f>ROUND(G39*I39,0)</f>
        <v>2195000</v>
      </c>
      <c r="L39" s="326"/>
      <c r="M39" s="220">
        <v>0</v>
      </c>
      <c r="N39" s="217"/>
      <c r="O39" s="220">
        <v>0</v>
      </c>
      <c r="P39" s="217"/>
      <c r="Q39" s="220">
        <v>0</v>
      </c>
      <c r="R39" s="326"/>
      <c r="S39" s="351">
        <f>SUM(K39,M39,Q39)</f>
        <v>2195000</v>
      </c>
      <c r="T39" s="326"/>
      <c r="U39" s="326"/>
      <c r="V39" s="218">
        <f>K39/I39*100</f>
        <v>4.3900000000000006</v>
      </c>
      <c r="W39" s="329"/>
    </row>
    <row r="40" spans="4:23" ht="15.75" thickBot="1" x14ac:dyDescent="0.25">
      <c r="D40" s="325"/>
      <c r="E40" s="326"/>
      <c r="F40" s="326"/>
      <c r="G40" s="341"/>
      <c r="H40" s="326"/>
      <c r="I40" s="333"/>
      <c r="J40" s="326"/>
      <c r="K40" s="333"/>
      <c r="L40" s="326"/>
      <c r="M40" s="335"/>
      <c r="N40" s="335"/>
      <c r="O40" s="335"/>
      <c r="P40" s="333"/>
      <c r="Q40" s="333"/>
      <c r="R40" s="333"/>
      <c r="S40" s="333"/>
      <c r="T40" s="326"/>
      <c r="U40" s="326"/>
      <c r="V40" s="337"/>
      <c r="W40" s="329"/>
    </row>
    <row r="41" spans="4:23" ht="18.75" thickBot="1" x14ac:dyDescent="0.3">
      <c r="D41" s="325"/>
      <c r="E41" s="326"/>
      <c r="F41" s="326"/>
      <c r="G41" s="352" t="s">
        <v>16</v>
      </c>
      <c r="H41" s="326"/>
      <c r="I41" s="353">
        <f>SUM(I12:I39)</f>
        <v>726210817</v>
      </c>
      <c r="J41" s="326"/>
      <c r="K41" s="353">
        <f>SUM(K12:K39)</f>
        <v>23859385.760000002</v>
      </c>
      <c r="L41" s="326"/>
      <c r="M41" s="354">
        <f>SUM(M12:M39)</f>
        <v>258624</v>
      </c>
      <c r="N41" s="326"/>
      <c r="O41" s="354">
        <f>SUM(O12:O39)</f>
        <v>0</v>
      </c>
      <c r="P41" s="333"/>
      <c r="Q41" s="353">
        <f>SUM(Q12:Q39)</f>
        <v>778548</v>
      </c>
      <c r="R41" s="333"/>
      <c r="S41" s="353">
        <f>SUM(S12:S39)</f>
        <v>24896559.760000002</v>
      </c>
      <c r="T41" s="326"/>
      <c r="U41" s="326"/>
      <c r="V41" s="213">
        <f>+S41/I41</f>
        <v>3.4282826938393018E-2</v>
      </c>
      <c r="W41" s="329"/>
    </row>
    <row r="42" spans="4:23" ht="16.5" thickTop="1" x14ac:dyDescent="0.25">
      <c r="D42" s="355"/>
      <c r="E42" s="356"/>
      <c r="F42" s="356"/>
      <c r="G42" s="357"/>
      <c r="H42" s="356"/>
      <c r="I42" s="351"/>
      <c r="J42" s="356"/>
      <c r="K42" s="351"/>
      <c r="L42" s="356"/>
      <c r="M42" s="351"/>
      <c r="N42" s="351"/>
      <c r="O42" s="351"/>
      <c r="P42" s="351"/>
      <c r="Q42" s="351"/>
      <c r="R42" s="351"/>
      <c r="S42" s="351"/>
      <c r="T42" s="356"/>
      <c r="U42" s="356"/>
      <c r="V42" s="358"/>
      <c r="W42" s="359"/>
    </row>
    <row r="43" spans="4:23" ht="15.75" x14ac:dyDescent="0.25">
      <c r="G43" s="360"/>
      <c r="I43" s="361"/>
      <c r="K43" s="361"/>
      <c r="M43" s="361"/>
      <c r="N43" s="361"/>
      <c r="O43" s="361"/>
      <c r="P43" s="361"/>
      <c r="Q43" s="361"/>
      <c r="R43" s="361"/>
      <c r="S43" s="361"/>
      <c r="V43" s="362"/>
    </row>
    <row r="44" spans="4:23" ht="15.75" x14ac:dyDescent="0.25">
      <c r="G44" s="360"/>
      <c r="I44" s="361">
        <f>SUM(I35:I39)</f>
        <v>333000000</v>
      </c>
      <c r="K44" s="361"/>
      <c r="M44" s="361"/>
      <c r="N44" s="361"/>
      <c r="O44" s="361"/>
      <c r="P44" s="361"/>
      <c r="Q44" s="361"/>
      <c r="R44" s="361"/>
      <c r="S44" s="361"/>
      <c r="V44" s="362"/>
    </row>
    <row r="45" spans="4:23" ht="20.25" x14ac:dyDescent="0.3">
      <c r="D45" s="319" t="s">
        <v>459</v>
      </c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1"/>
    </row>
    <row r="46" spans="4:23" x14ac:dyDescent="0.2">
      <c r="D46" s="325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9"/>
    </row>
    <row r="47" spans="4:23" x14ac:dyDescent="0.2">
      <c r="D47" s="325"/>
      <c r="E47" s="326"/>
      <c r="F47" s="326"/>
      <c r="G47" s="326"/>
      <c r="H47" s="326"/>
      <c r="I47" s="326"/>
      <c r="J47" s="326"/>
      <c r="K47" s="327" t="s">
        <v>343</v>
      </c>
      <c r="L47" s="327"/>
      <c r="M47" s="327"/>
      <c r="N47" s="327"/>
      <c r="O47" s="327"/>
      <c r="P47" s="327"/>
      <c r="Q47" s="327"/>
      <c r="R47" s="327"/>
      <c r="S47" s="327"/>
      <c r="T47" s="326"/>
      <c r="U47" s="326"/>
      <c r="V47" s="326"/>
      <c r="W47" s="329"/>
    </row>
    <row r="48" spans="4:23" x14ac:dyDescent="0.2">
      <c r="D48" s="363"/>
      <c r="E48" s="364"/>
      <c r="F48" s="364"/>
      <c r="G48" s="326"/>
      <c r="H48" s="326"/>
      <c r="I48" s="326"/>
      <c r="J48" s="326"/>
      <c r="K48" s="326"/>
      <c r="L48" s="326"/>
      <c r="M48" s="328" t="s">
        <v>460</v>
      </c>
      <c r="N48" s="326"/>
      <c r="O48" s="326"/>
      <c r="P48" s="326"/>
      <c r="Q48" s="328" t="s">
        <v>461</v>
      </c>
      <c r="R48" s="326"/>
      <c r="S48" s="326"/>
      <c r="T48" s="326"/>
      <c r="U48" s="323" t="s">
        <v>346</v>
      </c>
      <c r="V48" s="323"/>
      <c r="W48" s="324"/>
    </row>
    <row r="49" spans="4:23" x14ac:dyDescent="0.2">
      <c r="D49" s="363"/>
      <c r="E49" s="364"/>
      <c r="F49" s="365"/>
      <c r="G49" s="330" t="s">
        <v>36</v>
      </c>
      <c r="H49" s="366"/>
      <c r="I49" s="330" t="s">
        <v>348</v>
      </c>
      <c r="J49" s="366"/>
      <c r="K49" s="330" t="s">
        <v>378</v>
      </c>
      <c r="L49" s="366"/>
      <c r="M49" s="330" t="s">
        <v>462</v>
      </c>
      <c r="N49" s="366"/>
      <c r="O49" s="330" t="s">
        <v>463</v>
      </c>
      <c r="P49" s="366"/>
      <c r="Q49" s="330" t="s">
        <v>348</v>
      </c>
      <c r="R49" s="366"/>
      <c r="S49" s="330" t="s">
        <v>464</v>
      </c>
      <c r="T49" s="366"/>
      <c r="U49" s="367" t="s">
        <v>31</v>
      </c>
      <c r="V49" s="367"/>
      <c r="W49" s="368"/>
    </row>
    <row r="50" spans="4:23" x14ac:dyDescent="0.2">
      <c r="D50" s="363"/>
      <c r="E50" s="364"/>
      <c r="F50" s="364"/>
      <c r="G50" s="364"/>
      <c r="H50" s="364"/>
      <c r="I50" s="364"/>
      <c r="J50" s="364"/>
      <c r="K50" s="364"/>
      <c r="L50" s="364"/>
      <c r="M50" s="364"/>
      <c r="N50" s="326"/>
      <c r="O50" s="326"/>
      <c r="P50" s="326"/>
      <c r="Q50" s="326"/>
      <c r="R50" s="326"/>
      <c r="S50" s="326"/>
      <c r="T50" s="326"/>
      <c r="U50" s="326"/>
      <c r="V50" s="326"/>
      <c r="W50" s="329"/>
    </row>
    <row r="51" spans="4:23" x14ac:dyDescent="0.2">
      <c r="D51" s="325"/>
      <c r="E51" s="326" t="s">
        <v>465</v>
      </c>
      <c r="F51" s="326"/>
      <c r="G51" s="369">
        <v>4.7500000000000001E-2</v>
      </c>
      <c r="H51" s="326"/>
      <c r="I51" s="277">
        <v>20000000</v>
      </c>
      <c r="J51" s="326"/>
      <c r="K51" s="370"/>
      <c r="L51" s="371"/>
      <c r="M51" s="372">
        <v>0</v>
      </c>
      <c r="N51" s="217"/>
      <c r="O51" s="217">
        <v>0</v>
      </c>
      <c r="P51" s="326"/>
      <c r="Q51" s="277">
        <f>SUM(I51:O51)</f>
        <v>20000000</v>
      </c>
      <c r="R51" s="326"/>
      <c r="S51" s="277">
        <f>+I51*G51</f>
        <v>950000</v>
      </c>
      <c r="T51" s="326"/>
      <c r="U51" s="364"/>
      <c r="V51" s="218">
        <f>S51/Q51*100</f>
        <v>4.75</v>
      </c>
      <c r="W51" s="329"/>
    </row>
    <row r="52" spans="4:23" x14ac:dyDescent="0.2">
      <c r="D52" s="325"/>
      <c r="E52" s="326" t="s">
        <v>466</v>
      </c>
      <c r="F52" s="326"/>
      <c r="G52" s="369">
        <v>6.5299999999999997E-2</v>
      </c>
      <c r="H52" s="326"/>
      <c r="I52" s="281">
        <v>20000000</v>
      </c>
      <c r="J52" s="326"/>
      <c r="K52" s="373">
        <v>-273105</v>
      </c>
      <c r="L52" s="371"/>
      <c r="M52" s="374">
        <v>0</v>
      </c>
      <c r="N52" s="217"/>
      <c r="O52" s="374">
        <v>0</v>
      </c>
      <c r="P52" s="326"/>
      <c r="Q52" s="281">
        <f>SUM(I52:O52)</f>
        <v>19726895</v>
      </c>
      <c r="R52" s="326"/>
      <c r="S52" s="281">
        <f>+I52*G52</f>
        <v>1306000</v>
      </c>
      <c r="T52" s="326"/>
      <c r="U52" s="375"/>
      <c r="V52" s="282">
        <f>S52/Q52*100</f>
        <v>6.6204032616384882</v>
      </c>
      <c r="W52" s="329"/>
    </row>
    <row r="53" spans="4:23" ht="15.75" thickBot="1" x14ac:dyDescent="0.25">
      <c r="D53" s="325"/>
      <c r="E53" s="326"/>
      <c r="F53" s="326"/>
      <c r="G53" s="326"/>
      <c r="H53" s="326"/>
      <c r="I53" s="277"/>
      <c r="J53" s="326"/>
      <c r="K53" s="277"/>
      <c r="L53" s="326"/>
      <c r="M53" s="328"/>
      <c r="N53" s="326"/>
      <c r="O53" s="277"/>
      <c r="P53" s="326"/>
      <c r="Q53" s="277"/>
      <c r="R53" s="326"/>
      <c r="S53" s="277"/>
      <c r="T53" s="326"/>
      <c r="U53" s="364"/>
      <c r="V53" s="218"/>
      <c r="W53" s="329"/>
    </row>
    <row r="54" spans="4:23" ht="18.75" thickBot="1" x14ac:dyDescent="0.3">
      <c r="D54" s="325"/>
      <c r="E54" s="326"/>
      <c r="F54" s="326"/>
      <c r="G54" s="326" t="s">
        <v>16</v>
      </c>
      <c r="H54" s="326"/>
      <c r="I54" s="376">
        <f>SUM(I51:I53)</f>
        <v>40000000</v>
      </c>
      <c r="J54" s="326"/>
      <c r="K54" s="376">
        <f>SUM(K51:K52)</f>
        <v>-273105</v>
      </c>
      <c r="L54" s="326"/>
      <c r="M54" s="377" t="s">
        <v>357</v>
      </c>
      <c r="N54" s="326"/>
      <c r="O54" s="376">
        <f>SUM(O51)</f>
        <v>0</v>
      </c>
      <c r="P54" s="326"/>
      <c r="Q54" s="376">
        <f>SUM(Q51:Q53)</f>
        <v>39726895</v>
      </c>
      <c r="R54" s="326"/>
      <c r="S54" s="376">
        <f>SUM(S51:S53)</f>
        <v>2256000</v>
      </c>
      <c r="T54" s="326"/>
      <c r="U54" s="364"/>
      <c r="V54" s="284">
        <f>S54/Q54</f>
        <v>5.6787725292902956E-2</v>
      </c>
      <c r="W54" s="329"/>
    </row>
    <row r="55" spans="4:23" ht="15.75" thickTop="1" x14ac:dyDescent="0.2">
      <c r="D55" s="355"/>
      <c r="E55" s="356"/>
      <c r="F55" s="356"/>
      <c r="G55" s="356"/>
      <c r="H55" s="356"/>
      <c r="I55" s="356"/>
      <c r="J55" s="356"/>
      <c r="K55" s="281"/>
      <c r="L55" s="356"/>
      <c r="M55" s="356"/>
      <c r="N55" s="356"/>
      <c r="O55" s="356"/>
      <c r="P55" s="356"/>
      <c r="Q55" s="281"/>
      <c r="R55" s="356"/>
      <c r="S55" s="356"/>
      <c r="T55" s="356"/>
      <c r="U55" s="356"/>
      <c r="V55" s="356"/>
      <c r="W55" s="359"/>
    </row>
    <row r="56" spans="4:23" ht="15.75" x14ac:dyDescent="0.25">
      <c r="G56" s="360"/>
      <c r="I56" s="361"/>
      <c r="K56" s="361"/>
      <c r="M56" s="361"/>
      <c r="N56" s="361"/>
      <c r="O56" s="361"/>
      <c r="P56" s="361"/>
      <c r="Q56" s="361"/>
      <c r="R56" s="361"/>
      <c r="S56" s="361"/>
      <c r="V56" s="362"/>
    </row>
    <row r="57" spans="4:23" ht="15.75" x14ac:dyDescent="0.25">
      <c r="G57" s="360"/>
      <c r="I57" s="361"/>
      <c r="K57" s="361"/>
      <c r="M57" s="361"/>
      <c r="N57" s="361"/>
      <c r="O57" s="361"/>
      <c r="P57" s="361"/>
      <c r="Q57" s="361"/>
      <c r="R57" s="361"/>
      <c r="S57" s="361"/>
      <c r="V57" s="362"/>
    </row>
    <row r="58" spans="4:23" ht="20.25" x14ac:dyDescent="0.3">
      <c r="D58" s="378" t="s">
        <v>376</v>
      </c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80"/>
    </row>
    <row r="59" spans="4:23" x14ac:dyDescent="0.2">
      <c r="D59" s="381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3"/>
    </row>
    <row r="60" spans="4:23" x14ac:dyDescent="0.2">
      <c r="D60" s="381"/>
      <c r="E60" s="382"/>
      <c r="F60" s="382"/>
      <c r="G60" s="382"/>
      <c r="H60" s="382"/>
      <c r="I60" s="382"/>
      <c r="J60" s="382"/>
      <c r="K60" s="384" t="s">
        <v>343</v>
      </c>
      <c r="L60" s="384"/>
      <c r="M60" s="384"/>
      <c r="N60" s="384"/>
      <c r="O60" s="384"/>
      <c r="P60" s="384"/>
      <c r="Q60" s="384"/>
      <c r="R60" s="384"/>
      <c r="S60" s="384"/>
      <c r="T60" s="382"/>
      <c r="U60" s="382"/>
      <c r="V60" s="382"/>
      <c r="W60" s="383"/>
    </row>
    <row r="61" spans="4:23" x14ac:dyDescent="0.2">
      <c r="D61" s="385"/>
      <c r="E61" s="386"/>
      <c r="F61" s="386"/>
      <c r="G61" s="382"/>
      <c r="H61" s="382"/>
      <c r="I61" s="382"/>
      <c r="J61" s="382"/>
      <c r="K61" s="382"/>
      <c r="L61" s="382"/>
      <c r="M61" s="387"/>
      <c r="N61" s="382"/>
      <c r="O61" s="382"/>
      <c r="P61" s="382"/>
      <c r="Q61" s="387"/>
      <c r="R61" s="382"/>
      <c r="S61" s="382"/>
      <c r="T61" s="382"/>
      <c r="V61" s="387" t="s">
        <v>346</v>
      </c>
      <c r="W61" s="388"/>
    </row>
    <row r="62" spans="4:23" x14ac:dyDescent="0.2">
      <c r="D62" s="385"/>
      <c r="E62" s="386"/>
      <c r="F62" s="389"/>
      <c r="G62" s="390" t="s">
        <v>36</v>
      </c>
      <c r="H62" s="391"/>
      <c r="I62" s="390" t="s">
        <v>348</v>
      </c>
      <c r="J62" s="390"/>
      <c r="K62" s="390" t="s">
        <v>377</v>
      </c>
      <c r="L62" s="387"/>
      <c r="M62" s="390" t="s">
        <v>378</v>
      </c>
      <c r="N62" s="387"/>
      <c r="O62" s="390" t="s">
        <v>351</v>
      </c>
      <c r="P62" s="387"/>
      <c r="Q62" s="390" t="s">
        <v>379</v>
      </c>
      <c r="R62" s="387"/>
      <c r="S62" s="390" t="s">
        <v>16</v>
      </c>
      <c r="T62" s="382"/>
      <c r="V62" s="390" t="s">
        <v>31</v>
      </c>
      <c r="W62" s="392"/>
    </row>
    <row r="63" spans="4:23" x14ac:dyDescent="0.2">
      <c r="D63" s="381"/>
      <c r="E63" s="386"/>
      <c r="F63" s="386"/>
      <c r="G63" s="386"/>
      <c r="H63" s="386"/>
      <c r="I63" s="386"/>
      <c r="J63" s="386"/>
      <c r="K63" s="386"/>
      <c r="L63" s="386"/>
      <c r="M63" s="386"/>
      <c r="N63" s="382"/>
      <c r="O63" s="382"/>
      <c r="P63" s="382"/>
      <c r="Q63" s="382"/>
      <c r="R63" s="382"/>
      <c r="S63" s="382"/>
      <c r="T63" s="382"/>
      <c r="U63" s="382"/>
      <c r="V63" s="393"/>
      <c r="W63" s="383"/>
    </row>
    <row r="64" spans="4:23" x14ac:dyDescent="0.2">
      <c r="D64" s="381" t="s">
        <v>380</v>
      </c>
      <c r="E64" s="386"/>
      <c r="F64" s="386"/>
      <c r="G64" s="250">
        <v>2.2200000000000001E-2</v>
      </c>
      <c r="H64" s="326" t="s">
        <v>356</v>
      </c>
      <c r="I64" s="251">
        <v>34820000</v>
      </c>
      <c r="J64" s="386"/>
      <c r="K64" s="394">
        <f>ROUND(G64*I64,0)</f>
        <v>773004</v>
      </c>
      <c r="L64" s="382"/>
      <c r="M64" s="387" t="s">
        <v>357</v>
      </c>
      <c r="N64" s="382"/>
      <c r="O64" s="264" t="s">
        <v>357</v>
      </c>
      <c r="P64" s="382"/>
      <c r="Q64" s="395"/>
      <c r="R64" s="382"/>
      <c r="S64" s="394">
        <f>SUM(K64,M64,Q64)</f>
        <v>773004</v>
      </c>
      <c r="T64" s="382"/>
      <c r="U64" s="396"/>
      <c r="V64" s="255">
        <f>K64/I64*100</f>
        <v>2.2200000000000002</v>
      </c>
      <c r="W64" s="383"/>
    </row>
    <row r="65" spans="1:23" x14ac:dyDescent="0.2">
      <c r="D65" s="381" t="s">
        <v>467</v>
      </c>
      <c r="E65" s="382"/>
      <c r="F65" s="382"/>
      <c r="G65" s="382"/>
      <c r="H65" s="382"/>
      <c r="I65" s="258"/>
      <c r="J65" s="382"/>
      <c r="K65" s="258">
        <v>0</v>
      </c>
      <c r="L65" s="382"/>
      <c r="M65" s="397" t="s">
        <v>357</v>
      </c>
      <c r="N65" s="382"/>
      <c r="O65" s="260" t="s">
        <v>357</v>
      </c>
      <c r="P65" s="382"/>
      <c r="Q65" s="258"/>
      <c r="R65" s="382"/>
      <c r="S65" s="398">
        <f>SUM(K65,M65,Q65)</f>
        <v>0</v>
      </c>
      <c r="T65" s="382"/>
      <c r="U65" s="396"/>
      <c r="V65" s="399" t="e">
        <f>ROUND((S65/I65)*100,2)</f>
        <v>#DIV/0!</v>
      </c>
      <c r="W65" s="383"/>
    </row>
    <row r="66" spans="1:23" ht="15.75" thickBot="1" x14ac:dyDescent="0.25">
      <c r="D66" s="381"/>
      <c r="E66" s="382"/>
      <c r="F66" s="382"/>
      <c r="G66" s="382"/>
      <c r="H66" s="382"/>
      <c r="I66" s="395"/>
      <c r="J66" s="382"/>
      <c r="K66" s="395"/>
      <c r="L66" s="382"/>
      <c r="M66" s="387"/>
      <c r="N66" s="382"/>
      <c r="O66" s="395"/>
      <c r="P66" s="382"/>
      <c r="Q66" s="395"/>
      <c r="R66" s="382"/>
      <c r="S66" s="395"/>
      <c r="T66" s="382"/>
      <c r="U66" s="386"/>
      <c r="V66" s="255"/>
      <c r="W66" s="383"/>
    </row>
    <row r="67" spans="1:23" ht="18.75" thickBot="1" x14ac:dyDescent="0.3">
      <c r="D67" s="381"/>
      <c r="E67" s="382"/>
      <c r="F67" s="382"/>
      <c r="G67" s="382" t="s">
        <v>16</v>
      </c>
      <c r="H67" s="382"/>
      <c r="I67" s="263">
        <f>SUM(I64:I66)</f>
        <v>34820000</v>
      </c>
      <c r="J67" s="382"/>
      <c r="K67" s="263">
        <f>SUM(K64:K66)</f>
        <v>773004</v>
      </c>
      <c r="L67" s="382"/>
      <c r="M67" s="400" t="s">
        <v>357</v>
      </c>
      <c r="N67" s="382"/>
      <c r="O67" s="293" t="s">
        <v>357</v>
      </c>
      <c r="P67" s="382"/>
      <c r="Q67" s="263">
        <f>SUM(Q65:Q66)</f>
        <v>0</v>
      </c>
      <c r="R67" s="382"/>
      <c r="S67" s="263">
        <f>SUM(S64:S66)</f>
        <v>773004</v>
      </c>
      <c r="T67" s="382"/>
      <c r="U67" s="386"/>
      <c r="V67" s="265">
        <f>K67/I67</f>
        <v>2.2200000000000001E-2</v>
      </c>
      <c r="W67" s="383"/>
    </row>
    <row r="68" spans="1:23" ht="15.75" thickTop="1" x14ac:dyDescent="0.2">
      <c r="D68" s="401"/>
      <c r="E68" s="402"/>
      <c r="F68" s="402"/>
      <c r="G68" s="402"/>
      <c r="H68" s="402"/>
      <c r="I68" s="402"/>
      <c r="J68" s="402"/>
      <c r="K68" s="258"/>
      <c r="L68" s="402"/>
      <c r="M68" s="402"/>
      <c r="N68" s="402"/>
      <c r="O68" s="402"/>
      <c r="P68" s="402"/>
      <c r="Q68" s="258"/>
      <c r="R68" s="402"/>
      <c r="S68" s="402"/>
      <c r="T68" s="402"/>
      <c r="U68" s="402"/>
      <c r="V68" s="402"/>
      <c r="W68" s="403"/>
    </row>
    <row r="69" spans="1:23" x14ac:dyDescent="0.2">
      <c r="G69" s="404"/>
      <c r="I69" s="361"/>
      <c r="K69" s="361"/>
      <c r="S69" s="361"/>
    </row>
    <row r="70" spans="1:23" x14ac:dyDescent="0.2">
      <c r="G70" s="404"/>
      <c r="I70" s="361"/>
      <c r="K70" s="361"/>
      <c r="S70" s="361"/>
    </row>
    <row r="71" spans="1:23" ht="21.75" hidden="1" customHeight="1" x14ac:dyDescent="0.3">
      <c r="D71" s="319" t="s">
        <v>382</v>
      </c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405"/>
    </row>
    <row r="72" spans="1:23" ht="15" hidden="1" customHeight="1" x14ac:dyDescent="0.2">
      <c r="D72" s="325"/>
      <c r="E72" s="326"/>
      <c r="F72" s="326"/>
      <c r="G72" s="341"/>
      <c r="H72" s="326"/>
      <c r="I72" s="333"/>
      <c r="J72" s="326"/>
      <c r="K72" s="333"/>
      <c r="L72" s="326"/>
      <c r="M72" s="326"/>
      <c r="N72" s="326"/>
      <c r="O72" s="326"/>
      <c r="P72" s="326"/>
      <c r="Q72" s="326"/>
      <c r="R72" s="326"/>
      <c r="S72" s="333"/>
      <c r="T72" s="326"/>
      <c r="U72" s="326"/>
      <c r="V72" s="326"/>
      <c r="W72" s="329"/>
    </row>
    <row r="73" spans="1:23" ht="15" hidden="1" customHeight="1" x14ac:dyDescent="0.2">
      <c r="D73" s="325"/>
      <c r="E73" s="326"/>
      <c r="F73" s="326"/>
      <c r="G73" s="341"/>
      <c r="H73" s="326"/>
      <c r="I73" s="333"/>
      <c r="J73" s="326"/>
      <c r="K73" s="327" t="s">
        <v>343</v>
      </c>
      <c r="L73" s="327"/>
      <c r="M73" s="327"/>
      <c r="N73" s="327"/>
      <c r="O73" s="327"/>
      <c r="P73" s="327"/>
      <c r="Q73" s="327"/>
      <c r="R73" s="327"/>
      <c r="S73" s="327"/>
      <c r="T73" s="326"/>
      <c r="U73" s="326"/>
      <c r="V73" s="326"/>
      <c r="W73" s="329"/>
    </row>
    <row r="74" spans="1:23" ht="15" hidden="1" customHeight="1" x14ac:dyDescent="0.2">
      <c r="D74" s="363"/>
      <c r="E74" s="326"/>
      <c r="F74" s="326"/>
      <c r="G74" s="341"/>
      <c r="H74" s="326"/>
      <c r="I74" s="333"/>
      <c r="J74" s="326"/>
      <c r="K74" s="323"/>
      <c r="L74" s="323"/>
      <c r="M74" s="323"/>
      <c r="N74" s="323"/>
      <c r="O74" s="323"/>
      <c r="P74" s="323"/>
      <c r="Q74" s="323"/>
      <c r="R74" s="323"/>
      <c r="S74" s="323"/>
      <c r="T74" s="326"/>
      <c r="U74" s="326"/>
      <c r="V74" s="326"/>
      <c r="W74" s="329"/>
    </row>
    <row r="75" spans="1:23" ht="15" hidden="1" customHeight="1" x14ac:dyDescent="0.2">
      <c r="D75" s="325"/>
      <c r="E75" s="326"/>
      <c r="F75" s="326"/>
      <c r="G75" s="341"/>
      <c r="H75" s="326"/>
      <c r="I75" s="333" t="s">
        <v>383</v>
      </c>
      <c r="J75" s="326"/>
      <c r="K75" s="333"/>
      <c r="L75" s="326"/>
      <c r="M75" s="328" t="s">
        <v>384</v>
      </c>
      <c r="N75" s="328"/>
      <c r="O75" s="328" t="s">
        <v>385</v>
      </c>
      <c r="P75" s="328"/>
      <c r="Q75" s="328"/>
      <c r="R75" s="328"/>
      <c r="S75" s="335"/>
      <c r="T75" s="326"/>
      <c r="U75" s="326"/>
      <c r="V75" s="328" t="s">
        <v>346</v>
      </c>
      <c r="W75" s="329"/>
    </row>
    <row r="76" spans="1:23" ht="15" hidden="1" customHeight="1" x14ac:dyDescent="0.2">
      <c r="A76" s="272" t="s">
        <v>386</v>
      </c>
      <c r="D76" s="325"/>
      <c r="E76" s="326"/>
      <c r="F76" s="326"/>
      <c r="G76" s="330" t="s">
        <v>36</v>
      </c>
      <c r="H76" s="326"/>
      <c r="I76" s="330" t="s">
        <v>348</v>
      </c>
      <c r="J76" s="330"/>
      <c r="K76" s="330" t="s">
        <v>377</v>
      </c>
      <c r="L76" s="326"/>
      <c r="M76" s="330" t="s">
        <v>387</v>
      </c>
      <c r="N76" s="328"/>
      <c r="O76" s="330" t="s">
        <v>387</v>
      </c>
      <c r="P76" s="328"/>
      <c r="Q76" s="328"/>
      <c r="R76" s="328"/>
      <c r="S76" s="406" t="s">
        <v>16</v>
      </c>
      <c r="T76" s="326"/>
      <c r="U76" s="326"/>
      <c r="V76" s="330" t="s">
        <v>31</v>
      </c>
      <c r="W76" s="329"/>
    </row>
    <row r="77" spans="1:23" ht="15" hidden="1" customHeight="1" x14ac:dyDescent="0.2">
      <c r="A77" s="407">
        <v>1.132967E-2</v>
      </c>
      <c r="B77" s="316" t="s">
        <v>388</v>
      </c>
      <c r="D77" s="325"/>
      <c r="E77" s="326"/>
      <c r="F77" s="326"/>
      <c r="G77" s="341"/>
      <c r="H77" s="326"/>
      <c r="I77" s="333"/>
      <c r="J77" s="326"/>
      <c r="K77" s="333"/>
      <c r="L77" s="326"/>
      <c r="M77" s="326"/>
      <c r="N77" s="326"/>
      <c r="O77" s="326"/>
      <c r="P77" s="326"/>
      <c r="Q77" s="326"/>
      <c r="R77" s="326"/>
      <c r="S77" s="333"/>
      <c r="T77" s="326"/>
      <c r="U77" s="326"/>
      <c r="V77" s="326"/>
      <c r="W77" s="329"/>
    </row>
    <row r="78" spans="1:23" ht="15" hidden="1" customHeight="1" x14ac:dyDescent="0.2">
      <c r="A78" s="407"/>
      <c r="D78" s="325" t="s">
        <v>389</v>
      </c>
      <c r="E78" s="326"/>
      <c r="F78" s="326"/>
      <c r="G78" s="195">
        <f>+(+A77+A78)/2</f>
        <v>5.664835E-3</v>
      </c>
      <c r="H78" s="326" t="s">
        <v>356</v>
      </c>
      <c r="I78" s="349">
        <v>0</v>
      </c>
      <c r="J78" s="326"/>
      <c r="K78" s="276">
        <f>+G78*I78</f>
        <v>0</v>
      </c>
      <c r="L78" s="326"/>
      <c r="M78" s="277">
        <f>25000000*0.00175</f>
        <v>43750</v>
      </c>
      <c r="N78" s="277"/>
      <c r="O78" s="277">
        <f>+I78*0.00125</f>
        <v>0</v>
      </c>
      <c r="P78" s="326"/>
      <c r="Q78" s="326"/>
      <c r="R78" s="326"/>
      <c r="S78" s="333">
        <f>+K78+M78+O78</f>
        <v>43750</v>
      </c>
      <c r="T78" s="326"/>
      <c r="U78" s="326"/>
      <c r="V78" s="218" t="e">
        <f>+S78/I78*100</f>
        <v>#DIV/0!</v>
      </c>
      <c r="W78" s="329"/>
    </row>
    <row r="79" spans="1:23" ht="15" hidden="1" customHeight="1" x14ac:dyDescent="0.2">
      <c r="A79" s="408" t="s">
        <v>390</v>
      </c>
      <c r="D79" s="325" t="s">
        <v>391</v>
      </c>
      <c r="E79" s="326"/>
      <c r="F79" s="326"/>
      <c r="G79" s="195">
        <f>+(+A80+A81)/2</f>
        <v>5.45E-3</v>
      </c>
      <c r="H79" s="326" t="s">
        <v>356</v>
      </c>
      <c r="I79" s="409">
        <v>0</v>
      </c>
      <c r="J79" s="326"/>
      <c r="K79" s="280">
        <f>+G79*I79</f>
        <v>0</v>
      </c>
      <c r="L79" s="326"/>
      <c r="M79" s="281">
        <f>25000000*0.00175</f>
        <v>43750</v>
      </c>
      <c r="N79" s="277"/>
      <c r="O79" s="281">
        <f>+I79*0.00125</f>
        <v>0</v>
      </c>
      <c r="P79" s="326"/>
      <c r="Q79" s="326"/>
      <c r="R79" s="326"/>
      <c r="S79" s="351">
        <f>+K79+M79+O79</f>
        <v>43750</v>
      </c>
      <c r="T79" s="326"/>
      <c r="U79" s="326"/>
      <c r="V79" s="282" t="e">
        <f>+S79/I79*100</f>
        <v>#DIV/0!</v>
      </c>
      <c r="W79" s="329"/>
    </row>
    <row r="80" spans="1:23" ht="15" hidden="1" customHeight="1" thickBot="1" x14ac:dyDescent="0.25">
      <c r="A80" s="283">
        <v>1.09E-2</v>
      </c>
      <c r="B80" s="316" t="s">
        <v>392</v>
      </c>
      <c r="D80" s="325"/>
      <c r="E80" s="326"/>
      <c r="F80" s="326"/>
      <c r="G80" s="341"/>
      <c r="H80" s="326"/>
      <c r="I80" s="333"/>
      <c r="J80" s="326"/>
      <c r="K80" s="333"/>
      <c r="L80" s="326"/>
      <c r="M80" s="326"/>
      <c r="N80" s="326"/>
      <c r="O80" s="326"/>
      <c r="P80" s="326"/>
      <c r="Q80" s="326"/>
      <c r="R80" s="326"/>
      <c r="S80" s="333"/>
      <c r="T80" s="326"/>
      <c r="U80" s="326"/>
      <c r="V80" s="326"/>
      <c r="W80" s="329"/>
    </row>
    <row r="81" spans="1:23" ht="20.25" hidden="1" customHeight="1" thickBot="1" x14ac:dyDescent="0.3">
      <c r="A81" s="283"/>
      <c r="D81" s="325"/>
      <c r="E81" s="326"/>
      <c r="F81" s="326"/>
      <c r="G81" s="341"/>
      <c r="H81" s="326"/>
      <c r="I81" s="353">
        <f>SUM(I78:I79)</f>
        <v>0</v>
      </c>
      <c r="J81" s="326"/>
      <c r="K81" s="353">
        <f>SUM(K78:K79)</f>
        <v>0</v>
      </c>
      <c r="L81" s="326"/>
      <c r="M81" s="353">
        <f>SUM(M78:M79)</f>
        <v>87500</v>
      </c>
      <c r="N81" s="326"/>
      <c r="O81" s="353">
        <f>SUM(O78:O79)</f>
        <v>0</v>
      </c>
      <c r="P81" s="326"/>
      <c r="Q81" s="326"/>
      <c r="R81" s="326"/>
      <c r="S81" s="353">
        <f>SUM(S78:S79)</f>
        <v>87500</v>
      </c>
      <c r="T81" s="326"/>
      <c r="U81" s="326"/>
      <c r="V81" s="284" t="e">
        <f>+S81/I81</f>
        <v>#DIV/0!</v>
      </c>
      <c r="W81" s="329"/>
    </row>
    <row r="82" spans="1:23" ht="15" hidden="1" customHeight="1" thickTop="1" x14ac:dyDescent="0.2">
      <c r="D82" s="355"/>
      <c r="E82" s="356"/>
      <c r="F82" s="356"/>
      <c r="G82" s="410"/>
      <c r="H82" s="356"/>
      <c r="I82" s="351"/>
      <c r="J82" s="356"/>
      <c r="K82" s="351"/>
      <c r="L82" s="356"/>
      <c r="M82" s="356"/>
      <c r="N82" s="356"/>
      <c r="O82" s="356"/>
      <c r="P82" s="356"/>
      <c r="Q82" s="356"/>
      <c r="R82" s="356"/>
      <c r="S82" s="351"/>
      <c r="T82" s="356"/>
      <c r="U82" s="356"/>
      <c r="V82" s="356"/>
      <c r="W82" s="359"/>
    </row>
    <row r="83" spans="1:23" ht="15" customHeight="1" x14ac:dyDescent="0.2">
      <c r="G83" s="404"/>
      <c r="I83" s="361"/>
      <c r="K83" s="361"/>
      <c r="S83" s="361"/>
    </row>
    <row r="84" spans="1:23" x14ac:dyDescent="0.2">
      <c r="D84" s="411" t="s">
        <v>394</v>
      </c>
      <c r="G84" s="404"/>
      <c r="I84" s="361"/>
      <c r="K84" s="361"/>
      <c r="S84" s="361"/>
    </row>
    <row r="86" spans="1:23" x14ac:dyDescent="0.2">
      <c r="D86" s="411" t="s">
        <v>429</v>
      </c>
      <c r="I86" s="361"/>
      <c r="K86" s="361"/>
      <c r="R86" s="871" t="s">
        <v>430</v>
      </c>
      <c r="S86" s="871"/>
      <c r="V86" s="412" t="s">
        <v>431</v>
      </c>
    </row>
    <row r="87" spans="1:23" x14ac:dyDescent="0.2">
      <c r="D87" s="411"/>
      <c r="I87" s="361"/>
      <c r="K87" s="361"/>
      <c r="R87" s="871" t="s">
        <v>432</v>
      </c>
      <c r="S87" s="871"/>
      <c r="V87" s="412" t="s">
        <v>433</v>
      </c>
    </row>
    <row r="88" spans="1:23" x14ac:dyDescent="0.2">
      <c r="D88" s="411"/>
      <c r="E88" s="413" t="s">
        <v>434</v>
      </c>
      <c r="F88" s="413"/>
      <c r="G88" s="413"/>
      <c r="H88" s="413"/>
      <c r="I88" s="413"/>
      <c r="K88" s="414" t="s">
        <v>435</v>
      </c>
      <c r="L88" s="414"/>
      <c r="M88" s="415" t="s">
        <v>436</v>
      </c>
      <c r="O88" s="416"/>
      <c r="P88" s="416"/>
      <c r="Q88" s="416"/>
      <c r="R88" s="872" t="s">
        <v>437</v>
      </c>
      <c r="S88" s="872"/>
      <c r="V88" s="417" t="s">
        <v>438</v>
      </c>
    </row>
    <row r="89" spans="1:23" x14ac:dyDescent="0.2">
      <c r="D89" s="411"/>
      <c r="E89" s="316" t="s">
        <v>439</v>
      </c>
      <c r="I89" s="361"/>
      <c r="K89" s="361">
        <v>53000000</v>
      </c>
      <c r="M89" s="418" t="s">
        <v>440</v>
      </c>
      <c r="Q89" s="419" t="s">
        <v>441</v>
      </c>
      <c r="R89" s="870" t="s">
        <v>442</v>
      </c>
      <c r="S89" s="870"/>
      <c r="V89" s="313">
        <v>7.9200000000000007E-2</v>
      </c>
    </row>
    <row r="90" spans="1:23" x14ac:dyDescent="0.2">
      <c r="D90" s="411"/>
      <c r="E90" s="316" t="s">
        <v>468</v>
      </c>
      <c r="I90" s="361"/>
      <c r="K90" s="421">
        <v>50000000</v>
      </c>
      <c r="M90" s="418" t="s">
        <v>469</v>
      </c>
      <c r="Q90" s="419" t="s">
        <v>441</v>
      </c>
      <c r="R90" s="870" t="s">
        <v>470</v>
      </c>
      <c r="S90" s="870"/>
      <c r="V90" s="313">
        <v>7.5499999999999998E-2</v>
      </c>
    </row>
    <row r="91" spans="1:23" x14ac:dyDescent="0.2">
      <c r="D91" s="411"/>
      <c r="I91" s="361"/>
      <c r="K91" s="361">
        <f>SUM(K89:K90)</f>
        <v>103000000</v>
      </c>
      <c r="M91" s="418"/>
      <c r="R91" s="420"/>
      <c r="S91" s="420"/>
      <c r="V91" s="313"/>
    </row>
    <row r="92" spans="1:23" x14ac:dyDescent="0.2">
      <c r="D92" s="411"/>
      <c r="I92" s="361"/>
      <c r="K92" s="361"/>
      <c r="S92" s="361"/>
    </row>
    <row r="93" spans="1:23" ht="13.5" customHeight="1" x14ac:dyDescent="0.2">
      <c r="D93" s="411" t="s">
        <v>471</v>
      </c>
      <c r="G93" s="404"/>
      <c r="I93" s="361"/>
      <c r="K93" s="361"/>
    </row>
    <row r="94" spans="1:23" ht="13.5" customHeight="1" x14ac:dyDescent="0.2">
      <c r="D94" s="411" t="s">
        <v>472</v>
      </c>
      <c r="G94" s="404"/>
      <c r="I94" s="361"/>
      <c r="K94" s="361"/>
    </row>
    <row r="95" spans="1:23" ht="13.5" customHeight="1" x14ac:dyDescent="0.2">
      <c r="D95" s="411"/>
      <c r="G95" s="404"/>
      <c r="I95" s="361"/>
      <c r="K95" s="361"/>
    </row>
    <row r="96" spans="1:23" ht="15" customHeight="1" x14ac:dyDescent="0.2">
      <c r="N96" s="422"/>
      <c r="O96" s="423"/>
      <c r="P96" s="423"/>
      <c r="Q96" s="423"/>
      <c r="R96" s="423"/>
      <c r="T96" s="361"/>
    </row>
    <row r="97" spans="4:23" ht="15" hidden="1" customHeight="1" x14ac:dyDescent="0.2">
      <c r="N97" s="422"/>
      <c r="O97" s="423"/>
      <c r="P97" s="423"/>
      <c r="Q97" s="423"/>
      <c r="R97" s="423"/>
      <c r="T97" s="361"/>
    </row>
    <row r="98" spans="4:23" ht="15" hidden="1" customHeight="1" x14ac:dyDescent="0.2">
      <c r="N98" s="422"/>
      <c r="O98" s="423"/>
      <c r="P98" s="423"/>
      <c r="Q98" s="423"/>
      <c r="R98" s="423"/>
      <c r="T98" s="361"/>
    </row>
    <row r="99" spans="4:23" ht="15" hidden="1" customHeight="1" x14ac:dyDescent="0.2">
      <c r="N99" s="422"/>
      <c r="O99" s="423"/>
      <c r="P99" s="423"/>
      <c r="Q99" s="423"/>
      <c r="R99" s="423"/>
      <c r="T99" s="361"/>
    </row>
    <row r="100" spans="4:23" ht="15" hidden="1" customHeight="1" x14ac:dyDescent="0.2">
      <c r="N100" s="422"/>
      <c r="O100" s="423"/>
      <c r="P100" s="423"/>
      <c r="Q100" s="423"/>
      <c r="R100" s="423"/>
      <c r="T100" s="361"/>
    </row>
    <row r="101" spans="4:23" ht="15" hidden="1" customHeight="1" x14ac:dyDescent="0.2">
      <c r="N101" s="422"/>
      <c r="O101" s="423"/>
      <c r="P101" s="423"/>
      <c r="Q101" s="423"/>
      <c r="R101" s="423"/>
      <c r="T101" s="361"/>
    </row>
    <row r="102" spans="4:23" ht="15" hidden="1" customHeight="1" x14ac:dyDescent="0.2">
      <c r="N102" s="422"/>
      <c r="O102" s="423"/>
      <c r="P102" s="423"/>
      <c r="Q102" s="423"/>
      <c r="R102" s="423"/>
      <c r="T102" s="361"/>
    </row>
    <row r="103" spans="4:23" ht="15" hidden="1" customHeight="1" x14ac:dyDescent="0.2">
      <c r="N103" s="422"/>
      <c r="O103" s="423"/>
      <c r="P103" s="423"/>
      <c r="Q103" s="423"/>
      <c r="R103" s="423"/>
      <c r="T103" s="361"/>
    </row>
    <row r="104" spans="4:23" ht="15" hidden="1" customHeight="1" x14ac:dyDescent="0.2">
      <c r="N104" s="422"/>
      <c r="O104" s="423"/>
      <c r="P104" s="423"/>
      <c r="Q104" s="423"/>
      <c r="R104" s="423"/>
      <c r="T104" s="361"/>
    </row>
    <row r="105" spans="4:23" ht="15" hidden="1" customHeight="1" x14ac:dyDescent="0.2">
      <c r="N105" s="422"/>
      <c r="O105" s="423"/>
      <c r="P105" s="423"/>
      <c r="Q105" s="423"/>
      <c r="R105" s="423"/>
      <c r="T105" s="361"/>
    </row>
    <row r="106" spans="4:23" ht="15" hidden="1" customHeight="1" x14ac:dyDescent="0.2">
      <c r="N106" s="422"/>
      <c r="O106" s="423"/>
      <c r="P106" s="423"/>
      <c r="Q106" s="423"/>
      <c r="R106" s="423"/>
      <c r="T106" s="361"/>
    </row>
    <row r="107" spans="4:23" ht="15" customHeight="1" x14ac:dyDescent="0.2">
      <c r="D107" s="316" t="s">
        <v>473</v>
      </c>
      <c r="N107" s="422"/>
      <c r="O107" s="423"/>
      <c r="P107" s="423"/>
      <c r="Q107" s="423"/>
      <c r="R107" s="423"/>
      <c r="T107" s="361"/>
    </row>
    <row r="108" spans="4:23" ht="15" customHeight="1" x14ac:dyDescent="0.2">
      <c r="N108" s="422"/>
      <c r="O108" s="423"/>
      <c r="P108" s="423"/>
      <c r="Q108" s="423"/>
      <c r="R108" s="423"/>
      <c r="T108" s="361"/>
    </row>
    <row r="109" spans="4:23" x14ac:dyDescent="0.2">
      <c r="D109" s="411" t="s">
        <v>401</v>
      </c>
      <c r="I109" s="411" t="s">
        <v>411</v>
      </c>
      <c r="J109" s="361"/>
      <c r="M109" s="411" t="s">
        <v>412</v>
      </c>
      <c r="Q109" s="411" t="s">
        <v>446</v>
      </c>
      <c r="R109" s="424"/>
      <c r="S109" s="424"/>
      <c r="T109" s="424"/>
      <c r="U109" s="424"/>
      <c r="V109" s="424"/>
      <c r="W109" s="424"/>
    </row>
    <row r="110" spans="4:23" x14ac:dyDescent="0.2">
      <c r="D110" s="316" t="s">
        <v>474</v>
      </c>
      <c r="I110" s="411" t="s">
        <v>400</v>
      </c>
      <c r="M110" s="316" t="s">
        <v>475</v>
      </c>
      <c r="N110" s="361"/>
      <c r="P110" s="361"/>
      <c r="Q110" s="316" t="s">
        <v>455</v>
      </c>
      <c r="S110" s="361"/>
    </row>
    <row r="111" spans="4:23" x14ac:dyDescent="0.2">
      <c r="D111" s="411" t="s">
        <v>403</v>
      </c>
      <c r="E111" s="424"/>
      <c r="F111" s="424"/>
      <c r="G111" s="424"/>
      <c r="H111" s="424"/>
      <c r="I111" s="411" t="s">
        <v>404</v>
      </c>
      <c r="J111" s="424"/>
      <c r="K111" s="424"/>
      <c r="L111" s="424"/>
      <c r="M111" s="411" t="s">
        <v>405</v>
      </c>
      <c r="N111" s="424"/>
      <c r="O111" s="424"/>
      <c r="P111" s="424"/>
      <c r="Q111" s="316" t="s">
        <v>449</v>
      </c>
    </row>
    <row r="112" spans="4:23" x14ac:dyDescent="0.2">
      <c r="D112" s="411" t="s">
        <v>476</v>
      </c>
    </row>
    <row r="115" spans="4:4" x14ac:dyDescent="0.2">
      <c r="D115" s="316" t="s">
        <v>420</v>
      </c>
    </row>
    <row r="117" spans="4:4" x14ac:dyDescent="0.2">
      <c r="D117" s="316" t="s">
        <v>421</v>
      </c>
    </row>
    <row r="139" spans="4:13" x14ac:dyDescent="0.2">
      <c r="D139" s="424"/>
      <c r="E139" s="424"/>
      <c r="F139" s="424"/>
      <c r="G139" s="424"/>
      <c r="H139" s="424"/>
      <c r="I139" s="424"/>
      <c r="J139" s="424"/>
      <c r="K139" s="424"/>
      <c r="L139" s="424"/>
      <c r="M139" s="424"/>
    </row>
    <row r="140" spans="4:13" x14ac:dyDescent="0.2">
      <c r="D140" s="424"/>
      <c r="E140" s="424"/>
      <c r="F140" s="424"/>
      <c r="G140" s="424"/>
      <c r="H140" s="424"/>
      <c r="I140" s="424"/>
      <c r="J140" s="424"/>
      <c r="K140" s="424"/>
      <c r="L140" s="424"/>
      <c r="M140" s="424"/>
    </row>
    <row r="141" spans="4:13" x14ac:dyDescent="0.2">
      <c r="D141" s="424"/>
      <c r="E141" s="424"/>
      <c r="F141" s="424"/>
      <c r="G141" s="424"/>
      <c r="H141" s="424"/>
      <c r="I141" s="424"/>
      <c r="J141" s="424"/>
      <c r="K141" s="424"/>
      <c r="L141" s="424"/>
      <c r="M141" s="424"/>
    </row>
    <row r="142" spans="4:13" x14ac:dyDescent="0.2">
      <c r="D142" s="424"/>
      <c r="E142" s="424"/>
      <c r="F142" s="424"/>
      <c r="G142" s="424"/>
      <c r="H142" s="424"/>
      <c r="I142" s="424"/>
      <c r="J142" s="424"/>
      <c r="K142" s="424"/>
      <c r="L142" s="424"/>
      <c r="M142" s="424"/>
    </row>
  </sheetData>
  <mergeCells count="5">
    <mergeCell ref="R90:S90"/>
    <mergeCell ref="R86:S86"/>
    <mergeCell ref="R87:S87"/>
    <mergeCell ref="R88:S88"/>
    <mergeCell ref="R89:S89"/>
  </mergeCells>
  <phoneticPr fontId="54" type="noConversion"/>
  <printOptions horizontalCentered="1" verticalCentered="1"/>
  <pageMargins left="0.5" right="0.25" top="0.5" bottom="0.25" header="0" footer="0.1"/>
  <pageSetup scale="51" orientation="portrait" horizontalDpi="4294967292" verticalDpi="300" r:id="rId1"/>
  <headerFooter alignWithMargins="0">
    <oddFooter>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I47"/>
  <sheetViews>
    <sheetView zoomScaleNormal="65" zoomScaleSheetLayoutView="227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14.7109375" style="425" customWidth="1"/>
    <col min="2" max="2" width="8.42578125" style="425" customWidth="1"/>
    <col min="3" max="3" width="12.7109375" style="425" bestFit="1" customWidth="1"/>
    <col min="4" max="4" width="3.7109375" style="425" customWidth="1"/>
    <col min="5" max="5" width="11.7109375" style="425" bestFit="1" customWidth="1"/>
    <col min="6" max="6" width="3.7109375" style="425" customWidth="1"/>
    <col min="7" max="7" width="12.7109375" style="425" bestFit="1" customWidth="1"/>
    <col min="8" max="8" width="3.7109375" style="425" customWidth="1"/>
    <col min="9" max="9" width="11.7109375" style="425" bestFit="1" customWidth="1"/>
    <col min="10" max="16384" width="9.140625" style="425"/>
  </cols>
  <sheetData>
    <row r="1" spans="1:9" x14ac:dyDescent="0.2">
      <c r="A1" s="425" t="s">
        <v>478</v>
      </c>
    </row>
    <row r="2" spans="1:9" x14ac:dyDescent="0.2">
      <c r="A2" s="426" t="s">
        <v>479</v>
      </c>
    </row>
    <row r="3" spans="1:9" x14ac:dyDescent="0.2">
      <c r="A3" s="427"/>
    </row>
    <row r="4" spans="1:9" x14ac:dyDescent="0.2">
      <c r="A4" s="428" t="s">
        <v>480</v>
      </c>
    </row>
    <row r="6" spans="1:9" x14ac:dyDescent="0.2">
      <c r="A6" s="429"/>
      <c r="B6" s="430"/>
      <c r="C6" s="431" t="s">
        <v>481</v>
      </c>
      <c r="D6" s="432"/>
      <c r="E6" s="432"/>
      <c r="F6" s="432"/>
      <c r="G6" s="432"/>
      <c r="H6" s="432"/>
      <c r="I6" s="433"/>
    </row>
    <row r="7" spans="1:9" x14ac:dyDescent="0.2">
      <c r="A7" s="434"/>
      <c r="B7" s="430" t="s">
        <v>482</v>
      </c>
      <c r="C7" s="431" t="s">
        <v>477</v>
      </c>
      <c r="D7" s="432"/>
      <c r="E7" s="432"/>
      <c r="F7" s="432"/>
      <c r="G7" s="432"/>
      <c r="H7" s="432"/>
      <c r="I7" s="433"/>
    </row>
    <row r="8" spans="1:9" ht="51" x14ac:dyDescent="0.2">
      <c r="A8" s="435"/>
      <c r="B8" s="436" t="s">
        <v>483</v>
      </c>
      <c r="C8" s="436" t="s">
        <v>484</v>
      </c>
      <c r="D8" s="436"/>
      <c r="E8" s="436" t="s">
        <v>485</v>
      </c>
      <c r="F8" s="436"/>
      <c r="G8" s="436" t="s">
        <v>486</v>
      </c>
      <c r="H8" s="436"/>
      <c r="I8" s="436" t="s">
        <v>487</v>
      </c>
    </row>
    <row r="9" spans="1:9" x14ac:dyDescent="0.2">
      <c r="A9" s="437" t="s">
        <v>482</v>
      </c>
      <c r="B9" s="438"/>
      <c r="C9" s="438"/>
      <c r="D9" s="438"/>
      <c r="E9" s="438"/>
      <c r="F9" s="438"/>
      <c r="G9" s="438"/>
      <c r="H9" s="438"/>
      <c r="I9" s="438"/>
    </row>
    <row r="10" spans="1:9" x14ac:dyDescent="0.2">
      <c r="A10" s="437" t="s">
        <v>488</v>
      </c>
      <c r="B10" s="438"/>
      <c r="C10" s="439">
        <v>22601740.289999999</v>
      </c>
      <c r="D10" s="439"/>
      <c r="E10" s="439">
        <v>5442074.2999999998</v>
      </c>
      <c r="F10" s="439"/>
      <c r="G10" s="439">
        <v>47507159.119999997</v>
      </c>
      <c r="H10" s="439"/>
      <c r="I10" s="439">
        <v>3586216.1</v>
      </c>
    </row>
    <row r="11" spans="1:9" x14ac:dyDescent="0.2">
      <c r="A11" s="437" t="s">
        <v>489</v>
      </c>
      <c r="B11" s="438"/>
      <c r="C11" s="439">
        <v>22751618.609999999</v>
      </c>
      <c r="D11" s="439"/>
      <c r="E11" s="439">
        <v>5499491.5999999996</v>
      </c>
      <c r="F11" s="439"/>
      <c r="G11" s="439">
        <v>47236430.829999998</v>
      </c>
      <c r="H11" s="439"/>
      <c r="I11" s="439">
        <v>3168103.72</v>
      </c>
    </row>
    <row r="12" spans="1:9" x14ac:dyDescent="0.2">
      <c r="A12" s="437" t="s">
        <v>490</v>
      </c>
      <c r="B12" s="438"/>
      <c r="C12" s="439">
        <v>22900898.030000001</v>
      </c>
      <c r="D12" s="439"/>
      <c r="E12" s="439">
        <v>5543948.5300000003</v>
      </c>
      <c r="F12" s="439"/>
      <c r="G12" s="439">
        <v>49847461.259999998</v>
      </c>
      <c r="H12" s="439"/>
      <c r="I12" s="439">
        <v>2940658.05</v>
      </c>
    </row>
    <row r="13" spans="1:9" x14ac:dyDescent="0.2">
      <c r="A13" s="437" t="s">
        <v>491</v>
      </c>
      <c r="B13" s="438"/>
      <c r="C13" s="439">
        <v>22950901.109999999</v>
      </c>
      <c r="D13" s="439"/>
      <c r="E13" s="439">
        <v>5670378.0700000003</v>
      </c>
      <c r="F13" s="439"/>
      <c r="G13" s="439">
        <v>58615951.039999999</v>
      </c>
      <c r="H13" s="439"/>
      <c r="I13" s="439">
        <v>2530088.66</v>
      </c>
    </row>
    <row r="14" spans="1:9" x14ac:dyDescent="0.2">
      <c r="A14" s="437" t="s">
        <v>492</v>
      </c>
      <c r="B14" s="438"/>
      <c r="C14" s="439">
        <v>23310269.57</v>
      </c>
      <c r="D14" s="439"/>
      <c r="E14" s="439">
        <v>5612162.3399999999</v>
      </c>
      <c r="F14" s="439"/>
      <c r="G14" s="439">
        <v>64636233.210000001</v>
      </c>
      <c r="H14" s="439"/>
      <c r="I14" s="439">
        <v>2133766.63</v>
      </c>
    </row>
    <row r="15" spans="1:9" x14ac:dyDescent="0.2">
      <c r="A15" s="437" t="s">
        <v>493</v>
      </c>
      <c r="B15" s="438"/>
      <c r="C15" s="439">
        <v>23558555.800000001</v>
      </c>
      <c r="D15" s="439"/>
      <c r="E15" s="439">
        <v>5691710.2599999998</v>
      </c>
      <c r="F15" s="439"/>
      <c r="G15" s="439">
        <v>57340127.07</v>
      </c>
      <c r="H15" s="439"/>
      <c r="I15" s="439">
        <v>1730320.92</v>
      </c>
    </row>
    <row r="16" spans="1:9" x14ac:dyDescent="0.2">
      <c r="A16" s="437" t="s">
        <v>494</v>
      </c>
      <c r="B16" s="438"/>
      <c r="C16" s="439">
        <v>23727634.77</v>
      </c>
      <c r="D16" s="439"/>
      <c r="E16" s="439">
        <v>5737232.5</v>
      </c>
      <c r="F16" s="439"/>
      <c r="G16" s="439">
        <v>50147051.859999999</v>
      </c>
      <c r="H16" s="439"/>
      <c r="I16" s="439">
        <v>1326875.21</v>
      </c>
    </row>
    <row r="17" spans="1:9" x14ac:dyDescent="0.2">
      <c r="A17" s="437" t="s">
        <v>495</v>
      </c>
      <c r="B17" s="438"/>
      <c r="C17" s="439">
        <v>23408249.379999999</v>
      </c>
      <c r="D17" s="439"/>
      <c r="E17" s="439">
        <v>5726431.2199999997</v>
      </c>
      <c r="F17" s="439"/>
      <c r="G17" s="439">
        <v>48546116.82</v>
      </c>
      <c r="H17" s="439"/>
      <c r="I17" s="439">
        <v>923429.5</v>
      </c>
    </row>
    <row r="18" spans="1:9" x14ac:dyDescent="0.2">
      <c r="A18" s="437" t="s">
        <v>496</v>
      </c>
      <c r="B18" s="438"/>
      <c r="C18" s="439">
        <v>23704204.629999999</v>
      </c>
      <c r="D18" s="439"/>
      <c r="E18" s="439">
        <v>5790133.4100000001</v>
      </c>
      <c r="F18" s="439"/>
      <c r="G18" s="439">
        <v>50303213.270000003</v>
      </c>
      <c r="H18" s="439"/>
      <c r="I18" s="439">
        <v>519983.79</v>
      </c>
    </row>
    <row r="19" spans="1:9" x14ac:dyDescent="0.2">
      <c r="A19" s="437" t="s">
        <v>497</v>
      </c>
      <c r="B19" s="438"/>
      <c r="C19" s="439">
        <v>23830512.530000001</v>
      </c>
      <c r="D19" s="439"/>
      <c r="E19" s="439">
        <v>5885268.9199999999</v>
      </c>
      <c r="F19" s="439"/>
      <c r="G19" s="439">
        <v>56863683.689999998</v>
      </c>
      <c r="H19" s="439"/>
      <c r="I19" s="439">
        <v>125064.12</v>
      </c>
    </row>
    <row r="20" spans="1:9" x14ac:dyDescent="0.2">
      <c r="A20" s="437" t="s">
        <v>498</v>
      </c>
      <c r="B20" s="438"/>
      <c r="C20" s="439">
        <v>24598061.149999999</v>
      </c>
      <c r="D20" s="439"/>
      <c r="E20" s="439">
        <v>5958092.0099999998</v>
      </c>
      <c r="F20" s="439"/>
      <c r="G20" s="439">
        <v>61395687.960000001</v>
      </c>
      <c r="H20" s="439"/>
      <c r="I20" s="439">
        <v>2973521.91</v>
      </c>
    </row>
    <row r="21" spans="1:9" x14ac:dyDescent="0.2">
      <c r="A21" s="437" t="s">
        <v>499</v>
      </c>
      <c r="B21" s="438"/>
      <c r="C21" s="439">
        <v>24713798.640000001</v>
      </c>
      <c r="D21" s="439"/>
      <c r="E21" s="439">
        <v>6081752.75</v>
      </c>
      <c r="F21" s="439"/>
      <c r="G21" s="439">
        <v>55589380.770000003</v>
      </c>
      <c r="H21" s="439"/>
      <c r="I21" s="439">
        <v>2657729.06</v>
      </c>
    </row>
    <row r="22" spans="1:9" x14ac:dyDescent="0.2">
      <c r="A22" s="437" t="s">
        <v>500</v>
      </c>
      <c r="B22" s="438"/>
      <c r="C22" s="439">
        <v>24916708.48</v>
      </c>
      <c r="D22" s="439"/>
      <c r="E22" s="439">
        <v>6074571.3200000003</v>
      </c>
      <c r="F22" s="439"/>
      <c r="G22" s="439">
        <v>56020650.75</v>
      </c>
      <c r="H22" s="439"/>
      <c r="I22" s="439">
        <v>3049890.77</v>
      </c>
    </row>
    <row r="23" spans="1:9" x14ac:dyDescent="0.2">
      <c r="A23" s="437" t="s">
        <v>501</v>
      </c>
      <c r="B23" s="438"/>
      <c r="C23" s="439">
        <v>25133774.23</v>
      </c>
      <c r="D23" s="439"/>
      <c r="E23" s="439">
        <v>6143190.8099999996</v>
      </c>
      <c r="F23" s="439"/>
      <c r="G23" s="439">
        <v>52803283.020000003</v>
      </c>
      <c r="H23" s="439"/>
      <c r="I23" s="439">
        <v>2734401.37</v>
      </c>
    </row>
    <row r="24" spans="1:9" x14ac:dyDescent="0.2">
      <c r="A24" s="437" t="s">
        <v>502</v>
      </c>
      <c r="B24" s="438"/>
      <c r="C24" s="439">
        <v>25287486.550000001</v>
      </c>
      <c r="D24" s="439"/>
      <c r="E24" s="439">
        <v>6114139.0499999998</v>
      </c>
      <c r="F24" s="439"/>
      <c r="G24" s="439">
        <v>54432889.130000003</v>
      </c>
      <c r="H24" s="439"/>
      <c r="I24" s="439">
        <v>2423812.86</v>
      </c>
    </row>
    <row r="25" spans="1:9" x14ac:dyDescent="0.2">
      <c r="A25" s="437" t="s">
        <v>503</v>
      </c>
      <c r="B25" s="438"/>
      <c r="C25" s="439">
        <v>25355370.239999998</v>
      </c>
      <c r="D25" s="439"/>
      <c r="E25" s="439">
        <v>6087798.1100000003</v>
      </c>
      <c r="F25" s="439"/>
      <c r="G25" s="439">
        <v>65898473.420000002</v>
      </c>
      <c r="H25" s="439"/>
      <c r="I25" s="439">
        <v>2113224.35</v>
      </c>
    </row>
    <row r="26" spans="1:9" x14ac:dyDescent="0.2">
      <c r="A26" s="437" t="s">
        <v>504</v>
      </c>
      <c r="B26" s="438"/>
      <c r="C26" s="439">
        <v>25372017.84</v>
      </c>
      <c r="D26" s="439"/>
      <c r="E26" s="439">
        <v>6122231.2400000002</v>
      </c>
      <c r="F26" s="439"/>
      <c r="G26" s="439">
        <v>74027306.620000005</v>
      </c>
      <c r="H26" s="439"/>
      <c r="I26" s="439">
        <v>1802635.84</v>
      </c>
    </row>
    <row r="27" spans="1:9" x14ac:dyDescent="0.2">
      <c r="A27" s="437" t="s">
        <v>505</v>
      </c>
      <c r="B27" s="438"/>
      <c r="C27" s="439">
        <v>25629994.41</v>
      </c>
      <c r="D27" s="439"/>
      <c r="E27" s="439">
        <v>6106462.8600000003</v>
      </c>
      <c r="F27" s="439"/>
      <c r="G27" s="439">
        <v>75262144.359999999</v>
      </c>
      <c r="H27" s="439"/>
      <c r="I27" s="439">
        <v>1488125.77</v>
      </c>
    </row>
    <row r="28" spans="1:9" x14ac:dyDescent="0.2">
      <c r="A28" s="437" t="s">
        <v>506</v>
      </c>
      <c r="B28" s="438"/>
      <c r="C28" s="439">
        <v>25816999.890000001</v>
      </c>
      <c r="D28" s="439"/>
      <c r="E28" s="439">
        <v>6172971.1900000004</v>
      </c>
      <c r="F28" s="439"/>
      <c r="G28" s="439">
        <v>68439931.5</v>
      </c>
      <c r="H28" s="439"/>
      <c r="I28" s="439">
        <v>1173615.7</v>
      </c>
    </row>
    <row r="29" spans="1:9" x14ac:dyDescent="0.2">
      <c r="A29" s="437" t="s">
        <v>507</v>
      </c>
      <c r="B29" s="438"/>
      <c r="C29" s="439">
        <v>25942980.800000001</v>
      </c>
      <c r="D29" s="439"/>
      <c r="E29" s="439">
        <v>6099233.6100000003</v>
      </c>
      <c r="F29" s="439"/>
      <c r="G29" s="439">
        <v>65392991.469999999</v>
      </c>
      <c r="H29" s="439"/>
      <c r="I29" s="439">
        <v>859105.63</v>
      </c>
    </row>
    <row r="30" spans="1:9" x14ac:dyDescent="0.2">
      <c r="A30" s="437" t="s">
        <v>508</v>
      </c>
      <c r="B30" s="438"/>
      <c r="C30" s="439">
        <v>26146218.09</v>
      </c>
      <c r="D30" s="439"/>
      <c r="E30" s="439">
        <v>6105228.7800000003</v>
      </c>
      <c r="F30" s="439"/>
      <c r="G30" s="439">
        <v>59288091.090000004</v>
      </c>
      <c r="H30" s="439"/>
      <c r="I30" s="439">
        <v>544595.56000000006</v>
      </c>
    </row>
    <row r="31" spans="1:9" x14ac:dyDescent="0.2">
      <c r="A31" s="437" t="s">
        <v>509</v>
      </c>
      <c r="B31" s="438"/>
      <c r="C31" s="439">
        <v>26388759.84</v>
      </c>
      <c r="D31" s="439"/>
      <c r="E31" s="439">
        <v>5580372.5800000001</v>
      </c>
      <c r="F31" s="439"/>
      <c r="G31" s="439">
        <v>69718716.760000005</v>
      </c>
      <c r="H31" s="439"/>
      <c r="I31" s="439">
        <v>230085.49</v>
      </c>
    </row>
    <row r="32" spans="1:9" x14ac:dyDescent="0.2">
      <c r="A32" s="437" t="s">
        <v>510</v>
      </c>
      <c r="B32" s="438"/>
      <c r="C32" s="439">
        <v>26564957.73</v>
      </c>
      <c r="D32" s="439"/>
      <c r="E32" s="439">
        <v>5630932.2199999997</v>
      </c>
      <c r="F32" s="439"/>
      <c r="G32" s="439">
        <v>68945062.469999999</v>
      </c>
      <c r="H32" s="439"/>
      <c r="I32" s="439">
        <v>3105274.87</v>
      </c>
    </row>
    <row r="33" spans="1:9" x14ac:dyDescent="0.2">
      <c r="A33" s="437" t="s">
        <v>511</v>
      </c>
      <c r="B33" s="438"/>
      <c r="C33" s="439">
        <v>25951429.350000001</v>
      </c>
      <c r="D33" s="439"/>
      <c r="E33" s="439">
        <v>6386539.0300000003</v>
      </c>
      <c r="F33" s="439"/>
      <c r="G33" s="439">
        <v>64221478.600000001</v>
      </c>
      <c r="H33" s="439"/>
      <c r="I33" s="439">
        <v>2770086.24</v>
      </c>
    </row>
    <row r="34" spans="1:9" x14ac:dyDescent="0.2">
      <c r="A34" s="437" t="s">
        <v>512</v>
      </c>
      <c r="B34" s="438"/>
      <c r="C34" s="439">
        <v>26095404.109999999</v>
      </c>
      <c r="D34" s="439"/>
      <c r="E34" s="439">
        <v>6272850.46</v>
      </c>
      <c r="F34" s="439"/>
      <c r="G34" s="439">
        <v>59359781.200000003</v>
      </c>
      <c r="H34" s="439"/>
      <c r="I34" s="439">
        <v>3144846.09</v>
      </c>
    </row>
    <row r="35" spans="1:9" x14ac:dyDescent="0.2">
      <c r="A35" s="437" t="s">
        <v>513</v>
      </c>
      <c r="B35" s="438"/>
      <c r="C35" s="439">
        <v>25944875.300000001</v>
      </c>
      <c r="D35" s="439"/>
      <c r="E35" s="439">
        <v>6166855.79</v>
      </c>
      <c r="F35" s="439"/>
      <c r="G35" s="439">
        <v>49234107.380000003</v>
      </c>
      <c r="H35" s="439"/>
      <c r="I35" s="439">
        <v>2788784.59</v>
      </c>
    </row>
    <row r="36" spans="1:9" x14ac:dyDescent="0.2">
      <c r="A36" s="437" t="s">
        <v>514</v>
      </c>
      <c r="B36" s="438"/>
      <c r="C36" s="439">
        <v>25917434.309999999</v>
      </c>
      <c r="D36" s="439"/>
      <c r="E36" s="439">
        <v>6159824.2800000003</v>
      </c>
      <c r="F36" s="439"/>
      <c r="G36" s="439">
        <v>54727427.909999996</v>
      </c>
      <c r="H36" s="439"/>
      <c r="I36" s="439">
        <v>2454504.41</v>
      </c>
    </row>
    <row r="37" spans="1:9" x14ac:dyDescent="0.2">
      <c r="A37" s="437" t="s">
        <v>515</v>
      </c>
      <c r="B37" s="438"/>
      <c r="C37" s="439">
        <v>25633096.129999999</v>
      </c>
      <c r="D37" s="439"/>
      <c r="E37" s="439">
        <v>6079526.7599999998</v>
      </c>
      <c r="F37" s="439"/>
      <c r="G37" s="439">
        <v>62663137.350000001</v>
      </c>
      <c r="H37" s="439"/>
      <c r="I37" s="439">
        <v>2120224.23</v>
      </c>
    </row>
    <row r="38" spans="1:9" x14ac:dyDescent="0.2">
      <c r="A38" s="437" t="s">
        <v>516</v>
      </c>
      <c r="B38" s="438"/>
      <c r="C38" s="439">
        <v>25711016.870000001</v>
      </c>
      <c r="D38" s="439"/>
      <c r="E38" s="439">
        <v>6070638.7800000003</v>
      </c>
      <c r="F38" s="439"/>
      <c r="G38" s="439">
        <v>68536308.349999994</v>
      </c>
      <c r="H38" s="439"/>
      <c r="I38" s="439">
        <v>1785944.05</v>
      </c>
    </row>
    <row r="39" spans="1:9" x14ac:dyDescent="0.2">
      <c r="A39" s="437" t="s">
        <v>517</v>
      </c>
      <c r="B39" s="438"/>
      <c r="C39" s="439">
        <v>25920005.559999999</v>
      </c>
      <c r="D39" s="439"/>
      <c r="E39" s="439">
        <v>6260839.2599999998</v>
      </c>
      <c r="F39" s="439"/>
      <c r="G39" s="439">
        <v>67016275.939999998</v>
      </c>
      <c r="H39" s="439"/>
      <c r="I39" s="439">
        <v>1456929.54</v>
      </c>
    </row>
    <row r="40" spans="1:9" x14ac:dyDescent="0.2">
      <c r="A40" s="437" t="s">
        <v>518</v>
      </c>
      <c r="B40" s="438"/>
      <c r="C40" s="439">
        <v>26003660.239999998</v>
      </c>
      <c r="D40" s="439"/>
      <c r="E40" s="439">
        <v>6294405.5499999998</v>
      </c>
      <c r="F40" s="439"/>
      <c r="G40" s="439">
        <v>63592591.119999997</v>
      </c>
      <c r="H40" s="439"/>
      <c r="I40" s="439">
        <v>1121771.75</v>
      </c>
    </row>
    <row r="41" spans="1:9" x14ac:dyDescent="0.2">
      <c r="A41" s="437" t="s">
        <v>519</v>
      </c>
      <c r="B41" s="438"/>
      <c r="C41" s="439">
        <v>26573377.52</v>
      </c>
      <c r="D41" s="439"/>
      <c r="E41" s="439">
        <v>6358651.4299999997</v>
      </c>
      <c r="F41" s="439"/>
      <c r="G41" s="439">
        <v>60806232.25</v>
      </c>
      <c r="H41" s="439"/>
      <c r="I41" s="439">
        <v>786613.96</v>
      </c>
    </row>
    <row r="42" spans="1:9" x14ac:dyDescent="0.2">
      <c r="A42" s="437" t="s">
        <v>520</v>
      </c>
      <c r="B42" s="438"/>
      <c r="C42" s="439">
        <v>26521211.16</v>
      </c>
      <c r="D42" s="439"/>
      <c r="E42" s="439">
        <v>6557506.46</v>
      </c>
      <c r="F42" s="439"/>
      <c r="G42" s="439">
        <v>48956337.990000002</v>
      </c>
      <c r="H42" s="439"/>
      <c r="I42" s="439">
        <v>451456.17</v>
      </c>
    </row>
    <row r="43" spans="1:9" x14ac:dyDescent="0.2">
      <c r="A43" s="437" t="s">
        <v>521</v>
      </c>
      <c r="B43" s="438"/>
      <c r="C43" s="439">
        <v>26453369.52</v>
      </c>
      <c r="D43" s="439"/>
      <c r="E43" s="439">
        <v>6569540.1399999997</v>
      </c>
      <c r="F43" s="439"/>
      <c r="G43" s="439">
        <v>55304779.030000001</v>
      </c>
      <c r="H43" s="439"/>
      <c r="I43" s="439">
        <v>116298.34</v>
      </c>
    </row>
    <row r="44" spans="1:9" x14ac:dyDescent="0.2">
      <c r="A44" s="437" t="s">
        <v>522</v>
      </c>
      <c r="B44" s="438"/>
      <c r="C44" s="439">
        <v>26588016.84</v>
      </c>
      <c r="D44" s="439"/>
      <c r="E44" s="439">
        <v>6404130.1200000001</v>
      </c>
      <c r="F44" s="439"/>
      <c r="G44" s="439">
        <v>52764896.359999999</v>
      </c>
      <c r="H44" s="439"/>
      <c r="I44" s="439">
        <v>2429887.2000000002</v>
      </c>
    </row>
    <row r="45" spans="1:9" x14ac:dyDescent="0.2">
      <c r="A45" s="437" t="s">
        <v>523</v>
      </c>
      <c r="B45" s="438"/>
      <c r="C45" s="439">
        <v>27370026.449999999</v>
      </c>
      <c r="D45" s="439"/>
      <c r="E45" s="439">
        <v>6454807.6299999999</v>
      </c>
      <c r="F45" s="439"/>
      <c r="G45" s="439">
        <v>41770627.770000003</v>
      </c>
      <c r="H45" s="439"/>
      <c r="I45" s="439">
        <v>2260935.06</v>
      </c>
    </row>
    <row r="47" spans="1:9" x14ac:dyDescent="0.2">
      <c r="A47" s="425" t="s">
        <v>524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F20"/>
  <sheetViews>
    <sheetView zoomScaleNormal="65" zoomScaleSheetLayoutView="227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14.28515625" style="290" bestFit="1" customWidth="1"/>
    <col min="2" max="2" width="8.42578125" style="290" customWidth="1"/>
    <col min="3" max="3" width="12.7109375" style="290" bestFit="1" customWidth="1"/>
    <col min="4" max="4" width="11.7109375" style="290" bestFit="1" customWidth="1"/>
    <col min="5" max="5" width="12.7109375" style="290" bestFit="1" customWidth="1"/>
    <col min="6" max="6" width="11.7109375" style="290" bestFit="1" customWidth="1"/>
    <col min="7" max="16384" width="9.140625" style="290"/>
  </cols>
  <sheetData>
    <row r="1" spans="1:6" x14ac:dyDescent="0.2">
      <c r="A1" s="425" t="s">
        <v>478</v>
      </c>
    </row>
    <row r="3" spans="1:6" x14ac:dyDescent="0.2">
      <c r="A3" s="463" t="s">
        <v>480</v>
      </c>
    </row>
    <row r="5" spans="1:6" x14ac:dyDescent="0.2">
      <c r="A5" s="464"/>
      <c r="B5" s="465"/>
      <c r="C5" s="466" t="s">
        <v>481</v>
      </c>
      <c r="D5" s="467"/>
      <c r="E5" s="467"/>
      <c r="F5" s="468"/>
    </row>
    <row r="6" spans="1:6" x14ac:dyDescent="0.2">
      <c r="A6" s="469"/>
      <c r="B6" s="465" t="s">
        <v>482</v>
      </c>
      <c r="C6" s="466" t="s">
        <v>477</v>
      </c>
      <c r="D6" s="467"/>
      <c r="E6" s="467"/>
      <c r="F6" s="468"/>
    </row>
    <row r="7" spans="1:6" ht="51" x14ac:dyDescent="0.2">
      <c r="A7" s="470"/>
      <c r="B7" s="471" t="s">
        <v>483</v>
      </c>
      <c r="C7" s="471" t="s">
        <v>484</v>
      </c>
      <c r="D7" s="471" t="s">
        <v>485</v>
      </c>
      <c r="E7" s="471" t="s">
        <v>486</v>
      </c>
      <c r="F7" s="471" t="s">
        <v>487</v>
      </c>
    </row>
    <row r="8" spans="1:6" x14ac:dyDescent="0.2">
      <c r="A8" s="472" t="s">
        <v>482</v>
      </c>
      <c r="B8" s="473"/>
      <c r="C8" s="473"/>
      <c r="D8" s="473"/>
      <c r="E8" s="473"/>
      <c r="F8" s="473"/>
    </row>
    <row r="9" spans="1:6" x14ac:dyDescent="0.2">
      <c r="A9" s="472" t="s">
        <v>568</v>
      </c>
      <c r="B9" s="473"/>
      <c r="C9" s="474">
        <v>27414373.870000001</v>
      </c>
      <c r="D9" s="474">
        <v>6542041.79</v>
      </c>
      <c r="E9" s="474">
        <v>41778204.710000001</v>
      </c>
      <c r="F9" s="474">
        <v>2706743.08</v>
      </c>
    </row>
    <row r="10" spans="1:6" x14ac:dyDescent="0.2">
      <c r="A10" s="472" t="s">
        <v>569</v>
      </c>
      <c r="B10" s="473"/>
      <c r="C10" s="474">
        <v>27811764.199999999</v>
      </c>
      <c r="D10" s="474">
        <v>6350194.1299999999</v>
      </c>
      <c r="E10" s="474">
        <v>40174765.68</v>
      </c>
      <c r="F10" s="474">
        <v>2419842.46</v>
      </c>
    </row>
    <row r="11" spans="1:6" x14ac:dyDescent="0.2">
      <c r="A11" s="472" t="s">
        <v>570</v>
      </c>
      <c r="B11" s="473"/>
      <c r="C11" s="474">
        <v>27633554.260000002</v>
      </c>
      <c r="D11" s="474">
        <v>6468774.5499999998</v>
      </c>
      <c r="E11" s="474">
        <v>36893399.789999999</v>
      </c>
      <c r="F11" s="474">
        <v>2132941.84</v>
      </c>
    </row>
    <row r="12" spans="1:6" x14ac:dyDescent="0.2">
      <c r="A12" s="472" t="s">
        <v>571</v>
      </c>
      <c r="B12" s="473"/>
      <c r="C12" s="474">
        <v>28045637.93</v>
      </c>
      <c r="D12" s="474">
        <v>6524614.1900000004</v>
      </c>
      <c r="E12" s="474">
        <v>46647686.539999999</v>
      </c>
      <c r="F12" s="474">
        <v>1846041.22</v>
      </c>
    </row>
    <row r="13" spans="1:6" x14ac:dyDescent="0.2">
      <c r="A13" s="472" t="s">
        <v>572</v>
      </c>
      <c r="B13" s="473"/>
      <c r="C13" s="474">
        <v>28176794.530000001</v>
      </c>
      <c r="D13" s="474">
        <v>6498163.5899999999</v>
      </c>
      <c r="E13" s="474">
        <v>56160099.439999998</v>
      </c>
      <c r="F13" s="474">
        <v>1559140.6</v>
      </c>
    </row>
    <row r="14" spans="1:6" x14ac:dyDescent="0.2">
      <c r="A14" s="472" t="s">
        <v>573</v>
      </c>
      <c r="B14" s="473"/>
      <c r="C14" s="474">
        <v>28419719.300000001</v>
      </c>
      <c r="D14" s="474">
        <v>6360857.7599999998</v>
      </c>
      <c r="E14" s="474">
        <v>55673865.460000001</v>
      </c>
      <c r="F14" s="474">
        <v>1253469.6000000001</v>
      </c>
    </row>
    <row r="15" spans="1:6" x14ac:dyDescent="0.2">
      <c r="A15" s="472" t="s">
        <v>574</v>
      </c>
      <c r="B15" s="473"/>
      <c r="C15" s="474">
        <v>28921508.43</v>
      </c>
      <c r="D15" s="474">
        <v>6422212.96</v>
      </c>
      <c r="E15" s="474">
        <v>46798590.890000001</v>
      </c>
      <c r="F15" s="474">
        <v>969697.37</v>
      </c>
    </row>
    <row r="16" spans="1:6" x14ac:dyDescent="0.2">
      <c r="A16" s="472" t="s">
        <v>575</v>
      </c>
      <c r="B16" s="473"/>
      <c r="C16" s="474">
        <v>29348359.420000002</v>
      </c>
      <c r="D16" s="474">
        <v>6400985.3799999999</v>
      </c>
      <c r="E16" s="474">
        <v>55005776.43</v>
      </c>
      <c r="F16" s="474">
        <v>685925.14</v>
      </c>
    </row>
    <row r="17" spans="1:6" x14ac:dyDescent="0.2">
      <c r="A17" s="472" t="s">
        <v>576</v>
      </c>
      <c r="B17" s="473"/>
      <c r="C17" s="474">
        <v>29600567.719999999</v>
      </c>
      <c r="D17" s="474">
        <v>6427122.5499999998</v>
      </c>
      <c r="E17" s="474">
        <v>59018761.759999998</v>
      </c>
      <c r="F17" s="474">
        <v>402152.91</v>
      </c>
    </row>
    <row r="18" spans="1:6" x14ac:dyDescent="0.2">
      <c r="A18" s="472" t="s">
        <v>577</v>
      </c>
      <c r="B18" s="473"/>
      <c r="C18" s="474">
        <v>29440550.809999999</v>
      </c>
      <c r="D18" s="474">
        <v>6302300.8200000003</v>
      </c>
      <c r="E18" s="474">
        <v>76484790.959999993</v>
      </c>
      <c r="F18" s="474">
        <v>126906.68</v>
      </c>
    </row>
    <row r="19" spans="1:6" x14ac:dyDescent="0.2">
      <c r="A19" s="472" t="s">
        <v>578</v>
      </c>
      <c r="B19" s="473"/>
      <c r="C19" s="474">
        <v>29681308.239999998</v>
      </c>
      <c r="D19" s="474">
        <v>6291926.1500000004</v>
      </c>
      <c r="E19" s="474">
        <v>78771684.299999997</v>
      </c>
      <c r="F19" s="474">
        <v>2964415.97</v>
      </c>
    </row>
    <row r="20" spans="1:6" x14ac:dyDescent="0.2">
      <c r="A20" s="472" t="s">
        <v>579</v>
      </c>
      <c r="B20" s="473"/>
      <c r="C20" s="474">
        <v>29561689.399999999</v>
      </c>
      <c r="D20" s="474">
        <v>6202308.3700000001</v>
      </c>
      <c r="E20" s="474">
        <v>72708035.069999993</v>
      </c>
      <c r="F20" s="474">
        <v>2641114.2000000002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T66"/>
  <sheetViews>
    <sheetView showGridLines="0" zoomScale="75" workbookViewId="0"/>
  </sheetViews>
  <sheetFormatPr defaultColWidth="10.28515625" defaultRowHeight="15.75" x14ac:dyDescent="0.25"/>
  <cols>
    <col min="1" max="1" width="52.140625" style="119" customWidth="1"/>
    <col min="2" max="2" width="4.140625" style="119" customWidth="1"/>
    <col min="3" max="3" width="20.140625" style="119" customWidth="1"/>
    <col min="4" max="4" width="3" style="119" customWidth="1"/>
    <col min="5" max="5" width="20.140625" style="119" customWidth="1"/>
    <col min="6" max="6" width="6.42578125" style="119" customWidth="1"/>
    <col min="7" max="7" width="20.140625" style="119" customWidth="1"/>
    <col min="8" max="8" width="3" style="119" customWidth="1"/>
    <col min="9" max="9" width="20.140625" style="119" customWidth="1"/>
    <col min="10" max="10" width="6.42578125" style="119" customWidth="1"/>
    <col min="11" max="11" width="20.140625" style="119" customWidth="1"/>
    <col min="12" max="12" width="3" style="119" customWidth="1"/>
    <col min="13" max="13" width="20.140625" style="119" customWidth="1"/>
    <col min="14" max="16384" width="10.28515625" style="119"/>
  </cols>
  <sheetData>
    <row r="1" spans="1:13" x14ac:dyDescent="0.25">
      <c r="A1" s="120" t="s">
        <v>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25">
      <c r="A2" s="122" t="s">
        <v>525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s="452" customFormat="1" x14ac:dyDescent="0.25">
      <c r="A3" s="873" t="str">
        <f>'[25]13'!A3</f>
        <v>DECEMBER 31, 2007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</row>
    <row r="5" spans="1:13" x14ac:dyDescent="0.25">
      <c r="C5" s="453" t="s">
        <v>526</v>
      </c>
      <c r="D5" s="453"/>
      <c r="E5" s="453"/>
      <c r="G5" s="453" t="s">
        <v>527</v>
      </c>
      <c r="H5" s="453"/>
      <c r="I5" s="453"/>
      <c r="K5" s="453" t="s">
        <v>299</v>
      </c>
      <c r="L5" s="453"/>
      <c r="M5" s="453"/>
    </row>
    <row r="6" spans="1:13" x14ac:dyDescent="0.25">
      <c r="A6" s="119" t="s">
        <v>482</v>
      </c>
      <c r="K6" s="454"/>
      <c r="L6" s="454"/>
      <c r="M6" s="454"/>
    </row>
    <row r="7" spans="1:13" x14ac:dyDescent="0.25">
      <c r="C7" s="455" t="s">
        <v>300</v>
      </c>
      <c r="D7" s="454"/>
      <c r="E7" s="455" t="s">
        <v>301</v>
      </c>
      <c r="F7" s="454"/>
      <c r="G7" s="455" t="s">
        <v>300</v>
      </c>
      <c r="H7" s="454"/>
      <c r="I7" s="455" t="s">
        <v>301</v>
      </c>
      <c r="J7" s="454"/>
      <c r="K7" s="455" t="s">
        <v>300</v>
      </c>
      <c r="L7" s="454"/>
      <c r="M7" s="455" t="s">
        <v>301</v>
      </c>
    </row>
    <row r="9" spans="1:13" x14ac:dyDescent="0.25">
      <c r="A9" s="119" t="s">
        <v>528</v>
      </c>
      <c r="B9" s="130" t="s">
        <v>198</v>
      </c>
      <c r="C9" s="107">
        <v>42678828.740000002</v>
      </c>
      <c r="D9" s="107"/>
      <c r="E9" s="107">
        <v>40085205.100000001</v>
      </c>
      <c r="F9" s="107"/>
      <c r="G9" s="107">
        <v>430071776.70999998</v>
      </c>
      <c r="H9" s="107"/>
      <c r="I9" s="107">
        <v>380586936.07999998</v>
      </c>
      <c r="J9" s="107"/>
      <c r="K9" s="107">
        <v>430071776.70999998</v>
      </c>
      <c r="L9" s="107"/>
      <c r="M9" s="107">
        <v>380586936.07999998</v>
      </c>
    </row>
    <row r="10" spans="1:13" x14ac:dyDescent="0.25">
      <c r="A10" s="119" t="s">
        <v>529</v>
      </c>
      <c r="B10" s="130" t="s">
        <v>198</v>
      </c>
      <c r="C10" s="107">
        <v>22027956.18</v>
      </c>
      <c r="D10" s="107"/>
      <c r="E10" s="107">
        <v>22292176.120000001</v>
      </c>
      <c r="F10" s="107"/>
      <c r="G10" s="107">
        <v>293558427.45999998</v>
      </c>
      <c r="H10" s="107"/>
      <c r="I10" s="107">
        <v>261749380.19</v>
      </c>
      <c r="J10" s="107"/>
      <c r="K10" s="107">
        <v>293558427.45999998</v>
      </c>
      <c r="L10" s="107"/>
      <c r="M10" s="107">
        <v>261749380.19</v>
      </c>
    </row>
    <row r="11" spans="1:13" x14ac:dyDescent="0.25">
      <c r="A11" s="119" t="s">
        <v>530</v>
      </c>
      <c r="B11" s="130" t="s">
        <v>198</v>
      </c>
      <c r="C11" s="107">
        <v>20193548.859999999</v>
      </c>
      <c r="D11" s="107"/>
      <c r="E11" s="107">
        <v>19797304.07</v>
      </c>
      <c r="F11" s="107"/>
      <c r="G11" s="107">
        <v>258005471.84</v>
      </c>
      <c r="H11" s="107"/>
      <c r="I11" s="107">
        <v>242886710.94999999</v>
      </c>
      <c r="J11" s="107"/>
      <c r="K11" s="107">
        <v>258005471.84</v>
      </c>
      <c r="L11" s="107"/>
      <c r="M11" s="107">
        <v>242886710.94999999</v>
      </c>
    </row>
    <row r="12" spans="1:13" x14ac:dyDescent="0.25">
      <c r="A12" s="119" t="s">
        <v>531</v>
      </c>
      <c r="B12" s="130" t="s">
        <v>198</v>
      </c>
      <c r="C12" s="108">
        <v>3531988.5</v>
      </c>
      <c r="D12" s="108"/>
      <c r="E12" s="108">
        <v>3725130.1</v>
      </c>
      <c r="F12" s="108"/>
      <c r="G12" s="108">
        <v>45217810.329999998</v>
      </c>
      <c r="H12" s="108"/>
      <c r="I12" s="108">
        <v>42675015.490000002</v>
      </c>
      <c r="J12" s="108"/>
      <c r="K12" s="108">
        <v>45217810.329999998</v>
      </c>
      <c r="L12" s="108"/>
      <c r="M12" s="108">
        <v>42675015.490000002</v>
      </c>
    </row>
    <row r="13" spans="1:13" x14ac:dyDescent="0.25">
      <c r="A13" s="119" t="s">
        <v>532</v>
      </c>
      <c r="B13" s="130" t="s">
        <v>198</v>
      </c>
      <c r="C13" s="107">
        <v>718104.5</v>
      </c>
      <c r="D13" s="107"/>
      <c r="E13" s="107">
        <v>733990.05</v>
      </c>
      <c r="F13" s="107"/>
      <c r="G13" s="107">
        <v>9371014.0199999996</v>
      </c>
      <c r="H13" s="107"/>
      <c r="I13" s="107">
        <v>8539349.7300000004</v>
      </c>
      <c r="J13" s="107"/>
      <c r="K13" s="107">
        <v>9371014.0199999996</v>
      </c>
      <c r="L13" s="107"/>
      <c r="M13" s="107">
        <v>8539349.7300000004</v>
      </c>
    </row>
    <row r="14" spans="1:13" x14ac:dyDescent="0.25">
      <c r="A14" s="119" t="s">
        <v>533</v>
      </c>
      <c r="B14" s="130" t="s">
        <v>198</v>
      </c>
      <c r="C14" s="108">
        <v>6078032.75</v>
      </c>
      <c r="D14" s="108"/>
      <c r="E14" s="108">
        <v>6454361.9800000004</v>
      </c>
      <c r="F14" s="108"/>
      <c r="G14" s="108">
        <v>83771459.469999999</v>
      </c>
      <c r="H14" s="108"/>
      <c r="I14" s="108">
        <v>76818910.109999999</v>
      </c>
      <c r="J14" s="108"/>
      <c r="K14" s="108">
        <v>83771459.469999999</v>
      </c>
      <c r="L14" s="108"/>
      <c r="M14" s="108">
        <v>76818910.109999999</v>
      </c>
    </row>
    <row r="15" spans="1:13" x14ac:dyDescent="0.25">
      <c r="A15" s="119" t="s">
        <v>534</v>
      </c>
      <c r="B15" s="130" t="s">
        <v>198</v>
      </c>
      <c r="C15" s="116">
        <v>374437.57</v>
      </c>
      <c r="D15" s="108"/>
      <c r="E15" s="116">
        <v>-9875.25</v>
      </c>
      <c r="F15" s="108"/>
      <c r="G15" s="116">
        <v>4459952.13</v>
      </c>
      <c r="H15" s="108"/>
      <c r="I15" s="116">
        <v>3658395.28</v>
      </c>
      <c r="J15" s="108"/>
      <c r="K15" s="116">
        <v>4459952.13</v>
      </c>
      <c r="L15" s="108"/>
      <c r="M15" s="116">
        <v>3658395.28</v>
      </c>
    </row>
    <row r="16" spans="1:13" hidden="1" x14ac:dyDescent="0.25">
      <c r="A16" s="119" t="s">
        <v>535</v>
      </c>
      <c r="B16" s="130" t="s">
        <v>198</v>
      </c>
      <c r="C16" s="116">
        <v>0</v>
      </c>
      <c r="D16" s="108"/>
      <c r="E16" s="116">
        <v>0</v>
      </c>
      <c r="F16" s="108"/>
      <c r="G16" s="116">
        <v>0</v>
      </c>
      <c r="H16" s="108"/>
      <c r="I16" s="116">
        <v>0</v>
      </c>
      <c r="J16" s="108"/>
      <c r="K16" s="116">
        <v>0</v>
      </c>
      <c r="L16" s="108"/>
      <c r="M16" s="116">
        <v>0</v>
      </c>
    </row>
    <row r="17" spans="1:13" x14ac:dyDescent="0.25">
      <c r="B17" s="130" t="s">
        <v>198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1:13" x14ac:dyDescent="0.25">
      <c r="A18" s="119" t="s">
        <v>536</v>
      </c>
      <c r="B18" s="130" t="s">
        <v>198</v>
      </c>
      <c r="C18" s="116">
        <v>95602897.099999994</v>
      </c>
      <c r="D18" s="107"/>
      <c r="E18" s="116">
        <v>93078292.170000002</v>
      </c>
      <c r="F18" s="107"/>
      <c r="G18" s="116">
        <v>1124455911.96</v>
      </c>
      <c r="H18" s="107"/>
      <c r="I18" s="116">
        <v>1016914697.83</v>
      </c>
      <c r="J18" s="107"/>
      <c r="K18" s="116">
        <v>1124455911.96</v>
      </c>
      <c r="L18" s="107"/>
      <c r="M18" s="116">
        <v>1016914697.83</v>
      </c>
    </row>
    <row r="19" spans="1:13" x14ac:dyDescent="0.25">
      <c r="B19" s="130" t="s">
        <v>198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 x14ac:dyDescent="0.25">
      <c r="A20" s="119" t="s">
        <v>537</v>
      </c>
      <c r="B20" s="130" t="s">
        <v>198</v>
      </c>
      <c r="C20" s="107">
        <v>655865.34</v>
      </c>
      <c r="D20" s="107"/>
      <c r="E20" s="107">
        <v>513238.56</v>
      </c>
      <c r="F20" s="107"/>
      <c r="G20" s="107">
        <v>5130178.1399999997</v>
      </c>
      <c r="H20" s="107"/>
      <c r="I20" s="107">
        <v>8775089.2400000002</v>
      </c>
      <c r="J20" s="107"/>
      <c r="K20" s="107">
        <v>5130178.1399999997</v>
      </c>
      <c r="L20" s="107"/>
      <c r="M20" s="107">
        <v>8775089.2400000002</v>
      </c>
    </row>
    <row r="21" spans="1:13" x14ac:dyDescent="0.25">
      <c r="A21" s="119" t="s">
        <v>564</v>
      </c>
      <c r="B21" s="130" t="s">
        <v>198</v>
      </c>
      <c r="C21" s="107">
        <v>5444225.2800000003</v>
      </c>
      <c r="D21" s="107"/>
      <c r="E21" s="107">
        <v>5631420.8700000001</v>
      </c>
      <c r="F21" s="107"/>
      <c r="G21" s="107">
        <v>45589608.350000001</v>
      </c>
      <c r="H21" s="107"/>
      <c r="I21" s="107">
        <v>76646807.849999994</v>
      </c>
      <c r="J21" s="107"/>
      <c r="K21" s="107">
        <v>45589608.350000001</v>
      </c>
      <c r="L21" s="107"/>
      <c r="M21" s="107">
        <v>76646807.849999994</v>
      </c>
    </row>
    <row r="22" spans="1:13" x14ac:dyDescent="0.25">
      <c r="A22" s="119" t="s">
        <v>538</v>
      </c>
      <c r="B22" s="130" t="s">
        <v>198</v>
      </c>
      <c r="C22" s="107">
        <v>6946594.2800000003</v>
      </c>
      <c r="D22" s="107"/>
      <c r="E22" s="107">
        <v>6707682.8899999997</v>
      </c>
      <c r="F22" s="107"/>
      <c r="G22" s="107">
        <v>89987951.819999993</v>
      </c>
      <c r="H22" s="107"/>
      <c r="I22" s="107">
        <v>84692989.370000005</v>
      </c>
      <c r="J22" s="107"/>
      <c r="K22" s="107">
        <v>89987951.819999993</v>
      </c>
      <c r="L22" s="107"/>
      <c r="M22" s="107">
        <v>84692989.370000005</v>
      </c>
    </row>
    <row r="23" spans="1:13" x14ac:dyDescent="0.25">
      <c r="A23" s="119" t="s">
        <v>539</v>
      </c>
      <c r="B23" s="130" t="s">
        <v>198</v>
      </c>
      <c r="C23" s="107">
        <v>0</v>
      </c>
      <c r="D23" s="107"/>
      <c r="E23" s="107">
        <v>707008.94</v>
      </c>
      <c r="F23" s="107"/>
      <c r="G23" s="107">
        <v>2542297.7000000002</v>
      </c>
      <c r="H23" s="107"/>
      <c r="I23" s="107">
        <v>16832772.920000002</v>
      </c>
      <c r="J23" s="107"/>
      <c r="K23" s="107">
        <v>2542297.7000000002</v>
      </c>
      <c r="L23" s="107"/>
      <c r="M23" s="107">
        <v>16832772.920000002</v>
      </c>
    </row>
    <row r="24" spans="1:13" hidden="1" x14ac:dyDescent="0.25">
      <c r="A24" s="119" t="s">
        <v>565</v>
      </c>
      <c r="B24" s="130" t="s">
        <v>198</v>
      </c>
      <c r="C24" s="107">
        <v>0</v>
      </c>
      <c r="D24" s="107"/>
      <c r="E24" s="107">
        <v>0</v>
      </c>
      <c r="F24" s="107"/>
      <c r="G24" s="107">
        <v>0</v>
      </c>
      <c r="H24" s="107"/>
      <c r="I24" s="107">
        <v>0</v>
      </c>
      <c r="J24" s="107"/>
      <c r="K24" s="107">
        <v>0</v>
      </c>
      <c r="L24" s="107"/>
      <c r="M24" s="107">
        <v>0</v>
      </c>
    </row>
    <row r="25" spans="1:13" x14ac:dyDescent="0.25">
      <c r="A25" s="119" t="s">
        <v>540</v>
      </c>
      <c r="B25" s="130" t="s">
        <v>198</v>
      </c>
      <c r="C25" s="107">
        <v>0</v>
      </c>
      <c r="D25" s="107"/>
      <c r="E25" s="107">
        <v>-989339.45</v>
      </c>
      <c r="F25" s="107"/>
      <c r="G25" s="107">
        <v>-2257784.2799999998</v>
      </c>
      <c r="H25" s="107"/>
      <c r="I25" s="107">
        <v>-14970038.73</v>
      </c>
      <c r="J25" s="107"/>
      <c r="K25" s="107">
        <v>-2257784.2799999998</v>
      </c>
      <c r="L25" s="107"/>
      <c r="M25" s="107">
        <v>-14970038.73</v>
      </c>
    </row>
    <row r="26" spans="1:13" x14ac:dyDescent="0.25">
      <c r="A26" s="119" t="s">
        <v>566</v>
      </c>
      <c r="B26" s="130" t="s">
        <v>198</v>
      </c>
      <c r="C26" s="107">
        <v>13639.89</v>
      </c>
      <c r="D26" s="107"/>
      <c r="E26" s="107">
        <v>320481.39</v>
      </c>
      <c r="F26" s="107"/>
      <c r="G26" s="107">
        <v>124069.09</v>
      </c>
      <c r="H26" s="107"/>
      <c r="I26" s="107">
        <v>942426.92</v>
      </c>
      <c r="J26" s="107"/>
      <c r="K26" s="107">
        <v>124069.09</v>
      </c>
      <c r="L26" s="107"/>
      <c r="M26" s="107">
        <v>942426.92</v>
      </c>
    </row>
    <row r="27" spans="1:13" x14ac:dyDescent="0.25">
      <c r="A27" s="119" t="s">
        <v>567</v>
      </c>
      <c r="B27" s="130" t="s">
        <v>198</v>
      </c>
      <c r="C27" s="107">
        <v>-25465.95</v>
      </c>
      <c r="D27" s="107"/>
      <c r="E27" s="107">
        <v>-11365.23</v>
      </c>
      <c r="F27" s="107"/>
      <c r="G27" s="107">
        <v>-283846.28999999998</v>
      </c>
      <c r="H27" s="107"/>
      <c r="I27" s="107">
        <v>-197925.72</v>
      </c>
      <c r="J27" s="107"/>
      <c r="K27" s="107">
        <v>-283846.28999999998</v>
      </c>
      <c r="L27" s="107"/>
      <c r="M27" s="107">
        <v>-197925.72</v>
      </c>
    </row>
    <row r="28" spans="1:13" x14ac:dyDescent="0.25">
      <c r="A28" s="119" t="s">
        <v>541</v>
      </c>
      <c r="B28" s="130" t="s">
        <v>198</v>
      </c>
      <c r="C28" s="107">
        <v>66573.94</v>
      </c>
      <c r="D28" s="107"/>
      <c r="E28" s="107">
        <v>62530.2</v>
      </c>
      <c r="F28" s="107"/>
      <c r="G28" s="107">
        <v>1307910.81</v>
      </c>
      <c r="H28" s="107"/>
      <c r="I28" s="107">
        <v>1391724.24</v>
      </c>
      <c r="J28" s="107"/>
      <c r="K28" s="107">
        <v>1307910.81</v>
      </c>
      <c r="L28" s="107"/>
      <c r="M28" s="107">
        <v>1391724.24</v>
      </c>
    </row>
    <row r="29" spans="1:13" x14ac:dyDescent="0.25">
      <c r="A29" s="119" t="s">
        <v>542</v>
      </c>
      <c r="B29" s="130" t="s">
        <v>198</v>
      </c>
      <c r="C29" s="107">
        <v>140756.32</v>
      </c>
      <c r="D29" s="107"/>
      <c r="E29" s="107">
        <v>-29316.91</v>
      </c>
      <c r="F29" s="107"/>
      <c r="G29" s="107">
        <v>2123575.85</v>
      </c>
      <c r="H29" s="107"/>
      <c r="I29" s="107">
        <v>2729645.13</v>
      </c>
      <c r="J29" s="107"/>
      <c r="K29" s="107">
        <v>2123575.85</v>
      </c>
      <c r="L29" s="107"/>
      <c r="M29" s="107">
        <v>2729645.13</v>
      </c>
    </row>
    <row r="30" spans="1:13" x14ac:dyDescent="0.25">
      <c r="A30" s="119" t="s">
        <v>543</v>
      </c>
      <c r="B30" s="130" t="s">
        <v>198</v>
      </c>
      <c r="C30" s="116">
        <v>485552.76</v>
      </c>
      <c r="D30" s="107"/>
      <c r="E30" s="116">
        <v>420850.59</v>
      </c>
      <c r="F30" s="107"/>
      <c r="G30" s="116">
        <v>3829026.09</v>
      </c>
      <c r="H30" s="107"/>
      <c r="I30" s="116">
        <v>16261095.52</v>
      </c>
      <c r="J30" s="107"/>
      <c r="K30" s="116">
        <v>3829026.09</v>
      </c>
      <c r="L30" s="107"/>
      <c r="M30" s="116">
        <v>16261095.52</v>
      </c>
    </row>
    <row r="31" spans="1:13" x14ac:dyDescent="0.25">
      <c r="B31" s="130" t="s">
        <v>198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x14ac:dyDescent="0.25">
      <c r="A32" s="119" t="s">
        <v>544</v>
      </c>
      <c r="B32" s="130" t="s">
        <v>198</v>
      </c>
      <c r="C32" s="116">
        <v>109330638.95999999</v>
      </c>
      <c r="D32" s="107"/>
      <c r="E32" s="116">
        <v>106411484.02</v>
      </c>
      <c r="F32" s="107"/>
      <c r="G32" s="116">
        <v>1272548899.24</v>
      </c>
      <c r="H32" s="107"/>
      <c r="I32" s="116">
        <v>1210019284.5699999</v>
      </c>
      <c r="J32" s="107"/>
      <c r="K32" s="116">
        <v>1272548899.24</v>
      </c>
      <c r="L32" s="107"/>
      <c r="M32" s="116">
        <v>1210019284.5699999</v>
      </c>
    </row>
    <row r="33" spans="1:19" x14ac:dyDescent="0.25">
      <c r="B33" s="130" t="s">
        <v>198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19" x14ac:dyDescent="0.25">
      <c r="A34" s="119" t="s">
        <v>545</v>
      </c>
      <c r="B34" s="130" t="s">
        <v>198</v>
      </c>
      <c r="C34" s="107">
        <v>36267540.75</v>
      </c>
      <c r="D34" s="107"/>
      <c r="E34" s="107">
        <v>33586088.340000004</v>
      </c>
      <c r="F34" s="107"/>
      <c r="G34" s="107">
        <v>402527314.81999999</v>
      </c>
      <c r="H34" s="107"/>
      <c r="I34" s="107">
        <v>377673156.64999998</v>
      </c>
      <c r="J34" s="107"/>
      <c r="K34" s="107">
        <v>402527314.81999999</v>
      </c>
      <c r="L34" s="107"/>
      <c r="M34" s="107">
        <v>377673156.64999998</v>
      </c>
    </row>
    <row r="35" spans="1:19" x14ac:dyDescent="0.25">
      <c r="A35" s="119" t="s">
        <v>546</v>
      </c>
      <c r="B35" s="130" t="s">
        <v>198</v>
      </c>
      <c r="C35" s="107">
        <v>2509494.62</v>
      </c>
      <c r="D35" s="107"/>
      <c r="E35" s="107">
        <v>3695675.15</v>
      </c>
      <c r="F35" s="107"/>
      <c r="G35" s="107">
        <v>29361551.309999999</v>
      </c>
      <c r="H35" s="107"/>
      <c r="I35" s="107">
        <v>28444295.120000001</v>
      </c>
      <c r="J35" s="107"/>
      <c r="K35" s="107">
        <v>29361551.309999999</v>
      </c>
      <c r="L35" s="107"/>
      <c r="M35" s="107">
        <v>28444295.120000001</v>
      </c>
    </row>
    <row r="36" spans="1:19" x14ac:dyDescent="0.25">
      <c r="A36" s="119" t="s">
        <v>547</v>
      </c>
      <c r="B36" s="130" t="s">
        <v>198</v>
      </c>
      <c r="C36" s="116">
        <v>3738477.47</v>
      </c>
      <c r="D36" s="107"/>
      <c r="E36" s="116">
        <v>3185609.08</v>
      </c>
      <c r="F36" s="107"/>
      <c r="G36" s="116">
        <v>49011850.25</v>
      </c>
      <c r="H36" s="107"/>
      <c r="I36" s="116">
        <v>36067313.719999999</v>
      </c>
      <c r="J36" s="107"/>
      <c r="K36" s="116">
        <v>49011850.25</v>
      </c>
      <c r="L36" s="107"/>
      <c r="M36" s="116">
        <v>36067313.719999999</v>
      </c>
    </row>
    <row r="37" spans="1:19" x14ac:dyDescent="0.25">
      <c r="B37" s="130" t="s">
        <v>198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9" x14ac:dyDescent="0.25">
      <c r="A38" s="119" t="s">
        <v>549</v>
      </c>
      <c r="B38" s="130" t="s">
        <v>198</v>
      </c>
      <c r="C38" s="116">
        <v>42515512.840000004</v>
      </c>
      <c r="D38" s="107"/>
      <c r="E38" s="116">
        <v>40467372.57</v>
      </c>
      <c r="F38" s="107"/>
      <c r="G38" s="116">
        <v>480900716.38</v>
      </c>
      <c r="H38" s="107"/>
      <c r="I38" s="116">
        <v>442184765.49000001</v>
      </c>
      <c r="J38" s="107"/>
      <c r="K38" s="116">
        <v>480900716.38</v>
      </c>
      <c r="L38" s="107"/>
      <c r="M38" s="116">
        <v>442184765.49000001</v>
      </c>
    </row>
    <row r="39" spans="1:19" x14ac:dyDescent="0.25">
      <c r="B39" s="130" t="s">
        <v>198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9" x14ac:dyDescent="0.25">
      <c r="A40" s="119" t="s">
        <v>550</v>
      </c>
      <c r="B40" s="130" t="s">
        <v>198</v>
      </c>
      <c r="C40" s="107">
        <v>940.93</v>
      </c>
      <c r="D40" s="107"/>
      <c r="E40" s="107">
        <v>1270.5</v>
      </c>
      <c r="F40" s="107"/>
      <c r="G40" s="107">
        <v>39419.74</v>
      </c>
      <c r="H40" s="107"/>
      <c r="I40" s="107">
        <v>42217.440000000002</v>
      </c>
      <c r="J40" s="107"/>
      <c r="K40" s="107">
        <v>39419.74</v>
      </c>
      <c r="L40" s="107"/>
      <c r="M40" s="107">
        <v>42217.440000000002</v>
      </c>
    </row>
    <row r="41" spans="1:19" x14ac:dyDescent="0.25">
      <c r="A41" s="119" t="s">
        <v>551</v>
      </c>
      <c r="B41" s="130" t="s">
        <v>198</v>
      </c>
      <c r="C41" s="116">
        <v>17389.09</v>
      </c>
      <c r="D41" s="107"/>
      <c r="E41" s="116">
        <v>15212.61</v>
      </c>
      <c r="F41" s="107"/>
      <c r="G41" s="116">
        <v>455474.55</v>
      </c>
      <c r="H41" s="107"/>
      <c r="I41" s="116">
        <v>294470.23</v>
      </c>
      <c r="J41" s="107"/>
      <c r="K41" s="116">
        <v>455474.55</v>
      </c>
      <c r="L41" s="107"/>
      <c r="M41" s="116">
        <v>294470.23</v>
      </c>
    </row>
    <row r="42" spans="1:19" x14ac:dyDescent="0.25">
      <c r="B42" s="130" t="s">
        <v>198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9" x14ac:dyDescent="0.25">
      <c r="A43" s="119" t="s">
        <v>553</v>
      </c>
      <c r="B43" s="130" t="s">
        <v>198</v>
      </c>
      <c r="C43" s="116">
        <v>18330.02</v>
      </c>
      <c r="D43" s="107"/>
      <c r="E43" s="116">
        <v>16483.11</v>
      </c>
      <c r="F43" s="107"/>
      <c r="G43" s="116">
        <v>494894.29</v>
      </c>
      <c r="H43" s="107"/>
      <c r="I43" s="116">
        <v>336687.67</v>
      </c>
      <c r="J43" s="107"/>
      <c r="K43" s="116">
        <v>494894.29</v>
      </c>
      <c r="L43" s="107"/>
      <c r="M43" s="116">
        <v>336687.67</v>
      </c>
    </row>
    <row r="44" spans="1:19" x14ac:dyDescent="0.25">
      <c r="B44" s="130" t="s">
        <v>198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9" x14ac:dyDescent="0.25">
      <c r="A45" s="119" t="s">
        <v>554</v>
      </c>
      <c r="B45" s="130" t="s">
        <v>198</v>
      </c>
      <c r="C45" s="107">
        <v>2464705.29</v>
      </c>
      <c r="D45" s="107"/>
      <c r="E45" s="107">
        <v>637896.19999999995</v>
      </c>
      <c r="F45" s="107"/>
      <c r="G45" s="107">
        <v>57591369.82</v>
      </c>
      <c r="H45" s="107"/>
      <c r="I45" s="107">
        <v>45319988.32</v>
      </c>
      <c r="J45" s="107"/>
      <c r="K45" s="107">
        <v>57591369.82</v>
      </c>
      <c r="L45" s="107"/>
      <c r="M45" s="107">
        <v>45319988.32</v>
      </c>
    </row>
    <row r="46" spans="1:19" x14ac:dyDescent="0.25">
      <c r="A46" s="119" t="s">
        <v>550</v>
      </c>
      <c r="B46" s="130" t="s">
        <v>198</v>
      </c>
      <c r="C46" s="107">
        <v>43191.06</v>
      </c>
      <c r="D46" s="107"/>
      <c r="E46" s="107">
        <v>77483.39</v>
      </c>
      <c r="F46" s="107"/>
      <c r="G46" s="107">
        <v>932318.89</v>
      </c>
      <c r="H46" s="107"/>
      <c r="I46" s="107">
        <v>838923.29</v>
      </c>
      <c r="J46" s="107"/>
      <c r="K46" s="107">
        <v>932318.89</v>
      </c>
      <c r="L46" s="107"/>
      <c r="M46" s="107">
        <v>838923.29</v>
      </c>
    </row>
    <row r="47" spans="1:19" x14ac:dyDescent="0.25">
      <c r="A47" s="119" t="s">
        <v>555</v>
      </c>
      <c r="B47" s="130" t="s">
        <v>198</v>
      </c>
      <c r="C47" s="116">
        <v>1248341.1200000001</v>
      </c>
      <c r="D47" s="107"/>
      <c r="E47" s="116">
        <v>130714.65</v>
      </c>
      <c r="F47" s="107"/>
      <c r="G47" s="116">
        <v>3421344.24</v>
      </c>
      <c r="H47" s="107"/>
      <c r="I47" s="116">
        <v>3388831.85</v>
      </c>
      <c r="J47" s="107"/>
      <c r="K47" s="116">
        <v>3421344.24</v>
      </c>
      <c r="L47" s="107"/>
      <c r="M47" s="116">
        <v>3388831.85</v>
      </c>
      <c r="N47" s="135"/>
      <c r="O47" s="135"/>
      <c r="P47" s="135"/>
      <c r="Q47" s="135"/>
      <c r="R47" s="135"/>
      <c r="S47" s="135"/>
    </row>
    <row r="48" spans="1:19" x14ac:dyDescent="0.25">
      <c r="B48" s="130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</row>
    <row r="49" spans="1:20" x14ac:dyDescent="0.25">
      <c r="A49" s="119" t="s">
        <v>557</v>
      </c>
      <c r="B49" s="130" t="s">
        <v>198</v>
      </c>
      <c r="C49" s="116">
        <v>3756237.47</v>
      </c>
      <c r="D49" s="107"/>
      <c r="E49" s="116">
        <v>846094.24</v>
      </c>
      <c r="F49" s="107"/>
      <c r="G49" s="116">
        <v>61945032.950000003</v>
      </c>
      <c r="H49" s="107"/>
      <c r="I49" s="116">
        <v>49547743.460000001</v>
      </c>
      <c r="J49" s="107"/>
      <c r="K49" s="116">
        <v>61945032.950000003</v>
      </c>
      <c r="L49" s="107"/>
      <c r="M49" s="116">
        <v>49547743.460000001</v>
      </c>
    </row>
    <row r="50" spans="1:20" x14ac:dyDescent="0.25">
      <c r="B50" s="130" t="s">
        <v>198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</row>
    <row r="51" spans="1:20" x14ac:dyDescent="0.25">
      <c r="A51" s="119" t="s">
        <v>558</v>
      </c>
      <c r="B51" s="130" t="s">
        <v>198</v>
      </c>
      <c r="C51" s="107">
        <v>14091114.310000001</v>
      </c>
      <c r="D51" s="107"/>
      <c r="E51" s="107">
        <v>13189817.35</v>
      </c>
      <c r="F51" s="107"/>
      <c r="G51" s="107">
        <v>168443605.63999999</v>
      </c>
      <c r="H51" s="107"/>
      <c r="I51" s="107">
        <v>182445054.78999999</v>
      </c>
      <c r="J51" s="107"/>
      <c r="K51" s="107">
        <v>168443605.63999999</v>
      </c>
      <c r="L51" s="107"/>
      <c r="M51" s="107">
        <v>182445054.78999999</v>
      </c>
    </row>
    <row r="52" spans="1:20" hidden="1" x14ac:dyDescent="0.25">
      <c r="A52" s="119" t="s">
        <v>559</v>
      </c>
      <c r="B52" s="130" t="s">
        <v>198</v>
      </c>
      <c r="C52" s="107">
        <v>0</v>
      </c>
      <c r="D52" s="107"/>
      <c r="E52" s="107">
        <v>0</v>
      </c>
      <c r="F52" s="107"/>
      <c r="G52" s="107">
        <v>0</v>
      </c>
      <c r="H52" s="107"/>
      <c r="I52" s="107">
        <v>0</v>
      </c>
      <c r="J52" s="107"/>
      <c r="K52" s="107">
        <v>0</v>
      </c>
      <c r="L52" s="107"/>
      <c r="M52" s="107">
        <v>0</v>
      </c>
    </row>
    <row r="53" spans="1:20" x14ac:dyDescent="0.25">
      <c r="A53" s="119" t="s">
        <v>560</v>
      </c>
      <c r="B53" s="130" t="s">
        <v>198</v>
      </c>
      <c r="C53" s="108">
        <v>117227.17</v>
      </c>
      <c r="D53" s="108"/>
      <c r="E53" s="108">
        <v>142479.56</v>
      </c>
      <c r="F53" s="108"/>
      <c r="G53" s="108">
        <v>1552192.53</v>
      </c>
      <c r="H53" s="108"/>
      <c r="I53" s="108">
        <v>1497716.07</v>
      </c>
      <c r="J53" s="108"/>
      <c r="K53" s="108">
        <v>1552192.53</v>
      </c>
      <c r="L53" s="108"/>
      <c r="M53" s="108">
        <v>1497716.07</v>
      </c>
      <c r="N53" s="135"/>
      <c r="O53" s="135"/>
      <c r="P53" s="135"/>
      <c r="Q53" s="135"/>
    </row>
    <row r="54" spans="1:20" x14ac:dyDescent="0.25">
      <c r="A54" s="119" t="s">
        <v>561</v>
      </c>
      <c r="B54" s="130" t="s">
        <v>198</v>
      </c>
      <c r="C54" s="116">
        <v>245047.1</v>
      </c>
      <c r="D54" s="107"/>
      <c r="E54" s="116">
        <v>933934.43</v>
      </c>
      <c r="F54" s="107"/>
      <c r="G54" s="116">
        <v>1666475.01</v>
      </c>
      <c r="H54" s="107"/>
      <c r="I54" s="116">
        <v>14341453.279999999</v>
      </c>
      <c r="J54" s="107"/>
      <c r="K54" s="116">
        <v>1666475.01</v>
      </c>
      <c r="L54" s="107"/>
      <c r="M54" s="116">
        <v>14341453.279999999</v>
      </c>
    </row>
    <row r="55" spans="1:20" x14ac:dyDescent="0.25">
      <c r="B55" s="130" t="s">
        <v>198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35"/>
      <c r="O55" s="135"/>
      <c r="P55" s="135"/>
      <c r="Q55" s="135"/>
    </row>
    <row r="56" spans="1:20" x14ac:dyDescent="0.25">
      <c r="A56" s="119" t="s">
        <v>562</v>
      </c>
      <c r="B56" s="130" t="s">
        <v>198</v>
      </c>
      <c r="C56" s="116">
        <v>14453388.58</v>
      </c>
      <c r="D56" s="107"/>
      <c r="E56" s="116">
        <v>14266231.34</v>
      </c>
      <c r="F56" s="107"/>
      <c r="G56" s="116">
        <v>171662273.18000001</v>
      </c>
      <c r="H56" s="107"/>
      <c r="I56" s="116">
        <v>198284224.13999999</v>
      </c>
      <c r="J56" s="107"/>
      <c r="K56" s="116">
        <v>171662273.18000001</v>
      </c>
      <c r="L56" s="107"/>
      <c r="M56" s="116">
        <v>198284224.13999999</v>
      </c>
    </row>
    <row r="57" spans="1:20" x14ac:dyDescent="0.25">
      <c r="B57" s="130" t="s">
        <v>198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35"/>
      <c r="O57" s="135"/>
      <c r="P57" s="135"/>
      <c r="Q57" s="135"/>
      <c r="R57" s="135"/>
      <c r="S57" s="135"/>
      <c r="T57" s="135"/>
    </row>
    <row r="58" spans="1:20" x14ac:dyDescent="0.25">
      <c r="A58" s="119" t="s">
        <v>563</v>
      </c>
      <c r="B58" s="130" t="s">
        <v>198</v>
      </c>
      <c r="C58" s="116">
        <v>60743468.909999996</v>
      </c>
      <c r="D58" s="107"/>
      <c r="E58" s="116">
        <v>55596181.259999998</v>
      </c>
      <c r="F58" s="107"/>
      <c r="G58" s="116">
        <v>715002916.79999995</v>
      </c>
      <c r="H58" s="107"/>
      <c r="I58" s="116">
        <v>690353420.75999999</v>
      </c>
      <c r="J58" s="107"/>
      <c r="K58" s="116">
        <v>715002916.79999995</v>
      </c>
      <c r="L58" s="107"/>
      <c r="M58" s="116">
        <v>690353420.75999999</v>
      </c>
    </row>
    <row r="59" spans="1:20" x14ac:dyDescent="0.25">
      <c r="B59" s="130" t="s">
        <v>198</v>
      </c>
      <c r="C59" s="135"/>
    </row>
    <row r="60" spans="1:20" x14ac:dyDescent="0.25">
      <c r="B60" s="130" t="s">
        <v>198</v>
      </c>
    </row>
    <row r="61" spans="1:20" x14ac:dyDescent="0.25">
      <c r="B61" s="130" t="s">
        <v>198</v>
      </c>
    </row>
    <row r="62" spans="1:20" x14ac:dyDescent="0.25">
      <c r="B62" s="130" t="s">
        <v>198</v>
      </c>
    </row>
    <row r="63" spans="1:20" x14ac:dyDescent="0.25">
      <c r="B63" s="130" t="s">
        <v>198</v>
      </c>
    </row>
    <row r="64" spans="1:20" x14ac:dyDescent="0.25">
      <c r="B64" s="130" t="s">
        <v>198</v>
      </c>
    </row>
    <row r="65" spans="2:2" x14ac:dyDescent="0.25">
      <c r="B65" s="130" t="s">
        <v>198</v>
      </c>
    </row>
    <row r="66" spans="2:2" x14ac:dyDescent="0.25">
      <c r="B66" s="130" t="s">
        <v>198</v>
      </c>
    </row>
  </sheetData>
  <mergeCells count="1">
    <mergeCell ref="A3:M3"/>
  </mergeCells>
  <phoneticPr fontId="58" type="noConversion"/>
  <printOptions horizontalCentered="1"/>
  <pageMargins left="0" right="0" top="0.5" bottom="0.5" header="0" footer="0.35"/>
  <pageSetup scale="64" orientation="landscape" horizontalDpi="4294967292" verticalDpi="300" r:id="rId1"/>
  <headerFooter alignWithMargins="0">
    <oddFooter>&amp;C&amp;"Times New Roman,Bold"&amp;A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T66"/>
  <sheetViews>
    <sheetView showGridLines="0" zoomScale="75" workbookViewId="0">
      <selection activeCell="E11" sqref="E11"/>
    </sheetView>
  </sheetViews>
  <sheetFormatPr defaultColWidth="10.28515625" defaultRowHeight="15.75" x14ac:dyDescent="0.25"/>
  <cols>
    <col min="1" max="1" width="52.140625" style="142" customWidth="1"/>
    <col min="2" max="2" width="4.140625" style="142" customWidth="1"/>
    <col min="3" max="3" width="20.140625" style="142" customWidth="1"/>
    <col min="4" max="4" width="3" style="142" customWidth="1"/>
    <col min="5" max="5" width="20.140625" style="142" customWidth="1"/>
    <col min="6" max="6" width="6.42578125" style="142" customWidth="1"/>
    <col min="7" max="7" width="20.140625" style="142" customWidth="1"/>
    <col min="8" max="8" width="3" style="142" customWidth="1"/>
    <col min="9" max="9" width="20.140625" style="142" customWidth="1"/>
    <col min="10" max="10" width="6.42578125" style="142" customWidth="1"/>
    <col min="11" max="11" width="20.140625" style="142" customWidth="1"/>
    <col min="12" max="12" width="3" style="142" customWidth="1"/>
    <col min="13" max="13" width="20.140625" style="142" customWidth="1"/>
    <col min="14" max="16384" width="10.28515625" style="142"/>
  </cols>
  <sheetData>
    <row r="1" spans="1:13" x14ac:dyDescent="0.25">
      <c r="A1" s="143" t="s">
        <v>82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x14ac:dyDescent="0.25">
      <c r="A2" s="145" t="s">
        <v>525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s="448" customFormat="1" x14ac:dyDescent="0.25">
      <c r="A3" s="874" t="str">
        <f>'[26]13'!A3</f>
        <v>DECEMBER 31, 2006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</row>
    <row r="5" spans="1:13" x14ac:dyDescent="0.25">
      <c r="C5" s="449" t="s">
        <v>526</v>
      </c>
      <c r="D5" s="449"/>
      <c r="E5" s="449"/>
      <c r="G5" s="449" t="s">
        <v>527</v>
      </c>
      <c r="H5" s="449"/>
      <c r="I5" s="449"/>
      <c r="K5" s="449" t="s">
        <v>299</v>
      </c>
      <c r="L5" s="449"/>
      <c r="M5" s="449"/>
    </row>
    <row r="6" spans="1:13" x14ac:dyDescent="0.25">
      <c r="A6" s="142" t="s">
        <v>482</v>
      </c>
      <c r="K6" s="450"/>
      <c r="L6" s="450"/>
      <c r="M6" s="450"/>
    </row>
    <row r="7" spans="1:13" x14ac:dyDescent="0.25">
      <c r="C7" s="451" t="s">
        <v>300</v>
      </c>
      <c r="D7" s="450"/>
      <c r="E7" s="451" t="s">
        <v>301</v>
      </c>
      <c r="F7" s="450"/>
      <c r="G7" s="451" t="s">
        <v>300</v>
      </c>
      <c r="H7" s="450"/>
      <c r="I7" s="451" t="s">
        <v>301</v>
      </c>
      <c r="J7" s="450"/>
      <c r="K7" s="451" t="s">
        <v>300</v>
      </c>
      <c r="L7" s="450"/>
      <c r="M7" s="451" t="s">
        <v>301</v>
      </c>
    </row>
    <row r="9" spans="1:13" x14ac:dyDescent="0.25">
      <c r="A9" s="142" t="s">
        <v>528</v>
      </c>
      <c r="B9" s="151" t="s">
        <v>198</v>
      </c>
      <c r="C9" s="107">
        <v>40085205.100000001</v>
      </c>
      <c r="D9" s="107"/>
      <c r="E9" s="107">
        <v>42229184.969999999</v>
      </c>
      <c r="F9" s="107"/>
      <c r="G9" s="107">
        <v>380586936.07999998</v>
      </c>
      <c r="H9" s="107"/>
      <c r="I9" s="107">
        <v>363643917.63</v>
      </c>
      <c r="J9" s="107"/>
      <c r="K9" s="107">
        <v>380586936.07999998</v>
      </c>
      <c r="L9" s="107"/>
      <c r="M9" s="107">
        <v>363643917.63</v>
      </c>
    </row>
    <row r="10" spans="1:13" x14ac:dyDescent="0.25">
      <c r="A10" s="142" t="s">
        <v>529</v>
      </c>
      <c r="B10" s="151" t="s">
        <v>198</v>
      </c>
      <c r="C10" s="107">
        <v>22292176.120000001</v>
      </c>
      <c r="D10" s="107"/>
      <c r="E10" s="107">
        <v>20514324</v>
      </c>
      <c r="F10" s="107"/>
      <c r="G10" s="107">
        <v>261749380.19</v>
      </c>
      <c r="H10" s="107"/>
      <c r="I10" s="107">
        <v>241127092.81</v>
      </c>
      <c r="J10" s="107"/>
      <c r="K10" s="107">
        <v>261749380.19</v>
      </c>
      <c r="L10" s="107"/>
      <c r="M10" s="107">
        <v>241127092.81</v>
      </c>
    </row>
    <row r="11" spans="1:13" x14ac:dyDescent="0.25">
      <c r="A11" s="142" t="s">
        <v>530</v>
      </c>
      <c r="B11" s="151" t="s">
        <v>198</v>
      </c>
      <c r="C11" s="107">
        <v>19797304.07</v>
      </c>
      <c r="D11" s="107"/>
      <c r="E11" s="107">
        <v>17519167.510000002</v>
      </c>
      <c r="F11" s="107"/>
      <c r="G11" s="107">
        <v>242886710.94999999</v>
      </c>
      <c r="H11" s="107"/>
      <c r="I11" s="107">
        <v>219880909.16</v>
      </c>
      <c r="J11" s="107"/>
      <c r="K11" s="107">
        <v>242886710.94999999</v>
      </c>
      <c r="L11" s="107"/>
      <c r="M11" s="107">
        <v>219880909.16</v>
      </c>
    </row>
    <row r="12" spans="1:13" x14ac:dyDescent="0.25">
      <c r="A12" s="142" t="s">
        <v>531</v>
      </c>
      <c r="B12" s="151" t="s">
        <v>198</v>
      </c>
      <c r="C12" s="108">
        <v>3725130.1</v>
      </c>
      <c r="D12" s="108"/>
      <c r="E12" s="108">
        <v>3615207.14</v>
      </c>
      <c r="F12" s="108"/>
      <c r="G12" s="108">
        <v>42675015.490000002</v>
      </c>
      <c r="H12" s="108"/>
      <c r="I12" s="108">
        <v>37903925.710000001</v>
      </c>
      <c r="J12" s="108"/>
      <c r="K12" s="108">
        <v>42675015.490000002</v>
      </c>
      <c r="L12" s="108"/>
      <c r="M12" s="108">
        <v>37903925.710000001</v>
      </c>
    </row>
    <row r="13" spans="1:13" x14ac:dyDescent="0.25">
      <c r="A13" s="142" t="s">
        <v>532</v>
      </c>
      <c r="B13" s="151" t="s">
        <v>198</v>
      </c>
      <c r="C13" s="107">
        <v>733990.05</v>
      </c>
      <c r="D13" s="107"/>
      <c r="E13" s="107">
        <v>664830.87</v>
      </c>
      <c r="F13" s="107"/>
      <c r="G13" s="107">
        <v>8539349.7300000004</v>
      </c>
      <c r="H13" s="107"/>
      <c r="I13" s="107">
        <v>8052097.5</v>
      </c>
      <c r="J13" s="107"/>
      <c r="K13" s="107">
        <v>8539349.7300000004</v>
      </c>
      <c r="L13" s="107"/>
      <c r="M13" s="107">
        <v>8052097.5</v>
      </c>
    </row>
    <row r="14" spans="1:13" x14ac:dyDescent="0.25">
      <c r="A14" s="142" t="s">
        <v>533</v>
      </c>
      <c r="B14" s="151" t="s">
        <v>198</v>
      </c>
      <c r="C14" s="108">
        <v>6454361.9800000004</v>
      </c>
      <c r="D14" s="108"/>
      <c r="E14" s="108">
        <v>5910004.9500000002</v>
      </c>
      <c r="F14" s="108"/>
      <c r="G14" s="108">
        <v>76818910.109999999</v>
      </c>
      <c r="H14" s="108"/>
      <c r="I14" s="108">
        <v>71727956.75</v>
      </c>
      <c r="J14" s="108"/>
      <c r="K14" s="108">
        <v>76818910.109999999</v>
      </c>
      <c r="L14" s="108"/>
      <c r="M14" s="108">
        <v>71727956.75</v>
      </c>
    </row>
    <row r="15" spans="1:13" x14ac:dyDescent="0.25">
      <c r="A15" s="142" t="s">
        <v>534</v>
      </c>
      <c r="B15" s="151" t="s">
        <v>198</v>
      </c>
      <c r="C15" s="108">
        <v>-9875.25</v>
      </c>
      <c r="D15" s="108"/>
      <c r="E15" s="108">
        <v>336124.54</v>
      </c>
      <c r="F15" s="108"/>
      <c r="G15" s="108">
        <v>3658395.28</v>
      </c>
      <c r="H15" s="108"/>
      <c r="I15" s="108">
        <v>3827536.4</v>
      </c>
      <c r="J15" s="108"/>
      <c r="K15" s="108">
        <v>3658395.28</v>
      </c>
      <c r="L15" s="108"/>
      <c r="M15" s="108">
        <v>3827536.4</v>
      </c>
    </row>
    <row r="16" spans="1:13" x14ac:dyDescent="0.25">
      <c r="A16" s="142" t="s">
        <v>535</v>
      </c>
      <c r="B16" s="151" t="s">
        <v>198</v>
      </c>
      <c r="C16" s="116">
        <v>0</v>
      </c>
      <c r="D16" s="108"/>
      <c r="E16" s="116">
        <v>0</v>
      </c>
      <c r="F16" s="108"/>
      <c r="G16" s="116">
        <v>0</v>
      </c>
      <c r="H16" s="108"/>
      <c r="I16" s="116">
        <v>0</v>
      </c>
      <c r="J16" s="108"/>
      <c r="K16" s="116">
        <v>0</v>
      </c>
      <c r="L16" s="108"/>
      <c r="M16" s="116">
        <v>0</v>
      </c>
    </row>
    <row r="17" spans="1:13" x14ac:dyDescent="0.25">
      <c r="B17" s="151" t="s">
        <v>198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1:13" x14ac:dyDescent="0.25">
      <c r="A18" s="142" t="s">
        <v>536</v>
      </c>
      <c r="B18" s="151" t="s">
        <v>198</v>
      </c>
      <c r="C18" s="116">
        <v>93078292.170000002</v>
      </c>
      <c r="D18" s="107"/>
      <c r="E18" s="116">
        <v>90788843.980000004</v>
      </c>
      <c r="F18" s="107"/>
      <c r="G18" s="116">
        <v>1016914697.83</v>
      </c>
      <c r="H18" s="107"/>
      <c r="I18" s="116">
        <v>946163435.96000004</v>
      </c>
      <c r="J18" s="107"/>
      <c r="K18" s="116">
        <v>1016914697.83</v>
      </c>
      <c r="L18" s="107"/>
      <c r="M18" s="116">
        <v>946163435.96000004</v>
      </c>
    </row>
    <row r="19" spans="1:13" x14ac:dyDescent="0.25">
      <c r="B19" s="151" t="s">
        <v>198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 x14ac:dyDescent="0.25">
      <c r="A20" s="142" t="s">
        <v>537</v>
      </c>
      <c r="B20" s="151" t="s">
        <v>198</v>
      </c>
      <c r="C20" s="107">
        <v>513238.56</v>
      </c>
      <c r="D20" s="107"/>
      <c r="E20" s="107">
        <v>1975118.52</v>
      </c>
      <c r="F20" s="107"/>
      <c r="G20" s="107">
        <v>8775089.2400000002</v>
      </c>
      <c r="H20" s="107"/>
      <c r="I20" s="107">
        <v>33312502.18</v>
      </c>
      <c r="J20" s="107"/>
      <c r="K20" s="107">
        <v>8775089.2400000002</v>
      </c>
      <c r="L20" s="107"/>
      <c r="M20" s="107">
        <v>33312502.18</v>
      </c>
    </row>
    <row r="21" spans="1:13" x14ac:dyDescent="0.25">
      <c r="A21" s="142" t="s">
        <v>564</v>
      </c>
      <c r="B21" s="151" t="s">
        <v>198</v>
      </c>
      <c r="C21" s="107">
        <v>5631420.8700000001</v>
      </c>
      <c r="D21" s="107"/>
      <c r="E21" s="107">
        <v>12974761.5</v>
      </c>
      <c r="F21" s="107"/>
      <c r="G21" s="107">
        <v>76646807.849999994</v>
      </c>
      <c r="H21" s="107"/>
      <c r="I21" s="107">
        <v>94873134.849999994</v>
      </c>
      <c r="J21" s="107"/>
      <c r="K21" s="107">
        <v>76646807.849999994</v>
      </c>
      <c r="L21" s="107"/>
      <c r="M21" s="107">
        <v>94873134.849999994</v>
      </c>
    </row>
    <row r="22" spans="1:13" x14ac:dyDescent="0.25">
      <c r="A22" s="142" t="s">
        <v>538</v>
      </c>
      <c r="B22" s="151" t="s">
        <v>198</v>
      </c>
      <c r="C22" s="107">
        <v>6707682.8899999997</v>
      </c>
      <c r="D22" s="107"/>
      <c r="E22" s="107">
        <v>5858867.4199999999</v>
      </c>
      <c r="F22" s="107"/>
      <c r="G22" s="107">
        <v>84692989.370000005</v>
      </c>
      <c r="H22" s="107"/>
      <c r="I22" s="107">
        <v>80115679.640000001</v>
      </c>
      <c r="J22" s="107"/>
      <c r="K22" s="107">
        <v>84692989.370000005</v>
      </c>
      <c r="L22" s="107"/>
      <c r="M22" s="107">
        <v>80115679.640000001</v>
      </c>
    </row>
    <row r="23" spans="1:13" x14ac:dyDescent="0.25">
      <c r="A23" s="142" t="s">
        <v>539</v>
      </c>
      <c r="B23" s="151" t="s">
        <v>198</v>
      </c>
      <c r="C23" s="107">
        <v>707008.94</v>
      </c>
      <c r="D23" s="107"/>
      <c r="E23" s="107">
        <v>2661031.16</v>
      </c>
      <c r="F23" s="107"/>
      <c r="G23" s="107">
        <v>16832772.920000002</v>
      </c>
      <c r="H23" s="107"/>
      <c r="I23" s="107">
        <v>20235868.170000002</v>
      </c>
      <c r="J23" s="107"/>
      <c r="K23" s="107">
        <v>16832772.920000002</v>
      </c>
      <c r="L23" s="107"/>
      <c r="M23" s="107">
        <v>20235868.170000002</v>
      </c>
    </row>
    <row r="24" spans="1:13" x14ac:dyDescent="0.25">
      <c r="A24" s="142" t="s">
        <v>565</v>
      </c>
      <c r="B24" s="151" t="s">
        <v>198</v>
      </c>
      <c r="C24" s="107">
        <v>0</v>
      </c>
      <c r="D24" s="107"/>
      <c r="E24" s="107">
        <v>0</v>
      </c>
      <c r="F24" s="107"/>
      <c r="G24" s="107">
        <v>0</v>
      </c>
      <c r="H24" s="107"/>
      <c r="I24" s="107">
        <v>0</v>
      </c>
      <c r="J24" s="107"/>
      <c r="K24" s="107">
        <v>0</v>
      </c>
      <c r="L24" s="107"/>
      <c r="M24" s="107">
        <v>0</v>
      </c>
    </row>
    <row r="25" spans="1:13" x14ac:dyDescent="0.25">
      <c r="A25" s="142" t="s">
        <v>540</v>
      </c>
      <c r="B25" s="151" t="s">
        <v>198</v>
      </c>
      <c r="C25" s="107">
        <v>-989339.45</v>
      </c>
      <c r="D25" s="107"/>
      <c r="E25" s="107">
        <v>-2184667.6</v>
      </c>
      <c r="F25" s="107"/>
      <c r="G25" s="107">
        <v>-14970038.73</v>
      </c>
      <c r="H25" s="107"/>
      <c r="I25" s="107">
        <v>-18640373.739999998</v>
      </c>
      <c r="J25" s="107"/>
      <c r="K25" s="107">
        <v>-14970038.73</v>
      </c>
      <c r="L25" s="107"/>
      <c r="M25" s="107">
        <v>-18640373.739999998</v>
      </c>
    </row>
    <row r="26" spans="1:13" x14ac:dyDescent="0.25">
      <c r="A26" s="142" t="s">
        <v>566</v>
      </c>
      <c r="B26" s="151" t="s">
        <v>198</v>
      </c>
      <c r="C26" s="107">
        <v>320481.39</v>
      </c>
      <c r="D26" s="107"/>
      <c r="E26" s="107">
        <v>0</v>
      </c>
      <c r="F26" s="107"/>
      <c r="G26" s="107">
        <v>942426.92</v>
      </c>
      <c r="H26" s="107"/>
      <c r="I26" s="107">
        <v>0</v>
      </c>
      <c r="J26" s="107"/>
      <c r="K26" s="107">
        <v>942426.92</v>
      </c>
      <c r="L26" s="107"/>
      <c r="M26" s="107">
        <v>0</v>
      </c>
    </row>
    <row r="27" spans="1:13" x14ac:dyDescent="0.25">
      <c r="A27" s="142" t="s">
        <v>567</v>
      </c>
      <c r="B27" s="151" t="s">
        <v>198</v>
      </c>
      <c r="C27" s="107">
        <v>-11365.23</v>
      </c>
      <c r="D27" s="107"/>
      <c r="E27" s="107">
        <v>0</v>
      </c>
      <c r="F27" s="107"/>
      <c r="G27" s="107">
        <v>-197925.72</v>
      </c>
      <c r="H27" s="107"/>
      <c r="I27" s="107">
        <v>0</v>
      </c>
      <c r="J27" s="107"/>
      <c r="K27" s="107">
        <v>-197925.72</v>
      </c>
      <c r="L27" s="107"/>
      <c r="M27" s="107">
        <v>0</v>
      </c>
    </row>
    <row r="28" spans="1:13" x14ac:dyDescent="0.25">
      <c r="A28" s="142" t="s">
        <v>541</v>
      </c>
      <c r="B28" s="151" t="s">
        <v>198</v>
      </c>
      <c r="C28" s="107">
        <v>62530.2</v>
      </c>
      <c r="D28" s="107"/>
      <c r="E28" s="107">
        <v>47851.25</v>
      </c>
      <c r="F28" s="107"/>
      <c r="G28" s="107">
        <v>1391724.24</v>
      </c>
      <c r="H28" s="107"/>
      <c r="I28" s="107">
        <v>1425733.43</v>
      </c>
      <c r="J28" s="107"/>
      <c r="K28" s="107">
        <v>1391724.24</v>
      </c>
      <c r="L28" s="107"/>
      <c r="M28" s="107">
        <v>1425733.43</v>
      </c>
    </row>
    <row r="29" spans="1:13" x14ac:dyDescent="0.25">
      <c r="A29" s="142" t="s">
        <v>542</v>
      </c>
      <c r="B29" s="151" t="s">
        <v>198</v>
      </c>
      <c r="C29" s="107">
        <v>-29316.91</v>
      </c>
      <c r="D29" s="107"/>
      <c r="E29" s="107">
        <v>133353.44</v>
      </c>
      <c r="F29" s="107"/>
      <c r="G29" s="107">
        <v>2729645.13</v>
      </c>
      <c r="H29" s="107"/>
      <c r="I29" s="107">
        <v>1994752.96</v>
      </c>
      <c r="J29" s="107"/>
      <c r="K29" s="107">
        <v>2729645.13</v>
      </c>
      <c r="L29" s="107"/>
      <c r="M29" s="107">
        <v>1994752.96</v>
      </c>
    </row>
    <row r="30" spans="1:13" x14ac:dyDescent="0.25">
      <c r="A30" s="142" t="s">
        <v>543</v>
      </c>
      <c r="B30" s="151" t="s">
        <v>198</v>
      </c>
      <c r="C30" s="116">
        <v>420850.59</v>
      </c>
      <c r="D30" s="107"/>
      <c r="E30" s="116">
        <v>11224843.58</v>
      </c>
      <c r="F30" s="107"/>
      <c r="G30" s="116">
        <v>16261095.52</v>
      </c>
      <c r="H30" s="107"/>
      <c r="I30" s="116">
        <v>47104253.369999997</v>
      </c>
      <c r="J30" s="107"/>
      <c r="K30" s="116">
        <v>16261095.52</v>
      </c>
      <c r="L30" s="107"/>
      <c r="M30" s="116">
        <v>47104253.369999997</v>
      </c>
    </row>
    <row r="31" spans="1:13" x14ac:dyDescent="0.25">
      <c r="B31" s="151" t="s">
        <v>198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x14ac:dyDescent="0.25">
      <c r="A32" s="142" t="s">
        <v>544</v>
      </c>
      <c r="B32" s="151" t="s">
        <v>198</v>
      </c>
      <c r="C32" s="116">
        <v>106411484.02</v>
      </c>
      <c r="D32" s="107"/>
      <c r="E32" s="116">
        <v>123480003.25</v>
      </c>
      <c r="F32" s="107"/>
      <c r="G32" s="116">
        <v>1210019284.5699999</v>
      </c>
      <c r="H32" s="107"/>
      <c r="I32" s="116">
        <v>1206584986.8199999</v>
      </c>
      <c r="J32" s="107"/>
      <c r="K32" s="116">
        <v>1210019284.5699999</v>
      </c>
      <c r="L32" s="107"/>
      <c r="M32" s="116">
        <v>1206584986.8199999</v>
      </c>
    </row>
    <row r="33" spans="1:19" x14ac:dyDescent="0.25">
      <c r="B33" s="151" t="s">
        <v>198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19" x14ac:dyDescent="0.25">
      <c r="A34" s="142" t="s">
        <v>545</v>
      </c>
      <c r="B34" s="151" t="s">
        <v>198</v>
      </c>
      <c r="C34" s="107">
        <v>33586088.340000004</v>
      </c>
      <c r="D34" s="107"/>
      <c r="E34" s="107">
        <v>30885993.140000001</v>
      </c>
      <c r="F34" s="107"/>
      <c r="G34" s="107">
        <v>377673156.64999998</v>
      </c>
      <c r="H34" s="107"/>
      <c r="I34" s="107">
        <v>323849751.99000001</v>
      </c>
      <c r="J34" s="107"/>
      <c r="K34" s="107">
        <v>377673156.64999998</v>
      </c>
      <c r="L34" s="107"/>
      <c r="M34" s="107">
        <v>323849751.99000001</v>
      </c>
    </row>
    <row r="35" spans="1:19" x14ac:dyDescent="0.25">
      <c r="A35" s="142" t="s">
        <v>546</v>
      </c>
      <c r="B35" s="151" t="s">
        <v>198</v>
      </c>
      <c r="C35" s="107">
        <v>3695675.15</v>
      </c>
      <c r="D35" s="107"/>
      <c r="E35" s="107">
        <v>1975708.28</v>
      </c>
      <c r="F35" s="107"/>
      <c r="G35" s="107">
        <v>28444295.120000001</v>
      </c>
      <c r="H35" s="107"/>
      <c r="I35" s="107">
        <v>24288351.399999999</v>
      </c>
      <c r="J35" s="107"/>
      <c r="K35" s="107">
        <v>28444295.120000001</v>
      </c>
      <c r="L35" s="107"/>
      <c r="M35" s="107">
        <v>24288351.399999999</v>
      </c>
    </row>
    <row r="36" spans="1:19" x14ac:dyDescent="0.25">
      <c r="A36" s="142" t="s">
        <v>547</v>
      </c>
      <c r="B36" s="151" t="s">
        <v>198</v>
      </c>
      <c r="C36" s="116">
        <v>3185609.08</v>
      </c>
      <c r="D36" s="107"/>
      <c r="E36" s="116">
        <v>2004595.11</v>
      </c>
      <c r="F36" s="107"/>
      <c r="G36" s="116">
        <v>36067313.719999999</v>
      </c>
      <c r="H36" s="107"/>
      <c r="I36" s="116">
        <v>40151758.270000003</v>
      </c>
      <c r="J36" s="107"/>
      <c r="K36" s="116">
        <v>36067313.719999999</v>
      </c>
      <c r="L36" s="107"/>
      <c r="M36" s="116">
        <v>40151758.270000003</v>
      </c>
    </row>
    <row r="37" spans="1:19" x14ac:dyDescent="0.25">
      <c r="B37" s="151" t="s">
        <v>198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9" x14ac:dyDescent="0.25">
      <c r="A38" s="142" t="s">
        <v>549</v>
      </c>
      <c r="B38" s="151" t="s">
        <v>198</v>
      </c>
      <c r="C38" s="116">
        <v>40467372.57</v>
      </c>
      <c r="D38" s="107"/>
      <c r="E38" s="116">
        <v>34866296.530000001</v>
      </c>
      <c r="F38" s="107"/>
      <c r="G38" s="116">
        <v>442184765.49000001</v>
      </c>
      <c r="H38" s="107"/>
      <c r="I38" s="116">
        <v>388289861.66000003</v>
      </c>
      <c r="J38" s="107"/>
      <c r="K38" s="116">
        <v>442184765.49000001</v>
      </c>
      <c r="L38" s="107"/>
      <c r="M38" s="116">
        <v>388289861.66000003</v>
      </c>
    </row>
    <row r="39" spans="1:19" x14ac:dyDescent="0.25">
      <c r="B39" s="151" t="s">
        <v>198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9" x14ac:dyDescent="0.25">
      <c r="A40" s="142" t="s">
        <v>550</v>
      </c>
      <c r="B40" s="151" t="s">
        <v>198</v>
      </c>
      <c r="C40" s="107">
        <v>1270.5</v>
      </c>
      <c r="D40" s="107"/>
      <c r="E40" s="107">
        <v>-1190.2</v>
      </c>
      <c r="F40" s="107"/>
      <c r="G40" s="107">
        <v>42217.440000000002</v>
      </c>
      <c r="H40" s="107"/>
      <c r="I40" s="107">
        <v>33544.83</v>
      </c>
      <c r="J40" s="107"/>
      <c r="K40" s="107">
        <v>42217.440000000002</v>
      </c>
      <c r="L40" s="107"/>
      <c r="M40" s="107">
        <v>33544.83</v>
      </c>
    </row>
    <row r="41" spans="1:19" x14ac:dyDescent="0.25">
      <c r="A41" s="142" t="s">
        <v>551</v>
      </c>
      <c r="B41" s="151" t="s">
        <v>198</v>
      </c>
      <c r="C41" s="116">
        <v>15212.61</v>
      </c>
      <c r="D41" s="107"/>
      <c r="E41" s="116">
        <v>14613</v>
      </c>
      <c r="F41" s="107"/>
      <c r="G41" s="116">
        <v>294470.23</v>
      </c>
      <c r="H41" s="107"/>
      <c r="I41" s="116">
        <v>365742.41</v>
      </c>
      <c r="J41" s="107"/>
      <c r="K41" s="116">
        <v>294470.23</v>
      </c>
      <c r="L41" s="107"/>
      <c r="M41" s="116">
        <v>365742.41</v>
      </c>
    </row>
    <row r="42" spans="1:19" x14ac:dyDescent="0.25">
      <c r="B42" s="151" t="s">
        <v>198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9" x14ac:dyDescent="0.25">
      <c r="A43" s="142" t="s">
        <v>553</v>
      </c>
      <c r="B43" s="151" t="s">
        <v>198</v>
      </c>
      <c r="C43" s="116">
        <v>16483.11</v>
      </c>
      <c r="D43" s="107"/>
      <c r="E43" s="116">
        <v>13422.8</v>
      </c>
      <c r="F43" s="107"/>
      <c r="G43" s="116">
        <v>336687.67</v>
      </c>
      <c r="H43" s="107"/>
      <c r="I43" s="116">
        <v>399287.24</v>
      </c>
      <c r="J43" s="107"/>
      <c r="K43" s="116">
        <v>336687.67</v>
      </c>
      <c r="L43" s="107"/>
      <c r="M43" s="116">
        <v>399287.24</v>
      </c>
    </row>
    <row r="44" spans="1:19" x14ac:dyDescent="0.25">
      <c r="B44" s="151" t="s">
        <v>198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9" x14ac:dyDescent="0.25">
      <c r="A45" s="142" t="s">
        <v>554</v>
      </c>
      <c r="B45" s="151" t="s">
        <v>198</v>
      </c>
      <c r="C45" s="107">
        <v>637896.19999999995</v>
      </c>
      <c r="D45" s="107"/>
      <c r="E45" s="107">
        <v>6738301.21</v>
      </c>
      <c r="F45" s="107"/>
      <c r="G45" s="107">
        <v>45319988.32</v>
      </c>
      <c r="H45" s="107"/>
      <c r="I45" s="107">
        <v>59297257.350000001</v>
      </c>
      <c r="J45" s="107"/>
      <c r="K45" s="107">
        <v>45319988.32</v>
      </c>
      <c r="L45" s="107"/>
      <c r="M45" s="107">
        <v>59297257.350000001</v>
      </c>
    </row>
    <row r="46" spans="1:19" x14ac:dyDescent="0.25">
      <c r="A46" s="142" t="s">
        <v>550</v>
      </c>
      <c r="B46" s="151" t="s">
        <v>198</v>
      </c>
      <c r="C46" s="107">
        <v>77483.39</v>
      </c>
      <c r="D46" s="107"/>
      <c r="E46" s="107">
        <v>50250.09</v>
      </c>
      <c r="F46" s="107"/>
      <c r="G46" s="107">
        <v>838923.29</v>
      </c>
      <c r="H46" s="107"/>
      <c r="I46" s="107">
        <v>757457.81</v>
      </c>
      <c r="J46" s="107"/>
      <c r="K46" s="107">
        <v>838923.29</v>
      </c>
      <c r="L46" s="107"/>
      <c r="M46" s="107">
        <v>757457.81</v>
      </c>
    </row>
    <row r="47" spans="1:19" x14ac:dyDescent="0.25">
      <c r="A47" s="142" t="s">
        <v>555</v>
      </c>
      <c r="B47" s="151" t="s">
        <v>198</v>
      </c>
      <c r="C47" s="116">
        <v>130714.65</v>
      </c>
      <c r="D47" s="107"/>
      <c r="E47" s="116">
        <v>154088.78</v>
      </c>
      <c r="F47" s="107"/>
      <c r="G47" s="116">
        <v>3388831.85</v>
      </c>
      <c r="H47" s="107"/>
      <c r="I47" s="116">
        <v>2228215.59</v>
      </c>
      <c r="J47" s="107"/>
      <c r="K47" s="116">
        <v>3388831.85</v>
      </c>
      <c r="L47" s="107"/>
      <c r="M47" s="116">
        <v>2228215.59</v>
      </c>
      <c r="N47" s="152"/>
      <c r="O47" s="152"/>
      <c r="P47" s="152"/>
      <c r="Q47" s="152"/>
      <c r="R47" s="152"/>
      <c r="S47" s="152"/>
    </row>
    <row r="48" spans="1:19" x14ac:dyDescent="0.25">
      <c r="B48" s="151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</row>
    <row r="49" spans="1:20" x14ac:dyDescent="0.25">
      <c r="A49" s="142" t="s">
        <v>557</v>
      </c>
      <c r="B49" s="151" t="s">
        <v>198</v>
      </c>
      <c r="C49" s="116">
        <v>846094.24</v>
      </c>
      <c r="D49" s="107"/>
      <c r="E49" s="116">
        <v>6942640.0800000001</v>
      </c>
      <c r="F49" s="107"/>
      <c r="G49" s="116">
        <v>49547743.460000001</v>
      </c>
      <c r="H49" s="107"/>
      <c r="I49" s="116">
        <v>62282930.75</v>
      </c>
      <c r="J49" s="107"/>
      <c r="K49" s="116">
        <v>49547743.460000001</v>
      </c>
      <c r="L49" s="107"/>
      <c r="M49" s="116">
        <v>62282930.75</v>
      </c>
    </row>
    <row r="50" spans="1:20" x14ac:dyDescent="0.25">
      <c r="B50" s="151" t="s">
        <v>198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</row>
    <row r="51" spans="1:20" x14ac:dyDescent="0.25">
      <c r="A51" s="142" t="s">
        <v>558</v>
      </c>
      <c r="B51" s="151" t="s">
        <v>198</v>
      </c>
      <c r="C51" s="107">
        <v>13189817.35</v>
      </c>
      <c r="D51" s="107"/>
      <c r="E51" s="107">
        <v>21140932.420000002</v>
      </c>
      <c r="F51" s="107"/>
      <c r="G51" s="107">
        <v>182445054.78999999</v>
      </c>
      <c r="H51" s="107"/>
      <c r="I51" s="107">
        <v>218954118.78</v>
      </c>
      <c r="J51" s="107"/>
      <c r="K51" s="107">
        <v>182445054.78999999</v>
      </c>
      <c r="L51" s="107"/>
      <c r="M51" s="107">
        <v>218954118.78</v>
      </c>
    </row>
    <row r="52" spans="1:20" x14ac:dyDescent="0.25">
      <c r="A52" s="142" t="s">
        <v>559</v>
      </c>
      <c r="B52" s="151" t="s">
        <v>198</v>
      </c>
      <c r="C52" s="107">
        <v>0</v>
      </c>
      <c r="D52" s="107"/>
      <c r="E52" s="107">
        <v>0</v>
      </c>
      <c r="F52" s="107"/>
      <c r="G52" s="107">
        <v>0</v>
      </c>
      <c r="H52" s="107"/>
      <c r="I52" s="107">
        <v>0</v>
      </c>
      <c r="J52" s="107"/>
      <c r="K52" s="107">
        <v>0</v>
      </c>
      <c r="L52" s="107"/>
      <c r="M52" s="107">
        <v>0</v>
      </c>
    </row>
    <row r="53" spans="1:20" x14ac:dyDescent="0.25">
      <c r="A53" s="142" t="s">
        <v>560</v>
      </c>
      <c r="B53" s="151" t="s">
        <v>198</v>
      </c>
      <c r="C53" s="108">
        <v>142479.56</v>
      </c>
      <c r="D53" s="108"/>
      <c r="E53" s="108">
        <v>118101.02</v>
      </c>
      <c r="F53" s="108"/>
      <c r="G53" s="108">
        <v>1497716.07</v>
      </c>
      <c r="H53" s="108"/>
      <c r="I53" s="108">
        <v>1423158.41</v>
      </c>
      <c r="J53" s="108"/>
      <c r="K53" s="108">
        <v>1497716.07</v>
      </c>
      <c r="L53" s="108"/>
      <c r="M53" s="108">
        <v>1423158.41</v>
      </c>
      <c r="N53" s="152"/>
      <c r="O53" s="152"/>
      <c r="P53" s="152"/>
      <c r="Q53" s="152"/>
    </row>
    <row r="54" spans="1:20" x14ac:dyDescent="0.25">
      <c r="A54" s="142" t="s">
        <v>561</v>
      </c>
      <c r="B54" s="151" t="s">
        <v>198</v>
      </c>
      <c r="C54" s="116">
        <v>933934.43</v>
      </c>
      <c r="D54" s="107"/>
      <c r="E54" s="116">
        <v>8028221.5199999996</v>
      </c>
      <c r="F54" s="107"/>
      <c r="G54" s="116">
        <v>14341453.279999999</v>
      </c>
      <c r="H54" s="107"/>
      <c r="I54" s="116">
        <v>43097637.979999997</v>
      </c>
      <c r="J54" s="107"/>
      <c r="K54" s="116">
        <v>14341453.279999999</v>
      </c>
      <c r="L54" s="107"/>
      <c r="M54" s="116">
        <v>43097637.979999997</v>
      </c>
    </row>
    <row r="55" spans="1:20" x14ac:dyDescent="0.25">
      <c r="B55" s="151" t="s">
        <v>198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52"/>
      <c r="O55" s="152"/>
      <c r="P55" s="152"/>
      <c r="Q55" s="152"/>
    </row>
    <row r="56" spans="1:20" x14ac:dyDescent="0.25">
      <c r="A56" s="142" t="s">
        <v>562</v>
      </c>
      <c r="B56" s="151" t="s">
        <v>198</v>
      </c>
      <c r="C56" s="116">
        <v>14266231.34</v>
      </c>
      <c r="D56" s="107"/>
      <c r="E56" s="116">
        <v>29287254.960000001</v>
      </c>
      <c r="F56" s="107"/>
      <c r="G56" s="116">
        <v>198284224.13999999</v>
      </c>
      <c r="H56" s="107"/>
      <c r="I56" s="116">
        <v>263474915.16999999</v>
      </c>
      <c r="J56" s="107"/>
      <c r="K56" s="116">
        <v>198284224.13999999</v>
      </c>
      <c r="L56" s="107"/>
      <c r="M56" s="116">
        <v>263474915.16999999</v>
      </c>
    </row>
    <row r="57" spans="1:20" x14ac:dyDescent="0.25">
      <c r="B57" s="151" t="s">
        <v>198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52"/>
      <c r="O57" s="152"/>
      <c r="P57" s="152"/>
      <c r="Q57" s="152"/>
      <c r="R57" s="152"/>
      <c r="S57" s="152"/>
      <c r="T57" s="152"/>
    </row>
    <row r="58" spans="1:20" x14ac:dyDescent="0.25">
      <c r="A58" s="142" t="s">
        <v>563</v>
      </c>
      <c r="B58" s="151" t="s">
        <v>198</v>
      </c>
      <c r="C58" s="116">
        <v>55596181.259999998</v>
      </c>
      <c r="D58" s="107"/>
      <c r="E58" s="116">
        <v>71109614.370000005</v>
      </c>
      <c r="F58" s="107"/>
      <c r="G58" s="116">
        <v>690353420.75999999</v>
      </c>
      <c r="H58" s="107"/>
      <c r="I58" s="116">
        <v>714446994.82000005</v>
      </c>
      <c r="J58" s="107"/>
      <c r="K58" s="116">
        <v>690353420.75999999</v>
      </c>
      <c r="L58" s="107"/>
      <c r="M58" s="116">
        <v>714446994.82000005</v>
      </c>
    </row>
    <row r="59" spans="1:20" x14ac:dyDescent="0.25">
      <c r="B59" s="151" t="s">
        <v>198</v>
      </c>
      <c r="C59" s="152"/>
    </row>
    <row r="60" spans="1:20" x14ac:dyDescent="0.25">
      <c r="B60" s="151" t="s">
        <v>198</v>
      </c>
    </row>
    <row r="61" spans="1:20" x14ac:dyDescent="0.25">
      <c r="B61" s="151" t="s">
        <v>198</v>
      </c>
    </row>
    <row r="62" spans="1:20" x14ac:dyDescent="0.25">
      <c r="B62" s="151" t="s">
        <v>198</v>
      </c>
    </row>
    <row r="63" spans="1:20" x14ac:dyDescent="0.25">
      <c r="B63" s="151" t="s">
        <v>198</v>
      </c>
    </row>
    <row r="64" spans="1:20" x14ac:dyDescent="0.25">
      <c r="B64" s="151" t="s">
        <v>198</v>
      </c>
    </row>
    <row r="65" spans="2:2" x14ac:dyDescent="0.25">
      <c r="B65" s="151" t="s">
        <v>198</v>
      </c>
    </row>
    <row r="66" spans="2:2" x14ac:dyDescent="0.25">
      <c r="B66" s="151" t="s">
        <v>198</v>
      </c>
    </row>
  </sheetData>
  <mergeCells count="1">
    <mergeCell ref="A3:M3"/>
  </mergeCells>
  <phoneticPr fontId="58" type="noConversion"/>
  <printOptions horizontalCentered="1"/>
  <pageMargins left="0" right="0" top="0.5" bottom="0.5" header="0" footer="0.35"/>
  <pageSetup scale="61" orientation="landscape" horizontalDpi="4294967292" verticalDpi="300" r:id="rId1"/>
  <headerFooter alignWithMargins="0">
    <oddFooter>&amp;C&amp;"Times New Roman,Bold"&amp;A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T67"/>
  <sheetViews>
    <sheetView showGridLines="0" zoomScale="75" workbookViewId="0">
      <selection activeCell="E11" sqref="E11"/>
    </sheetView>
  </sheetViews>
  <sheetFormatPr defaultColWidth="10.28515625" defaultRowHeight="15.75" x14ac:dyDescent="0.25"/>
  <cols>
    <col min="1" max="1" width="52.140625" style="154" customWidth="1"/>
    <col min="2" max="2" width="4.140625" style="154" customWidth="1"/>
    <col min="3" max="3" width="20.140625" style="154" customWidth="1"/>
    <col min="4" max="4" width="3" style="154" customWidth="1"/>
    <col min="5" max="5" width="20.140625" style="154" customWidth="1"/>
    <col min="6" max="6" width="6.42578125" style="154" customWidth="1"/>
    <col min="7" max="7" width="20.140625" style="154" customWidth="1"/>
    <col min="8" max="8" width="3" style="154" customWidth="1"/>
    <col min="9" max="9" width="20.140625" style="154" customWidth="1"/>
    <col min="10" max="10" width="6.42578125" style="154" customWidth="1"/>
    <col min="11" max="11" width="20.140625" style="154" customWidth="1"/>
    <col min="12" max="12" width="3" style="154" customWidth="1"/>
    <col min="13" max="13" width="20.140625" style="154" customWidth="1"/>
    <col min="14" max="16384" width="10.28515625" style="154"/>
  </cols>
  <sheetData>
    <row r="1" spans="1:13" x14ac:dyDescent="0.25">
      <c r="A1" s="155" t="s">
        <v>82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x14ac:dyDescent="0.25">
      <c r="A2" s="157" t="s">
        <v>525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s="444" customFormat="1" x14ac:dyDescent="0.25">
      <c r="A3" s="875" t="str">
        <f>'[27]13'!A3</f>
        <v>DECEMBER 31, 2005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</row>
    <row r="5" spans="1:13" x14ac:dyDescent="0.25">
      <c r="C5" s="445" t="s">
        <v>526</v>
      </c>
      <c r="D5" s="445"/>
      <c r="E5" s="445"/>
      <c r="G5" s="445" t="s">
        <v>527</v>
      </c>
      <c r="H5" s="445"/>
      <c r="I5" s="445"/>
      <c r="K5" s="445" t="s">
        <v>299</v>
      </c>
      <c r="L5" s="445"/>
      <c r="M5" s="445"/>
    </row>
    <row r="6" spans="1:13" x14ac:dyDescent="0.25">
      <c r="A6" s="154" t="s">
        <v>482</v>
      </c>
      <c r="K6" s="446"/>
      <c r="L6" s="446"/>
      <c r="M6" s="446"/>
    </row>
    <row r="7" spans="1:13" x14ac:dyDescent="0.25">
      <c r="C7" s="447" t="s">
        <v>300</v>
      </c>
      <c r="D7" s="446"/>
      <c r="E7" s="447" t="s">
        <v>301</v>
      </c>
      <c r="F7" s="446"/>
      <c r="G7" s="447" t="s">
        <v>300</v>
      </c>
      <c r="H7" s="446"/>
      <c r="I7" s="447" t="s">
        <v>301</v>
      </c>
      <c r="J7" s="446"/>
      <c r="K7" s="447" t="s">
        <v>300</v>
      </c>
      <c r="L7" s="446"/>
      <c r="M7" s="447" t="s">
        <v>301</v>
      </c>
    </row>
    <row r="9" spans="1:13" x14ac:dyDescent="0.25">
      <c r="A9" s="154" t="s">
        <v>528</v>
      </c>
      <c r="B9" s="163" t="s">
        <v>198</v>
      </c>
      <c r="C9" s="107">
        <v>42229184.969999999</v>
      </c>
      <c r="D9" s="107"/>
      <c r="E9" s="107">
        <v>35466938.890000001</v>
      </c>
      <c r="F9" s="107"/>
      <c r="G9" s="107">
        <v>363643917.63</v>
      </c>
      <c r="H9" s="107"/>
      <c r="I9" s="107">
        <v>303634902.11000001</v>
      </c>
      <c r="J9" s="107"/>
      <c r="K9" s="107">
        <v>363643917.63</v>
      </c>
      <c r="L9" s="107"/>
      <c r="M9" s="107">
        <v>303634902.11000001</v>
      </c>
    </row>
    <row r="10" spans="1:13" x14ac:dyDescent="0.25">
      <c r="A10" s="154" t="s">
        <v>529</v>
      </c>
      <c r="B10" s="163" t="s">
        <v>198</v>
      </c>
      <c r="C10" s="107">
        <v>20514324</v>
      </c>
      <c r="D10" s="107"/>
      <c r="E10" s="107">
        <v>19011617.77</v>
      </c>
      <c r="F10" s="107"/>
      <c r="G10" s="107">
        <v>241127092.81</v>
      </c>
      <c r="H10" s="107"/>
      <c r="I10" s="107">
        <v>206930719.06999999</v>
      </c>
      <c r="J10" s="107"/>
      <c r="K10" s="107">
        <v>241127092.81</v>
      </c>
      <c r="L10" s="107"/>
      <c r="M10" s="107">
        <v>206930719.06999999</v>
      </c>
    </row>
    <row r="11" spans="1:13" x14ac:dyDescent="0.25">
      <c r="A11" s="154" t="s">
        <v>530</v>
      </c>
      <c r="B11" s="163" t="s">
        <v>198</v>
      </c>
      <c r="C11" s="107">
        <v>17519167.510000002</v>
      </c>
      <c r="D11" s="107"/>
      <c r="E11" s="107">
        <v>17686236.850000001</v>
      </c>
      <c r="F11" s="107"/>
      <c r="G11" s="107">
        <v>219880909.16</v>
      </c>
      <c r="H11" s="107"/>
      <c r="I11" s="107">
        <v>190559756.77000001</v>
      </c>
      <c r="J11" s="107"/>
      <c r="K11" s="107">
        <v>219880909.16</v>
      </c>
      <c r="L11" s="107"/>
      <c r="M11" s="107">
        <v>190559756.77000001</v>
      </c>
    </row>
    <row r="12" spans="1:13" x14ac:dyDescent="0.25">
      <c r="A12" s="154" t="s">
        <v>531</v>
      </c>
      <c r="B12" s="163" t="s">
        <v>198</v>
      </c>
      <c r="C12" s="108">
        <v>3615207.14</v>
      </c>
      <c r="D12" s="108"/>
      <c r="E12" s="108">
        <v>3108594.46</v>
      </c>
      <c r="F12" s="108"/>
      <c r="G12" s="108">
        <v>37903925.710000001</v>
      </c>
      <c r="H12" s="108"/>
      <c r="I12" s="108">
        <v>31703619.379999999</v>
      </c>
      <c r="J12" s="108"/>
      <c r="K12" s="108">
        <v>37903925.710000001</v>
      </c>
      <c r="L12" s="108"/>
      <c r="M12" s="108">
        <v>31703619.379999999</v>
      </c>
    </row>
    <row r="13" spans="1:13" x14ac:dyDescent="0.25">
      <c r="A13" s="154" t="s">
        <v>532</v>
      </c>
      <c r="B13" s="163" t="s">
        <v>198</v>
      </c>
      <c r="C13" s="107">
        <v>664830.87</v>
      </c>
      <c r="D13" s="107"/>
      <c r="E13" s="107">
        <v>707098.16</v>
      </c>
      <c r="F13" s="107"/>
      <c r="G13" s="107">
        <v>8052097.5</v>
      </c>
      <c r="H13" s="107"/>
      <c r="I13" s="107">
        <v>7749388.3899999997</v>
      </c>
      <c r="J13" s="107"/>
      <c r="K13" s="107">
        <v>8052097.5</v>
      </c>
      <c r="L13" s="107"/>
      <c r="M13" s="107">
        <v>7749388.3899999997</v>
      </c>
    </row>
    <row r="14" spans="1:13" x14ac:dyDescent="0.25">
      <c r="A14" s="154" t="s">
        <v>533</v>
      </c>
      <c r="B14" s="163" t="s">
        <v>198</v>
      </c>
      <c r="C14" s="108">
        <v>5910004.9500000002</v>
      </c>
      <c r="D14" s="108"/>
      <c r="E14" s="108">
        <v>5555684.29</v>
      </c>
      <c r="F14" s="108"/>
      <c r="G14" s="108">
        <v>71727956.75</v>
      </c>
      <c r="H14" s="108"/>
      <c r="I14" s="108">
        <v>60973459.659999996</v>
      </c>
      <c r="J14" s="108"/>
      <c r="K14" s="108">
        <v>71727956.75</v>
      </c>
      <c r="L14" s="108"/>
      <c r="M14" s="108">
        <v>60973459.659999996</v>
      </c>
    </row>
    <row r="15" spans="1:13" x14ac:dyDescent="0.25">
      <c r="A15" s="154" t="s">
        <v>534</v>
      </c>
      <c r="B15" s="163" t="s">
        <v>198</v>
      </c>
      <c r="C15" s="108">
        <v>336124.54</v>
      </c>
      <c r="D15" s="108"/>
      <c r="E15" s="108">
        <v>341307.76</v>
      </c>
      <c r="F15" s="108"/>
      <c r="G15" s="108">
        <v>3827536.4</v>
      </c>
      <c r="H15" s="108"/>
      <c r="I15" s="108">
        <v>3435197.97</v>
      </c>
      <c r="J15" s="108"/>
      <c r="K15" s="108">
        <v>3827536.4</v>
      </c>
      <c r="L15" s="108"/>
      <c r="M15" s="108">
        <v>3435197.97</v>
      </c>
    </row>
    <row r="16" spans="1:13" x14ac:dyDescent="0.25">
      <c r="A16" s="154" t="s">
        <v>535</v>
      </c>
      <c r="B16" s="163" t="s">
        <v>198</v>
      </c>
      <c r="C16" s="116">
        <v>0</v>
      </c>
      <c r="D16" s="108"/>
      <c r="E16" s="116">
        <v>-3009469.82</v>
      </c>
      <c r="F16" s="108"/>
      <c r="G16" s="116">
        <v>0</v>
      </c>
      <c r="H16" s="108"/>
      <c r="I16" s="116">
        <v>4750713.6399999997</v>
      </c>
      <c r="J16" s="108"/>
      <c r="K16" s="116">
        <v>0</v>
      </c>
      <c r="L16" s="108"/>
      <c r="M16" s="116">
        <v>4750713.6399999997</v>
      </c>
    </row>
    <row r="17" spans="1:13" x14ac:dyDescent="0.25">
      <c r="B17" s="163" t="s">
        <v>198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1:13" x14ac:dyDescent="0.25">
      <c r="A18" s="154" t="s">
        <v>536</v>
      </c>
      <c r="B18" s="163" t="s">
        <v>198</v>
      </c>
      <c r="C18" s="116">
        <v>90788843.980000004</v>
      </c>
      <c r="D18" s="107"/>
      <c r="E18" s="116">
        <v>78868008.359999999</v>
      </c>
      <c r="F18" s="107"/>
      <c r="G18" s="116">
        <v>946163435.96000004</v>
      </c>
      <c r="H18" s="107"/>
      <c r="I18" s="116">
        <v>809737756.99000001</v>
      </c>
      <c r="J18" s="107"/>
      <c r="K18" s="116">
        <v>946163435.96000004</v>
      </c>
      <c r="L18" s="107"/>
      <c r="M18" s="116">
        <v>809737756.99000001</v>
      </c>
    </row>
    <row r="19" spans="1:13" x14ac:dyDescent="0.25">
      <c r="B19" s="163" t="s">
        <v>198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 x14ac:dyDescent="0.25">
      <c r="A20" s="154" t="s">
        <v>537</v>
      </c>
      <c r="B20" s="163" t="s">
        <v>198</v>
      </c>
      <c r="C20" s="107">
        <v>1975118.52</v>
      </c>
      <c r="D20" s="107"/>
      <c r="E20" s="107">
        <v>1603942.6</v>
      </c>
      <c r="F20" s="107"/>
      <c r="G20" s="107">
        <v>33312502.18</v>
      </c>
      <c r="H20" s="107"/>
      <c r="I20" s="107">
        <v>31047306.440000001</v>
      </c>
      <c r="J20" s="107"/>
      <c r="K20" s="107">
        <v>33312502.18</v>
      </c>
      <c r="L20" s="107"/>
      <c r="M20" s="107">
        <v>31047306.440000001</v>
      </c>
    </row>
    <row r="21" spans="1:13" x14ac:dyDescent="0.25">
      <c r="A21" s="154" t="s">
        <v>564</v>
      </c>
      <c r="B21" s="163" t="s">
        <v>198</v>
      </c>
      <c r="C21" s="107">
        <v>12974761.5</v>
      </c>
      <c r="D21" s="107"/>
      <c r="E21" s="107">
        <v>8157129.6399999997</v>
      </c>
      <c r="F21" s="107"/>
      <c r="G21" s="107">
        <v>94873134.849999994</v>
      </c>
      <c r="H21" s="107"/>
      <c r="I21" s="107">
        <v>62807567.210000001</v>
      </c>
      <c r="J21" s="107"/>
      <c r="K21" s="107">
        <v>94873134.849999994</v>
      </c>
      <c r="L21" s="107"/>
      <c r="M21" s="107">
        <v>62807567.210000001</v>
      </c>
    </row>
    <row r="22" spans="1:13" x14ac:dyDescent="0.25">
      <c r="A22" s="154" t="s">
        <v>538</v>
      </c>
      <c r="B22" s="163" t="s">
        <v>198</v>
      </c>
      <c r="C22" s="107">
        <v>5858867.4199999999</v>
      </c>
      <c r="D22" s="107"/>
      <c r="E22" s="107">
        <v>6129334.6100000003</v>
      </c>
      <c r="F22" s="107"/>
      <c r="G22" s="107">
        <v>80115679.640000001</v>
      </c>
      <c r="H22" s="107"/>
      <c r="I22" s="107">
        <v>67150739.709999993</v>
      </c>
      <c r="J22" s="107"/>
      <c r="K22" s="107">
        <v>80115679.640000001</v>
      </c>
      <c r="L22" s="107"/>
      <c r="M22" s="107">
        <v>67150739.709999993</v>
      </c>
    </row>
    <row r="23" spans="1:13" x14ac:dyDescent="0.25">
      <c r="A23" s="154" t="s">
        <v>539</v>
      </c>
      <c r="B23" s="163" t="s">
        <v>198</v>
      </c>
      <c r="C23" s="107">
        <v>2661031.16</v>
      </c>
      <c r="D23" s="107"/>
      <c r="E23" s="107">
        <v>1658273.25</v>
      </c>
      <c r="F23" s="107"/>
      <c r="G23" s="107">
        <v>20235868.170000002</v>
      </c>
      <c r="H23" s="107"/>
      <c r="I23" s="107">
        <v>15241772.789999999</v>
      </c>
      <c r="J23" s="107"/>
      <c r="K23" s="107">
        <v>20235868.170000002</v>
      </c>
      <c r="L23" s="107"/>
      <c r="M23" s="107">
        <v>15241772.789999999</v>
      </c>
    </row>
    <row r="24" spans="1:13" x14ac:dyDescent="0.25">
      <c r="A24" s="154" t="s">
        <v>565</v>
      </c>
      <c r="B24" s="163" t="s">
        <v>198</v>
      </c>
      <c r="C24" s="107">
        <v>0</v>
      </c>
      <c r="D24" s="107"/>
      <c r="E24" s="107">
        <v>516.48</v>
      </c>
      <c r="F24" s="107"/>
      <c r="G24" s="107">
        <v>0</v>
      </c>
      <c r="H24" s="107"/>
      <c r="I24" s="107">
        <v>100400.33</v>
      </c>
      <c r="J24" s="107"/>
      <c r="K24" s="107">
        <v>0</v>
      </c>
      <c r="L24" s="107"/>
      <c r="M24" s="107">
        <v>100400.33</v>
      </c>
    </row>
    <row r="25" spans="1:13" x14ac:dyDescent="0.25">
      <c r="A25" s="154" t="s">
        <v>540</v>
      </c>
      <c r="B25" s="163" t="s">
        <v>198</v>
      </c>
      <c r="C25" s="107">
        <v>-2184667.6</v>
      </c>
      <c r="D25" s="107"/>
      <c r="E25" s="107">
        <v>-1945046.76</v>
      </c>
      <c r="F25" s="107"/>
      <c r="G25" s="107">
        <v>-18640373.739999998</v>
      </c>
      <c r="H25" s="107"/>
      <c r="I25" s="107">
        <v>-16345426.050000001</v>
      </c>
      <c r="J25" s="107"/>
      <c r="K25" s="107">
        <v>-18640373.739999998</v>
      </c>
      <c r="L25" s="107"/>
      <c r="M25" s="107">
        <v>-16345426.050000001</v>
      </c>
    </row>
    <row r="26" spans="1:13" x14ac:dyDescent="0.25">
      <c r="A26" s="154" t="s">
        <v>541</v>
      </c>
      <c r="B26" s="163" t="s">
        <v>198</v>
      </c>
      <c r="C26" s="107">
        <v>47851.25</v>
      </c>
      <c r="D26" s="107"/>
      <c r="E26" s="107">
        <v>50857.02</v>
      </c>
      <c r="F26" s="107"/>
      <c r="G26" s="107">
        <v>1425733.43</v>
      </c>
      <c r="H26" s="107"/>
      <c r="I26" s="107">
        <v>1229372.45</v>
      </c>
      <c r="J26" s="107"/>
      <c r="K26" s="107">
        <v>1425733.43</v>
      </c>
      <c r="L26" s="107"/>
      <c r="M26" s="107">
        <v>1229372.45</v>
      </c>
    </row>
    <row r="27" spans="1:13" x14ac:dyDescent="0.25">
      <c r="A27" s="154" t="s">
        <v>542</v>
      </c>
      <c r="B27" s="163" t="s">
        <v>198</v>
      </c>
      <c r="C27" s="107">
        <v>133353.44</v>
      </c>
      <c r="D27" s="107"/>
      <c r="E27" s="107">
        <v>144744.15</v>
      </c>
      <c r="F27" s="107"/>
      <c r="G27" s="107">
        <v>1994752.96</v>
      </c>
      <c r="H27" s="107"/>
      <c r="I27" s="107">
        <v>2491000.36</v>
      </c>
      <c r="J27" s="107"/>
      <c r="K27" s="107">
        <v>1994752.96</v>
      </c>
      <c r="L27" s="107"/>
      <c r="M27" s="107">
        <v>2491000.36</v>
      </c>
    </row>
    <row r="28" spans="1:13" x14ac:dyDescent="0.25">
      <c r="A28" s="154" t="s">
        <v>543</v>
      </c>
      <c r="B28" s="163" t="s">
        <v>198</v>
      </c>
      <c r="C28" s="116">
        <v>11224843.58</v>
      </c>
      <c r="D28" s="107"/>
      <c r="E28" s="116">
        <v>228873.33</v>
      </c>
      <c r="F28" s="107"/>
      <c r="G28" s="116">
        <v>47104253.369999997</v>
      </c>
      <c r="H28" s="107"/>
      <c r="I28" s="116">
        <v>21901826.98</v>
      </c>
      <c r="J28" s="107"/>
      <c r="K28" s="116">
        <v>47104253.369999997</v>
      </c>
      <c r="L28" s="107"/>
      <c r="M28" s="116">
        <v>21901826.98</v>
      </c>
    </row>
    <row r="29" spans="1:13" x14ac:dyDescent="0.25">
      <c r="B29" s="163" t="s">
        <v>198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</row>
    <row r="30" spans="1:13" x14ac:dyDescent="0.25">
      <c r="A30" s="154" t="s">
        <v>544</v>
      </c>
      <c r="B30" s="163" t="s">
        <v>198</v>
      </c>
      <c r="C30" s="116">
        <v>123480003.25</v>
      </c>
      <c r="D30" s="107"/>
      <c r="E30" s="116">
        <v>94896632.680000007</v>
      </c>
      <c r="F30" s="107"/>
      <c r="G30" s="116">
        <v>1206584986.8199999</v>
      </c>
      <c r="H30" s="107"/>
      <c r="I30" s="116">
        <v>995362317.21000004</v>
      </c>
      <c r="J30" s="107"/>
      <c r="K30" s="116">
        <v>1206584986.8199999</v>
      </c>
      <c r="L30" s="107"/>
      <c r="M30" s="116">
        <v>995362317.21000004</v>
      </c>
    </row>
    <row r="31" spans="1:13" x14ac:dyDescent="0.25">
      <c r="B31" s="163" t="s">
        <v>198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x14ac:dyDescent="0.25">
      <c r="A32" s="154" t="s">
        <v>545</v>
      </c>
      <c r="B32" s="163" t="s">
        <v>198</v>
      </c>
      <c r="C32" s="107">
        <v>30885993.140000001</v>
      </c>
      <c r="D32" s="107"/>
      <c r="E32" s="107">
        <v>30229306.600000001</v>
      </c>
      <c r="F32" s="107"/>
      <c r="G32" s="107">
        <v>323849751.99000001</v>
      </c>
      <c r="H32" s="107"/>
      <c r="I32" s="107">
        <v>282343413.93000001</v>
      </c>
      <c r="J32" s="107"/>
      <c r="K32" s="107">
        <v>323849751.99000001</v>
      </c>
      <c r="L32" s="107"/>
      <c r="M32" s="107">
        <v>282343413.93000001</v>
      </c>
    </row>
    <row r="33" spans="1:19" x14ac:dyDescent="0.25">
      <c r="A33" s="154" t="s">
        <v>546</v>
      </c>
      <c r="B33" s="163" t="s">
        <v>198</v>
      </c>
      <c r="C33" s="107">
        <v>1975708.28</v>
      </c>
      <c r="D33" s="107"/>
      <c r="E33" s="107">
        <v>2351295.06</v>
      </c>
      <c r="F33" s="107"/>
      <c r="G33" s="107">
        <v>24288351.399999999</v>
      </c>
      <c r="H33" s="107"/>
      <c r="I33" s="107">
        <v>25125016.98</v>
      </c>
      <c r="J33" s="107"/>
      <c r="K33" s="107">
        <v>24288351.399999999</v>
      </c>
      <c r="L33" s="107"/>
      <c r="M33" s="107">
        <v>25125016.98</v>
      </c>
    </row>
    <row r="34" spans="1:19" x14ac:dyDescent="0.25">
      <c r="A34" s="154" t="s">
        <v>547</v>
      </c>
      <c r="B34" s="163" t="s">
        <v>198</v>
      </c>
      <c r="C34" s="107">
        <v>2004595.11</v>
      </c>
      <c r="D34" s="107"/>
      <c r="E34" s="107">
        <v>4195937.83</v>
      </c>
      <c r="F34" s="107"/>
      <c r="G34" s="107">
        <v>40151758.270000003</v>
      </c>
      <c r="H34" s="107"/>
      <c r="I34" s="107">
        <v>34213846.600000001</v>
      </c>
      <c r="J34" s="107"/>
      <c r="K34" s="107">
        <v>40151758.270000003</v>
      </c>
      <c r="L34" s="107"/>
      <c r="M34" s="107">
        <v>34213846.600000001</v>
      </c>
    </row>
    <row r="35" spans="1:19" x14ac:dyDescent="0.25">
      <c r="A35" s="154" t="s">
        <v>548</v>
      </c>
      <c r="B35" s="163" t="s">
        <v>198</v>
      </c>
      <c r="C35" s="116">
        <v>0</v>
      </c>
      <c r="D35" s="107"/>
      <c r="E35" s="116">
        <v>0</v>
      </c>
      <c r="F35" s="107"/>
      <c r="G35" s="116">
        <v>0</v>
      </c>
      <c r="H35" s="107"/>
      <c r="I35" s="116">
        <v>0</v>
      </c>
      <c r="J35" s="107"/>
      <c r="K35" s="116">
        <v>0</v>
      </c>
      <c r="L35" s="107"/>
      <c r="M35" s="116">
        <v>0</v>
      </c>
    </row>
    <row r="36" spans="1:19" x14ac:dyDescent="0.25">
      <c r="B36" s="163" t="s">
        <v>198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9" x14ac:dyDescent="0.25">
      <c r="A37" s="154" t="s">
        <v>549</v>
      </c>
      <c r="B37" s="163" t="s">
        <v>198</v>
      </c>
      <c r="C37" s="116">
        <v>34866296.530000001</v>
      </c>
      <c r="D37" s="107"/>
      <c r="E37" s="116">
        <v>36776539.490000002</v>
      </c>
      <c r="F37" s="107"/>
      <c r="G37" s="116">
        <v>388289861.66000003</v>
      </c>
      <c r="H37" s="107"/>
      <c r="I37" s="116">
        <v>341682277.50999999</v>
      </c>
      <c r="J37" s="107"/>
      <c r="K37" s="116">
        <v>388289861.66000003</v>
      </c>
      <c r="L37" s="107"/>
      <c r="M37" s="116">
        <v>341682277.50999999</v>
      </c>
    </row>
    <row r="38" spans="1:19" x14ac:dyDescent="0.25">
      <c r="B38" s="163" t="s">
        <v>198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9" x14ac:dyDescent="0.25">
      <c r="A39" s="154" t="s">
        <v>550</v>
      </c>
      <c r="B39" s="163" t="s">
        <v>198</v>
      </c>
      <c r="C39" s="107">
        <v>-1190.2</v>
      </c>
      <c r="D39" s="107"/>
      <c r="E39" s="107">
        <v>2021.15</v>
      </c>
      <c r="F39" s="107"/>
      <c r="G39" s="107">
        <v>33544.83</v>
      </c>
      <c r="H39" s="107"/>
      <c r="I39" s="107">
        <v>36926.400000000001</v>
      </c>
      <c r="J39" s="107"/>
      <c r="K39" s="107">
        <v>33544.83</v>
      </c>
      <c r="L39" s="107"/>
      <c r="M39" s="107">
        <v>36926.400000000001</v>
      </c>
    </row>
    <row r="40" spans="1:19" x14ac:dyDescent="0.25">
      <c r="A40" s="154" t="s">
        <v>551</v>
      </c>
      <c r="B40" s="163" t="s">
        <v>198</v>
      </c>
      <c r="C40" s="107">
        <v>14613</v>
      </c>
      <c r="D40" s="107"/>
      <c r="E40" s="107">
        <v>43086.58</v>
      </c>
      <c r="F40" s="107"/>
      <c r="G40" s="107">
        <v>365742.41</v>
      </c>
      <c r="H40" s="107"/>
      <c r="I40" s="107">
        <v>286066.25</v>
      </c>
      <c r="J40" s="107"/>
      <c r="K40" s="107">
        <v>365742.41</v>
      </c>
      <c r="L40" s="107"/>
      <c r="M40" s="107">
        <v>286066.25</v>
      </c>
    </row>
    <row r="41" spans="1:19" x14ac:dyDescent="0.25">
      <c r="A41" s="154" t="s">
        <v>552</v>
      </c>
      <c r="B41" s="163" t="s">
        <v>198</v>
      </c>
      <c r="C41" s="116">
        <v>0</v>
      </c>
      <c r="D41" s="107"/>
      <c r="E41" s="116">
        <v>0</v>
      </c>
      <c r="F41" s="107"/>
      <c r="G41" s="116">
        <v>0</v>
      </c>
      <c r="H41" s="107"/>
      <c r="I41" s="116">
        <v>0</v>
      </c>
      <c r="J41" s="107"/>
      <c r="K41" s="116">
        <v>0</v>
      </c>
      <c r="L41" s="107"/>
      <c r="M41" s="116">
        <v>0</v>
      </c>
    </row>
    <row r="42" spans="1:19" x14ac:dyDescent="0.25">
      <c r="B42" s="163" t="s">
        <v>198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9" x14ac:dyDescent="0.25">
      <c r="A43" s="154" t="s">
        <v>553</v>
      </c>
      <c r="B43" s="163" t="s">
        <v>198</v>
      </c>
      <c r="C43" s="116">
        <v>13422.8</v>
      </c>
      <c r="D43" s="107"/>
      <c r="E43" s="116">
        <v>45107.73</v>
      </c>
      <c r="F43" s="107"/>
      <c r="G43" s="116">
        <v>399287.24</v>
      </c>
      <c r="H43" s="107"/>
      <c r="I43" s="116">
        <v>322992.65000000002</v>
      </c>
      <c r="J43" s="107"/>
      <c r="K43" s="116">
        <v>399287.24</v>
      </c>
      <c r="L43" s="107"/>
      <c r="M43" s="116">
        <v>322992.65000000002</v>
      </c>
    </row>
    <row r="44" spans="1:19" x14ac:dyDescent="0.25">
      <c r="B44" s="163" t="s">
        <v>198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9" x14ac:dyDescent="0.25">
      <c r="A45" s="154" t="s">
        <v>554</v>
      </c>
      <c r="B45" s="163" t="s">
        <v>198</v>
      </c>
      <c r="C45" s="107">
        <v>6738301.21</v>
      </c>
      <c r="D45" s="107"/>
      <c r="E45" s="107">
        <v>159635.26999999999</v>
      </c>
      <c r="F45" s="107"/>
      <c r="G45" s="107">
        <v>59297257.350000001</v>
      </c>
      <c r="H45" s="107"/>
      <c r="I45" s="107">
        <v>9702820.6699999999</v>
      </c>
      <c r="J45" s="107"/>
      <c r="K45" s="107">
        <v>59297257.350000001</v>
      </c>
      <c r="L45" s="107"/>
      <c r="M45" s="107">
        <v>9702820.6699999999</v>
      </c>
    </row>
    <row r="46" spans="1:19" x14ac:dyDescent="0.25">
      <c r="A46" s="154" t="s">
        <v>550</v>
      </c>
      <c r="B46" s="163" t="s">
        <v>198</v>
      </c>
      <c r="C46" s="107">
        <v>50250.09</v>
      </c>
      <c r="D46" s="107"/>
      <c r="E46" s="107">
        <v>74945.289999999994</v>
      </c>
      <c r="F46" s="107"/>
      <c r="G46" s="107">
        <v>757457.81</v>
      </c>
      <c r="H46" s="107"/>
      <c r="I46" s="107">
        <v>580652.16</v>
      </c>
      <c r="J46" s="107"/>
      <c r="K46" s="107">
        <v>757457.81</v>
      </c>
      <c r="L46" s="107"/>
      <c r="M46" s="107">
        <v>580652.16</v>
      </c>
    </row>
    <row r="47" spans="1:19" x14ac:dyDescent="0.25">
      <c r="A47" s="154" t="s">
        <v>555</v>
      </c>
      <c r="B47" s="163" t="s">
        <v>198</v>
      </c>
      <c r="C47" s="108">
        <v>154088.78</v>
      </c>
      <c r="D47" s="108"/>
      <c r="E47" s="108">
        <v>920258.92</v>
      </c>
      <c r="F47" s="108"/>
      <c r="G47" s="108">
        <v>2228215.59</v>
      </c>
      <c r="H47" s="108"/>
      <c r="I47" s="108">
        <v>2119495.2200000002</v>
      </c>
      <c r="J47" s="108"/>
      <c r="K47" s="108">
        <v>2228215.59</v>
      </c>
      <c r="L47" s="108"/>
      <c r="M47" s="108">
        <v>2119495.2200000002</v>
      </c>
      <c r="N47" s="164"/>
      <c r="O47" s="164"/>
      <c r="P47" s="164"/>
      <c r="Q47" s="164"/>
      <c r="R47" s="164"/>
      <c r="S47" s="164"/>
    </row>
    <row r="48" spans="1:19" x14ac:dyDescent="0.25">
      <c r="A48" s="154" t="s">
        <v>556</v>
      </c>
      <c r="B48" s="163" t="s">
        <v>198</v>
      </c>
      <c r="C48" s="116">
        <v>0</v>
      </c>
      <c r="D48" s="107"/>
      <c r="E48" s="116">
        <v>0</v>
      </c>
      <c r="F48" s="107"/>
      <c r="G48" s="116">
        <v>0</v>
      </c>
      <c r="H48" s="107"/>
      <c r="I48" s="116">
        <v>0</v>
      </c>
      <c r="J48" s="107"/>
      <c r="K48" s="116">
        <v>0</v>
      </c>
      <c r="L48" s="107"/>
      <c r="M48" s="116">
        <v>0</v>
      </c>
    </row>
    <row r="49" spans="1:20" x14ac:dyDescent="0.25">
      <c r="B49" s="163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</row>
    <row r="50" spans="1:20" x14ac:dyDescent="0.25">
      <c r="A50" s="154" t="s">
        <v>557</v>
      </c>
      <c r="B50" s="163" t="s">
        <v>198</v>
      </c>
      <c r="C50" s="116">
        <v>6942640.0800000001</v>
      </c>
      <c r="D50" s="107"/>
      <c r="E50" s="116">
        <v>1154839.48</v>
      </c>
      <c r="F50" s="107"/>
      <c r="G50" s="116">
        <v>62282930.75</v>
      </c>
      <c r="H50" s="107"/>
      <c r="I50" s="116">
        <v>12402968.050000001</v>
      </c>
      <c r="J50" s="107"/>
      <c r="K50" s="116">
        <v>62282930.75</v>
      </c>
      <c r="L50" s="107"/>
      <c r="M50" s="116">
        <v>12402968.050000001</v>
      </c>
    </row>
    <row r="51" spans="1:20" x14ac:dyDescent="0.25">
      <c r="B51" s="163" t="s">
        <v>198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</row>
    <row r="52" spans="1:20" x14ac:dyDescent="0.25">
      <c r="A52" s="154" t="s">
        <v>558</v>
      </c>
      <c r="B52" s="163" t="s">
        <v>198</v>
      </c>
      <c r="C52" s="107">
        <v>21140932.420000002</v>
      </c>
      <c r="D52" s="107"/>
      <c r="E52" s="107">
        <v>14383475.24</v>
      </c>
      <c r="F52" s="107"/>
      <c r="G52" s="107">
        <v>218954118.78</v>
      </c>
      <c r="H52" s="107"/>
      <c r="I52" s="107">
        <v>144232055.66</v>
      </c>
      <c r="J52" s="107"/>
      <c r="K52" s="107">
        <v>218954118.78</v>
      </c>
      <c r="L52" s="107"/>
      <c r="M52" s="107">
        <v>144232055.66</v>
      </c>
    </row>
    <row r="53" spans="1:20" x14ac:dyDescent="0.25">
      <c r="A53" s="154" t="s">
        <v>559</v>
      </c>
      <c r="B53" s="163" t="s">
        <v>198</v>
      </c>
      <c r="C53" s="107">
        <v>0</v>
      </c>
      <c r="D53" s="107"/>
      <c r="E53" s="107">
        <v>0</v>
      </c>
      <c r="F53" s="107"/>
      <c r="G53" s="107">
        <v>0</v>
      </c>
      <c r="H53" s="107"/>
      <c r="I53" s="107">
        <v>0</v>
      </c>
      <c r="J53" s="107"/>
      <c r="K53" s="107">
        <v>0</v>
      </c>
      <c r="L53" s="107"/>
      <c r="M53" s="107">
        <v>0</v>
      </c>
    </row>
    <row r="54" spans="1:20" x14ac:dyDescent="0.25">
      <c r="A54" s="154" t="s">
        <v>560</v>
      </c>
      <c r="B54" s="163" t="s">
        <v>198</v>
      </c>
      <c r="C54" s="108">
        <v>118101.02</v>
      </c>
      <c r="D54" s="108"/>
      <c r="E54" s="108">
        <v>136071.04999999999</v>
      </c>
      <c r="F54" s="108"/>
      <c r="G54" s="108">
        <v>1423158.41</v>
      </c>
      <c r="H54" s="108"/>
      <c r="I54" s="108">
        <v>1376457.79</v>
      </c>
      <c r="J54" s="108"/>
      <c r="K54" s="108">
        <v>1423158.41</v>
      </c>
      <c r="L54" s="108"/>
      <c r="M54" s="108">
        <v>1376457.79</v>
      </c>
      <c r="N54" s="164"/>
      <c r="O54" s="164"/>
      <c r="P54" s="164"/>
      <c r="Q54" s="164"/>
    </row>
    <row r="55" spans="1:20" x14ac:dyDescent="0.25">
      <c r="A55" s="154" t="s">
        <v>561</v>
      </c>
      <c r="B55" s="163" t="s">
        <v>198</v>
      </c>
      <c r="C55" s="116">
        <v>8028221.5199999996</v>
      </c>
      <c r="D55" s="107"/>
      <c r="E55" s="116">
        <v>255</v>
      </c>
      <c r="F55" s="107"/>
      <c r="G55" s="116">
        <v>43097637.979999997</v>
      </c>
      <c r="H55" s="107"/>
      <c r="I55" s="116">
        <v>4519.18</v>
      </c>
      <c r="J55" s="107"/>
      <c r="K55" s="116">
        <v>43097637.979999997</v>
      </c>
      <c r="L55" s="107"/>
      <c r="M55" s="116">
        <v>4519.18</v>
      </c>
    </row>
    <row r="56" spans="1:20" x14ac:dyDescent="0.25">
      <c r="B56" s="163" t="s">
        <v>198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64"/>
      <c r="O56" s="164"/>
      <c r="P56" s="164"/>
      <c r="Q56" s="164"/>
    </row>
    <row r="57" spans="1:20" x14ac:dyDescent="0.25">
      <c r="A57" s="154" t="s">
        <v>562</v>
      </c>
      <c r="B57" s="163" t="s">
        <v>198</v>
      </c>
      <c r="C57" s="116">
        <v>29287254.960000001</v>
      </c>
      <c r="D57" s="107"/>
      <c r="E57" s="116">
        <v>14519801.289999999</v>
      </c>
      <c r="F57" s="107"/>
      <c r="G57" s="116">
        <v>263474915.16999999</v>
      </c>
      <c r="H57" s="107"/>
      <c r="I57" s="116">
        <v>145613032.63</v>
      </c>
      <c r="J57" s="107"/>
      <c r="K57" s="116">
        <v>263474915.16999999</v>
      </c>
      <c r="L57" s="107"/>
      <c r="M57" s="116">
        <v>145613032.63</v>
      </c>
    </row>
    <row r="58" spans="1:20" x14ac:dyDescent="0.25">
      <c r="B58" s="163" t="s">
        <v>198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64"/>
      <c r="O58" s="164"/>
      <c r="P58" s="164"/>
      <c r="Q58" s="164"/>
      <c r="R58" s="164"/>
      <c r="S58" s="164"/>
      <c r="T58" s="164"/>
    </row>
    <row r="59" spans="1:20" x14ac:dyDescent="0.25">
      <c r="A59" s="154" t="s">
        <v>563</v>
      </c>
      <c r="B59" s="163" t="s">
        <v>198</v>
      </c>
      <c r="C59" s="116">
        <v>71109614.370000005</v>
      </c>
      <c r="D59" s="107"/>
      <c r="E59" s="116">
        <v>52496287.990000002</v>
      </c>
      <c r="F59" s="107"/>
      <c r="G59" s="116">
        <v>714446994.82000005</v>
      </c>
      <c r="H59" s="107"/>
      <c r="I59" s="116">
        <v>500021270.83999997</v>
      </c>
      <c r="J59" s="107"/>
      <c r="K59" s="116">
        <v>714446994.82000005</v>
      </c>
      <c r="L59" s="107"/>
      <c r="M59" s="116">
        <v>500021270.83999997</v>
      </c>
    </row>
    <row r="60" spans="1:20" x14ac:dyDescent="0.25">
      <c r="B60" s="163" t="s">
        <v>198</v>
      </c>
      <c r="C60" s="164"/>
    </row>
    <row r="61" spans="1:20" x14ac:dyDescent="0.25">
      <c r="B61" s="163" t="s">
        <v>198</v>
      </c>
    </row>
    <row r="62" spans="1:20" x14ac:dyDescent="0.25">
      <c r="B62" s="163" t="s">
        <v>198</v>
      </c>
    </row>
    <row r="63" spans="1:20" x14ac:dyDescent="0.25">
      <c r="B63" s="163" t="s">
        <v>198</v>
      </c>
    </row>
    <row r="64" spans="1:20" x14ac:dyDescent="0.25">
      <c r="B64" s="163" t="s">
        <v>198</v>
      </c>
    </row>
    <row r="65" spans="2:2" x14ac:dyDescent="0.25">
      <c r="B65" s="163" t="s">
        <v>198</v>
      </c>
    </row>
    <row r="66" spans="2:2" x14ac:dyDescent="0.25">
      <c r="B66" s="163" t="s">
        <v>198</v>
      </c>
    </row>
    <row r="67" spans="2:2" x14ac:dyDescent="0.25">
      <c r="B67" s="163" t="s">
        <v>198</v>
      </c>
    </row>
  </sheetData>
  <mergeCells count="1">
    <mergeCell ref="A3:M3"/>
  </mergeCells>
  <phoneticPr fontId="58" type="noConversion"/>
  <printOptions horizontalCentered="1"/>
  <pageMargins left="0" right="0" top="0.5" bottom="0.5" header="0" footer="0.35"/>
  <pageSetup scale="60" orientation="landscape" horizontalDpi="4294967292" verticalDpi="300" r:id="rId1"/>
  <headerFooter alignWithMargins="0">
    <oddFooter>&amp;C&amp;"Times New Roman,Bold"&amp;A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67"/>
  <sheetViews>
    <sheetView showGridLines="0" topLeftCell="A31" zoomScale="75" workbookViewId="0">
      <selection activeCell="E11" sqref="E11"/>
    </sheetView>
  </sheetViews>
  <sheetFormatPr defaultColWidth="10.28515625" defaultRowHeight="15.75" x14ac:dyDescent="0.25"/>
  <cols>
    <col min="1" max="1" width="52.140625" style="166" customWidth="1"/>
    <col min="2" max="2" width="4.140625" style="166" customWidth="1"/>
    <col min="3" max="3" width="20.140625" style="166" customWidth="1"/>
    <col min="4" max="4" width="3" style="166" customWidth="1"/>
    <col min="5" max="5" width="20.140625" style="166" customWidth="1"/>
    <col min="6" max="6" width="6.42578125" style="166" customWidth="1"/>
    <col min="7" max="7" width="20.140625" style="166" customWidth="1"/>
    <col min="8" max="8" width="3" style="166" customWidth="1"/>
    <col min="9" max="9" width="20.140625" style="166" customWidth="1"/>
    <col min="10" max="10" width="6.42578125" style="166" customWidth="1"/>
    <col min="11" max="11" width="20.140625" style="166" customWidth="1"/>
    <col min="12" max="12" width="3" style="166" customWidth="1"/>
    <col min="13" max="13" width="20.140625" style="166" customWidth="1"/>
    <col min="14" max="16384" width="10.28515625" style="166"/>
  </cols>
  <sheetData>
    <row r="1" spans="1:13" x14ac:dyDescent="0.25">
      <c r="A1" s="167" t="s">
        <v>82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x14ac:dyDescent="0.25">
      <c r="A2" s="169" t="s">
        <v>525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s="440" customFormat="1" x14ac:dyDescent="0.25">
      <c r="A3" s="876" t="str">
        <f>'[28]13'!A3</f>
        <v>DECEMBER 31, 2004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</row>
    <row r="5" spans="1:13" x14ac:dyDescent="0.25">
      <c r="C5" s="441" t="s">
        <v>526</v>
      </c>
      <c r="D5" s="441"/>
      <c r="E5" s="441"/>
      <c r="G5" s="441" t="s">
        <v>527</v>
      </c>
      <c r="H5" s="441"/>
      <c r="I5" s="441"/>
      <c r="K5" s="441" t="s">
        <v>299</v>
      </c>
      <c r="L5" s="441"/>
      <c r="M5" s="441"/>
    </row>
    <row r="6" spans="1:13" x14ac:dyDescent="0.25">
      <c r="A6" s="166" t="s">
        <v>482</v>
      </c>
      <c r="K6" s="442"/>
      <c r="L6" s="442"/>
      <c r="M6" s="442"/>
    </row>
    <row r="7" spans="1:13" x14ac:dyDescent="0.25">
      <c r="C7" s="443" t="s">
        <v>300</v>
      </c>
      <c r="D7" s="442"/>
      <c r="E7" s="443" t="s">
        <v>301</v>
      </c>
      <c r="F7" s="442"/>
      <c r="G7" s="443" t="s">
        <v>300</v>
      </c>
      <c r="H7" s="442"/>
      <c r="I7" s="443" t="s">
        <v>301</v>
      </c>
      <c r="J7" s="442"/>
      <c r="K7" s="443" t="s">
        <v>300</v>
      </c>
      <c r="L7" s="442"/>
      <c r="M7" s="443" t="s">
        <v>301</v>
      </c>
    </row>
    <row r="9" spans="1:13" x14ac:dyDescent="0.25">
      <c r="A9" s="166" t="s">
        <v>528</v>
      </c>
      <c r="B9" s="175" t="s">
        <v>198</v>
      </c>
      <c r="C9" s="107">
        <v>35466938.890000001</v>
      </c>
      <c r="D9" s="107"/>
      <c r="E9" s="107">
        <v>31095058.210000001</v>
      </c>
      <c r="F9" s="107"/>
      <c r="G9" s="107">
        <v>303634902.11000001</v>
      </c>
      <c r="H9" s="107"/>
      <c r="I9" s="107">
        <v>278461569.00999999</v>
      </c>
      <c r="J9" s="107"/>
      <c r="K9" s="107">
        <v>303634902.11000001</v>
      </c>
      <c r="L9" s="107"/>
      <c r="M9" s="107">
        <v>278461569.00999999</v>
      </c>
    </row>
    <row r="10" spans="1:13" x14ac:dyDescent="0.25">
      <c r="A10" s="166" t="s">
        <v>529</v>
      </c>
      <c r="B10" s="175" t="s">
        <v>198</v>
      </c>
      <c r="C10" s="107">
        <v>19011617.77</v>
      </c>
      <c r="D10" s="107"/>
      <c r="E10" s="107">
        <v>16295484.4</v>
      </c>
      <c r="F10" s="107"/>
      <c r="G10" s="107">
        <v>206930719.06999999</v>
      </c>
      <c r="H10" s="107"/>
      <c r="I10" s="107">
        <v>189112834.59999999</v>
      </c>
      <c r="J10" s="107"/>
      <c r="K10" s="107">
        <v>206930719.06999999</v>
      </c>
      <c r="L10" s="107"/>
      <c r="M10" s="107">
        <v>189112834.59999999</v>
      </c>
    </row>
    <row r="11" spans="1:13" x14ac:dyDescent="0.25">
      <c r="A11" s="166" t="s">
        <v>530</v>
      </c>
      <c r="B11" s="175" t="s">
        <v>198</v>
      </c>
      <c r="C11" s="107">
        <v>17686236.850000001</v>
      </c>
      <c r="D11" s="107"/>
      <c r="E11" s="107">
        <v>14805539.27</v>
      </c>
      <c r="F11" s="107"/>
      <c r="G11" s="107">
        <v>190559756.77000001</v>
      </c>
      <c r="H11" s="107"/>
      <c r="I11" s="107">
        <v>175601438.88999999</v>
      </c>
      <c r="J11" s="107"/>
      <c r="K11" s="107">
        <v>190559756.77000001</v>
      </c>
      <c r="L11" s="107"/>
      <c r="M11" s="107">
        <v>175601438.88999999</v>
      </c>
    </row>
    <row r="12" spans="1:13" x14ac:dyDescent="0.25">
      <c r="A12" s="166" t="s">
        <v>531</v>
      </c>
      <c r="B12" s="175" t="s">
        <v>198</v>
      </c>
      <c r="C12" s="108">
        <v>3108594.46</v>
      </c>
      <c r="D12" s="108"/>
      <c r="E12" s="108">
        <v>2684814.57</v>
      </c>
      <c r="F12" s="108"/>
      <c r="G12" s="108">
        <v>31703619.379999999</v>
      </c>
      <c r="H12" s="108"/>
      <c r="I12" s="108">
        <v>29583399.600000001</v>
      </c>
      <c r="J12" s="108"/>
      <c r="K12" s="108">
        <v>31703619.379999999</v>
      </c>
      <c r="L12" s="108"/>
      <c r="M12" s="108">
        <v>29583399.600000001</v>
      </c>
    </row>
    <row r="13" spans="1:13" x14ac:dyDescent="0.25">
      <c r="A13" s="166" t="s">
        <v>532</v>
      </c>
      <c r="B13" s="175" t="s">
        <v>198</v>
      </c>
      <c r="C13" s="107">
        <v>707098.16</v>
      </c>
      <c r="D13" s="107"/>
      <c r="E13" s="107">
        <v>588241.21</v>
      </c>
      <c r="F13" s="107"/>
      <c r="G13" s="107">
        <v>7749388.3899999997</v>
      </c>
      <c r="H13" s="107"/>
      <c r="I13" s="107">
        <v>7275431.9299999997</v>
      </c>
      <c r="J13" s="107"/>
      <c r="K13" s="107">
        <v>7749388.3899999997</v>
      </c>
      <c r="L13" s="107"/>
      <c r="M13" s="107">
        <v>7275431.9299999997</v>
      </c>
    </row>
    <row r="14" spans="1:13" x14ac:dyDescent="0.25">
      <c r="A14" s="166" t="s">
        <v>533</v>
      </c>
      <c r="B14" s="175" t="s">
        <v>198</v>
      </c>
      <c r="C14" s="108">
        <v>5555684.29</v>
      </c>
      <c r="D14" s="108"/>
      <c r="E14" s="108">
        <v>4653331.7699999996</v>
      </c>
      <c r="F14" s="108"/>
      <c r="G14" s="108">
        <v>60973459.659999996</v>
      </c>
      <c r="H14" s="108"/>
      <c r="I14" s="108">
        <v>55940535.890000001</v>
      </c>
      <c r="J14" s="108"/>
      <c r="K14" s="108">
        <v>60973459.659999996</v>
      </c>
      <c r="L14" s="108"/>
      <c r="M14" s="108">
        <v>55940535.890000001</v>
      </c>
    </row>
    <row r="15" spans="1:13" x14ac:dyDescent="0.25">
      <c r="A15" s="166" t="s">
        <v>534</v>
      </c>
      <c r="B15" s="175" t="s">
        <v>198</v>
      </c>
      <c r="C15" s="108">
        <v>341307.76</v>
      </c>
      <c r="D15" s="108"/>
      <c r="E15" s="108">
        <v>282066.43</v>
      </c>
      <c r="F15" s="108"/>
      <c r="G15" s="108">
        <v>3435197.97</v>
      </c>
      <c r="H15" s="108"/>
      <c r="I15" s="108">
        <v>3236375.16</v>
      </c>
      <c r="J15" s="108"/>
      <c r="K15" s="108">
        <v>3435197.97</v>
      </c>
      <c r="L15" s="108"/>
      <c r="M15" s="108">
        <v>3236375.16</v>
      </c>
    </row>
    <row r="16" spans="1:13" x14ac:dyDescent="0.25">
      <c r="A16" s="166" t="s">
        <v>535</v>
      </c>
      <c r="B16" s="175" t="s">
        <v>198</v>
      </c>
      <c r="C16" s="116">
        <v>-3009469.82</v>
      </c>
      <c r="D16" s="108"/>
      <c r="E16" s="116">
        <v>6311611.2699999996</v>
      </c>
      <c r="F16" s="108"/>
      <c r="G16" s="116">
        <v>4750713.6399999997</v>
      </c>
      <c r="H16" s="108"/>
      <c r="I16" s="116">
        <v>-8534280.4900000002</v>
      </c>
      <c r="J16" s="108"/>
      <c r="K16" s="116">
        <v>4750713.6399999997</v>
      </c>
      <c r="L16" s="108"/>
      <c r="M16" s="116">
        <v>-8534280.4900000002</v>
      </c>
    </row>
    <row r="17" spans="1:13" x14ac:dyDescent="0.25">
      <c r="B17" s="175" t="s">
        <v>198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1:13" x14ac:dyDescent="0.25">
      <c r="A18" s="166" t="s">
        <v>536</v>
      </c>
      <c r="B18" s="175" t="s">
        <v>198</v>
      </c>
      <c r="C18" s="116">
        <f>SUM(C9:C16)</f>
        <v>78868008.359999999</v>
      </c>
      <c r="D18" s="107"/>
      <c r="E18" s="116">
        <v>76716147.129999995</v>
      </c>
      <c r="F18" s="107"/>
      <c r="G18" s="116">
        <f>SUM(G9:G16)</f>
        <v>809737756.99000001</v>
      </c>
      <c r="H18" s="107"/>
      <c r="I18" s="116">
        <v>730677304.59000003</v>
      </c>
      <c r="J18" s="107"/>
      <c r="K18" s="116">
        <f>SUM(K9:K16)</f>
        <v>809737756.99000001</v>
      </c>
      <c r="L18" s="107"/>
      <c r="M18" s="116">
        <v>730677304.59000003</v>
      </c>
    </row>
    <row r="19" spans="1:13" x14ac:dyDescent="0.25">
      <c r="B19" s="175" t="s">
        <v>198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 x14ac:dyDescent="0.25">
      <c r="A20" s="166" t="s">
        <v>537</v>
      </c>
      <c r="B20" s="175" t="s">
        <v>198</v>
      </c>
      <c r="C20" s="107">
        <v>1603942.6</v>
      </c>
      <c r="D20" s="107"/>
      <c r="E20" s="107">
        <v>3675199.95</v>
      </c>
      <c r="F20" s="107"/>
      <c r="G20" s="107">
        <v>31047306.440000001</v>
      </c>
      <c r="H20" s="107"/>
      <c r="I20" s="107">
        <v>25575346.420000002</v>
      </c>
      <c r="J20" s="107"/>
      <c r="K20" s="107">
        <v>31047306.440000001</v>
      </c>
      <c r="L20" s="107"/>
      <c r="M20" s="107">
        <v>25575346.420000002</v>
      </c>
    </row>
    <row r="21" spans="1:13" x14ac:dyDescent="0.25">
      <c r="A21" s="166" t="s">
        <v>564</v>
      </c>
      <c r="B21" s="175" t="s">
        <v>198</v>
      </c>
      <c r="C21" s="107">
        <v>8157129.6399999997</v>
      </c>
      <c r="D21" s="107"/>
      <c r="E21" s="107">
        <v>4660539.6900000004</v>
      </c>
      <c r="F21" s="107"/>
      <c r="G21" s="107">
        <v>62807567.210000001</v>
      </c>
      <c r="H21" s="107"/>
      <c r="I21" s="107">
        <v>48955641.409999996</v>
      </c>
      <c r="J21" s="107"/>
      <c r="K21" s="107">
        <v>62807567.210000001</v>
      </c>
      <c r="L21" s="107"/>
      <c r="M21" s="107">
        <v>48955641.409999996</v>
      </c>
    </row>
    <row r="22" spans="1:13" x14ac:dyDescent="0.25">
      <c r="A22" s="166" t="s">
        <v>538</v>
      </c>
      <c r="B22" s="175" t="s">
        <v>198</v>
      </c>
      <c r="C22" s="107">
        <v>6129334.6100000003</v>
      </c>
      <c r="D22" s="107"/>
      <c r="E22" s="107">
        <v>5316024.41</v>
      </c>
      <c r="F22" s="107"/>
      <c r="G22" s="107">
        <v>67150739.709999993</v>
      </c>
      <c r="H22" s="107"/>
      <c r="I22" s="107">
        <v>63713977.810000002</v>
      </c>
      <c r="J22" s="107"/>
      <c r="K22" s="107">
        <v>67150739.709999993</v>
      </c>
      <c r="L22" s="107"/>
      <c r="M22" s="107">
        <v>63713977.810000002</v>
      </c>
    </row>
    <row r="23" spans="1:13" x14ac:dyDescent="0.25">
      <c r="A23" s="166" t="s">
        <v>539</v>
      </c>
      <c r="B23" s="175" t="s">
        <v>198</v>
      </c>
      <c r="C23" s="107">
        <v>1658273.25</v>
      </c>
      <c r="D23" s="107"/>
      <c r="E23" s="107">
        <v>2911483.87</v>
      </c>
      <c r="F23" s="107"/>
      <c r="G23" s="107">
        <v>15241772.789999999</v>
      </c>
      <c r="H23" s="107"/>
      <c r="I23" s="107">
        <v>26435792.140000001</v>
      </c>
      <c r="J23" s="107"/>
      <c r="K23" s="107">
        <v>15241772.789999999</v>
      </c>
      <c r="L23" s="107"/>
      <c r="M23" s="107">
        <v>26435792.140000001</v>
      </c>
    </row>
    <row r="24" spans="1:13" x14ac:dyDescent="0.25">
      <c r="A24" s="166" t="s">
        <v>565</v>
      </c>
      <c r="B24" s="175" t="s">
        <v>198</v>
      </c>
      <c r="C24" s="107">
        <v>516.48</v>
      </c>
      <c r="D24" s="107"/>
      <c r="E24" s="107">
        <v>0</v>
      </c>
      <c r="F24" s="107"/>
      <c r="G24" s="107">
        <v>100400.33</v>
      </c>
      <c r="H24" s="107"/>
      <c r="I24" s="107">
        <v>157531.13</v>
      </c>
      <c r="J24" s="107"/>
      <c r="K24" s="107">
        <v>100400.33</v>
      </c>
      <c r="L24" s="107"/>
      <c r="M24" s="107">
        <v>157531.13</v>
      </c>
    </row>
    <row r="25" spans="1:13" x14ac:dyDescent="0.25">
      <c r="A25" s="166" t="s">
        <v>540</v>
      </c>
      <c r="B25" s="175" t="s">
        <v>198</v>
      </c>
      <c r="C25" s="107">
        <v>-1945046.76</v>
      </c>
      <c r="D25" s="107"/>
      <c r="E25" s="107">
        <v>-2521500.42</v>
      </c>
      <c r="F25" s="107"/>
      <c r="G25" s="107">
        <v>-16345426.050000001</v>
      </c>
      <c r="H25" s="107"/>
      <c r="I25" s="107">
        <v>-26835223.219999999</v>
      </c>
      <c r="J25" s="107"/>
      <c r="K25" s="107">
        <v>-16345426.050000001</v>
      </c>
      <c r="L25" s="107"/>
      <c r="M25" s="107">
        <v>-26835223.219999999</v>
      </c>
    </row>
    <row r="26" spans="1:13" x14ac:dyDescent="0.25">
      <c r="A26" s="166" t="s">
        <v>541</v>
      </c>
      <c r="B26" s="175" t="s">
        <v>198</v>
      </c>
      <c r="C26" s="107">
        <v>50857.02</v>
      </c>
      <c r="D26" s="107"/>
      <c r="E26" s="107">
        <v>33633.980000000003</v>
      </c>
      <c r="F26" s="107"/>
      <c r="G26" s="107">
        <v>1229372.45</v>
      </c>
      <c r="H26" s="107"/>
      <c r="I26" s="107">
        <v>925650.2</v>
      </c>
      <c r="J26" s="107"/>
      <c r="K26" s="107">
        <v>1229372.45</v>
      </c>
      <c r="L26" s="107"/>
      <c r="M26" s="107">
        <v>925650.2</v>
      </c>
    </row>
    <row r="27" spans="1:13" x14ac:dyDescent="0.25">
      <c r="A27" s="166" t="s">
        <v>542</v>
      </c>
      <c r="B27" s="175" t="s">
        <v>198</v>
      </c>
      <c r="C27" s="107">
        <v>144744.15</v>
      </c>
      <c r="D27" s="107"/>
      <c r="E27" s="107">
        <v>178806.32</v>
      </c>
      <c r="F27" s="107"/>
      <c r="G27" s="107">
        <v>2491000.36</v>
      </c>
      <c r="H27" s="107"/>
      <c r="I27" s="107">
        <v>2105612.79</v>
      </c>
      <c r="J27" s="107"/>
      <c r="K27" s="107">
        <v>2491000.36</v>
      </c>
      <c r="L27" s="107"/>
      <c r="M27" s="107">
        <v>2105612.79</v>
      </c>
    </row>
    <row r="28" spans="1:13" x14ac:dyDescent="0.25">
      <c r="A28" s="166" t="s">
        <v>543</v>
      </c>
      <c r="B28" s="175" t="s">
        <v>198</v>
      </c>
      <c r="C28" s="116">
        <v>228873.33</v>
      </c>
      <c r="D28" s="107"/>
      <c r="E28" s="116">
        <v>2054276.31</v>
      </c>
      <c r="F28" s="107"/>
      <c r="G28" s="116">
        <v>21901826.98</v>
      </c>
      <c r="H28" s="107"/>
      <c r="I28" s="116">
        <v>20066717.379999999</v>
      </c>
      <c r="J28" s="107"/>
      <c r="K28" s="116">
        <v>21901826.98</v>
      </c>
      <c r="L28" s="107"/>
      <c r="M28" s="116">
        <v>20066717.379999999</v>
      </c>
    </row>
    <row r="29" spans="1:13" x14ac:dyDescent="0.25">
      <c r="B29" s="175" t="s">
        <v>198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</row>
    <row r="30" spans="1:13" x14ac:dyDescent="0.25">
      <c r="A30" s="166" t="s">
        <v>544</v>
      </c>
      <c r="B30" s="175" t="s">
        <v>198</v>
      </c>
      <c r="C30" s="116">
        <f>SUM(C18:C28)</f>
        <v>94896632.679999992</v>
      </c>
      <c r="D30" s="107"/>
      <c r="E30" s="116">
        <v>93024611.239999995</v>
      </c>
      <c r="F30" s="107"/>
      <c r="G30" s="116">
        <f>SUM(G18:G28)</f>
        <v>995362317.21000028</v>
      </c>
      <c r="H30" s="107"/>
      <c r="I30" s="116">
        <v>891778350.64999998</v>
      </c>
      <c r="J30" s="107"/>
      <c r="K30" s="116">
        <f>SUM(K18:K28)</f>
        <v>995362317.21000028</v>
      </c>
      <c r="L30" s="107"/>
      <c r="M30" s="116">
        <v>891778350.64999998</v>
      </c>
    </row>
    <row r="31" spans="1:13" x14ac:dyDescent="0.25">
      <c r="B31" s="175" t="s">
        <v>198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x14ac:dyDescent="0.25">
      <c r="A32" s="166" t="s">
        <v>545</v>
      </c>
      <c r="B32" s="175" t="s">
        <v>198</v>
      </c>
      <c r="C32" s="107">
        <v>30229306.600000001</v>
      </c>
      <c r="D32" s="107"/>
      <c r="E32" s="107">
        <v>24638222.309999999</v>
      </c>
      <c r="F32" s="107"/>
      <c r="G32" s="107">
        <v>282343413.93000001</v>
      </c>
      <c r="H32" s="107"/>
      <c r="I32" s="107">
        <v>255972623.94999999</v>
      </c>
      <c r="J32" s="107"/>
      <c r="K32" s="107">
        <v>282343413.93000001</v>
      </c>
      <c r="L32" s="107"/>
      <c r="M32" s="107">
        <v>255972623.94999999</v>
      </c>
    </row>
    <row r="33" spans="1:19" x14ac:dyDescent="0.25">
      <c r="A33" s="166" t="s">
        <v>546</v>
      </c>
      <c r="B33" s="175" t="s">
        <v>198</v>
      </c>
      <c r="C33" s="107">
        <v>2351295.06</v>
      </c>
      <c r="D33" s="107"/>
      <c r="E33" s="107">
        <v>1899937.91</v>
      </c>
      <c r="F33" s="107"/>
      <c r="G33" s="107">
        <v>25125016.98</v>
      </c>
      <c r="H33" s="107"/>
      <c r="I33" s="107">
        <v>19591070.629999999</v>
      </c>
      <c r="J33" s="107"/>
      <c r="K33" s="107">
        <v>25125016.98</v>
      </c>
      <c r="L33" s="107"/>
      <c r="M33" s="107">
        <v>19591070.629999999</v>
      </c>
    </row>
    <row r="34" spans="1:19" x14ac:dyDescent="0.25">
      <c r="A34" s="166" t="s">
        <v>547</v>
      </c>
      <c r="B34" s="175" t="s">
        <v>198</v>
      </c>
      <c r="C34" s="107">
        <v>4195937.83</v>
      </c>
      <c r="D34" s="107"/>
      <c r="E34" s="107">
        <v>2279107.9900000002</v>
      </c>
      <c r="F34" s="107"/>
      <c r="G34" s="107">
        <v>34213846.600000001</v>
      </c>
      <c r="H34" s="107"/>
      <c r="I34" s="107">
        <v>34220915.619999997</v>
      </c>
      <c r="J34" s="107"/>
      <c r="K34" s="107">
        <v>34213846.600000001</v>
      </c>
      <c r="L34" s="107"/>
      <c r="M34" s="107">
        <v>34220915.619999997</v>
      </c>
    </row>
    <row r="35" spans="1:19" x14ac:dyDescent="0.25">
      <c r="A35" s="166" t="s">
        <v>548</v>
      </c>
      <c r="B35" s="175" t="s">
        <v>198</v>
      </c>
      <c r="C35" s="116">
        <v>0</v>
      </c>
      <c r="D35" s="107"/>
      <c r="E35" s="116">
        <v>0</v>
      </c>
      <c r="F35" s="107"/>
      <c r="G35" s="116">
        <v>0</v>
      </c>
      <c r="H35" s="107"/>
      <c r="I35" s="116">
        <v>0</v>
      </c>
      <c r="J35" s="107"/>
      <c r="K35" s="116">
        <v>0</v>
      </c>
      <c r="L35" s="107"/>
      <c r="M35" s="116">
        <v>0</v>
      </c>
    </row>
    <row r="36" spans="1:19" x14ac:dyDescent="0.25">
      <c r="B36" s="175" t="s">
        <v>198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9" x14ac:dyDescent="0.25">
      <c r="A37" s="166" t="s">
        <v>549</v>
      </c>
      <c r="B37" s="175" t="s">
        <v>198</v>
      </c>
      <c r="C37" s="116">
        <v>36776539.490000002</v>
      </c>
      <c r="D37" s="107"/>
      <c r="E37" s="116">
        <v>28817268.210000001</v>
      </c>
      <c r="F37" s="107"/>
      <c r="G37" s="116">
        <v>341682277.50999999</v>
      </c>
      <c r="H37" s="107"/>
      <c r="I37" s="116">
        <v>309784610.19999999</v>
      </c>
      <c r="J37" s="107"/>
      <c r="K37" s="116">
        <v>341682277.50999999</v>
      </c>
      <c r="L37" s="107"/>
      <c r="M37" s="116">
        <v>309784610.19999999</v>
      </c>
    </row>
    <row r="38" spans="1:19" x14ac:dyDescent="0.25">
      <c r="B38" s="175" t="s">
        <v>198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9" x14ac:dyDescent="0.25">
      <c r="A39" s="166" t="s">
        <v>550</v>
      </c>
      <c r="B39" s="175" t="s">
        <v>198</v>
      </c>
      <c r="C39" s="107">
        <v>2021.15</v>
      </c>
      <c r="D39" s="107"/>
      <c r="E39" s="107">
        <v>2699.83</v>
      </c>
      <c r="F39" s="107"/>
      <c r="G39" s="107">
        <v>36926.400000000001</v>
      </c>
      <c r="H39" s="107"/>
      <c r="I39" s="107">
        <v>19827.330000000002</v>
      </c>
      <c r="J39" s="107"/>
      <c r="K39" s="107">
        <v>36926.400000000001</v>
      </c>
      <c r="L39" s="107"/>
      <c r="M39" s="107">
        <v>19827.330000000002</v>
      </c>
    </row>
    <row r="40" spans="1:19" x14ac:dyDescent="0.25">
      <c r="A40" s="166" t="s">
        <v>551</v>
      </c>
      <c r="B40" s="175" t="s">
        <v>198</v>
      </c>
      <c r="C40" s="107">
        <v>43086.58</v>
      </c>
      <c r="D40" s="107"/>
      <c r="E40" s="107">
        <v>24038.5</v>
      </c>
      <c r="F40" s="107"/>
      <c r="G40" s="107">
        <v>286066.25</v>
      </c>
      <c r="H40" s="107"/>
      <c r="I40" s="107">
        <v>288754.14</v>
      </c>
      <c r="J40" s="107"/>
      <c r="K40" s="107">
        <v>286066.25</v>
      </c>
      <c r="L40" s="107"/>
      <c r="M40" s="107">
        <v>288754.14</v>
      </c>
    </row>
    <row r="41" spans="1:19" x14ac:dyDescent="0.25">
      <c r="A41" s="166" t="s">
        <v>552</v>
      </c>
      <c r="B41" s="175" t="s">
        <v>198</v>
      </c>
      <c r="C41" s="116">
        <v>0</v>
      </c>
      <c r="D41" s="107"/>
      <c r="E41" s="116">
        <v>0</v>
      </c>
      <c r="F41" s="107"/>
      <c r="G41" s="116">
        <v>0</v>
      </c>
      <c r="H41" s="107"/>
      <c r="I41" s="116">
        <v>0</v>
      </c>
      <c r="J41" s="107"/>
      <c r="K41" s="116">
        <v>0</v>
      </c>
      <c r="L41" s="107"/>
      <c r="M41" s="116">
        <v>0</v>
      </c>
    </row>
    <row r="42" spans="1:19" x14ac:dyDescent="0.25">
      <c r="B42" s="175" t="s">
        <v>198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9" x14ac:dyDescent="0.25">
      <c r="A43" s="166" t="s">
        <v>553</v>
      </c>
      <c r="B43" s="175" t="s">
        <v>198</v>
      </c>
      <c r="C43" s="116">
        <v>45107.73</v>
      </c>
      <c r="D43" s="107"/>
      <c r="E43" s="116">
        <v>26738.33</v>
      </c>
      <c r="F43" s="107"/>
      <c r="G43" s="116">
        <v>322992.65000000002</v>
      </c>
      <c r="H43" s="107"/>
      <c r="I43" s="116">
        <v>308581.46999999997</v>
      </c>
      <c r="J43" s="107"/>
      <c r="K43" s="116">
        <v>322992.65000000002</v>
      </c>
      <c r="L43" s="107"/>
      <c r="M43" s="116">
        <v>308581.46999999997</v>
      </c>
    </row>
    <row r="44" spans="1:19" x14ac:dyDescent="0.25">
      <c r="B44" s="175" t="s">
        <v>198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9" x14ac:dyDescent="0.25">
      <c r="A45" s="166" t="s">
        <v>554</v>
      </c>
      <c r="B45" s="175" t="s">
        <v>198</v>
      </c>
      <c r="C45" s="107">
        <v>159635.26999999999</v>
      </c>
      <c r="D45" s="107"/>
      <c r="E45" s="107">
        <v>336435.05</v>
      </c>
      <c r="F45" s="107"/>
      <c r="G45" s="107">
        <v>9702820.6699999999</v>
      </c>
      <c r="H45" s="107"/>
      <c r="I45" s="107">
        <v>9962113.9199999999</v>
      </c>
      <c r="J45" s="107"/>
      <c r="K45" s="107">
        <v>9702820.6699999999</v>
      </c>
      <c r="L45" s="107"/>
      <c r="M45" s="107">
        <v>9962113.9199999999</v>
      </c>
    </row>
    <row r="46" spans="1:19" x14ac:dyDescent="0.25">
      <c r="A46" s="166" t="s">
        <v>550</v>
      </c>
      <c r="B46" s="175" t="s">
        <v>198</v>
      </c>
      <c r="C46" s="107">
        <v>74945.289999999994</v>
      </c>
      <c r="D46" s="107"/>
      <c r="E46" s="107">
        <v>38027.51</v>
      </c>
      <c r="F46" s="107"/>
      <c r="G46" s="107">
        <v>580652.16</v>
      </c>
      <c r="H46" s="107"/>
      <c r="I46" s="107">
        <v>-306868.09999999998</v>
      </c>
      <c r="J46" s="107"/>
      <c r="K46" s="107">
        <v>580652.16</v>
      </c>
      <c r="L46" s="107"/>
      <c r="M46" s="107">
        <v>-306868.09999999998</v>
      </c>
    </row>
    <row r="47" spans="1:19" x14ac:dyDescent="0.25">
      <c r="A47" s="166" t="s">
        <v>555</v>
      </c>
      <c r="B47" s="175" t="s">
        <v>198</v>
      </c>
      <c r="C47" s="108">
        <v>920258.92</v>
      </c>
      <c r="D47" s="108"/>
      <c r="E47" s="108">
        <v>86372.78</v>
      </c>
      <c r="F47" s="108"/>
      <c r="G47" s="108">
        <v>2119495.2200000002</v>
      </c>
      <c r="H47" s="108"/>
      <c r="I47" s="108">
        <v>-164608.68</v>
      </c>
      <c r="J47" s="108"/>
      <c r="K47" s="108">
        <v>2119495.2200000002</v>
      </c>
      <c r="L47" s="108"/>
      <c r="M47" s="108">
        <v>-164608.68</v>
      </c>
      <c r="N47" s="176"/>
      <c r="O47" s="176"/>
      <c r="P47" s="176"/>
      <c r="Q47" s="176"/>
      <c r="R47" s="176"/>
      <c r="S47" s="176"/>
    </row>
    <row r="48" spans="1:19" x14ac:dyDescent="0.25">
      <c r="A48" s="166" t="s">
        <v>556</v>
      </c>
      <c r="B48" s="175" t="s">
        <v>198</v>
      </c>
      <c r="C48" s="116">
        <v>0</v>
      </c>
      <c r="D48" s="107"/>
      <c r="E48" s="116">
        <v>0</v>
      </c>
      <c r="F48" s="107"/>
      <c r="G48" s="116">
        <v>0</v>
      </c>
      <c r="H48" s="107"/>
      <c r="I48" s="116">
        <v>255.21</v>
      </c>
      <c r="J48" s="107"/>
      <c r="K48" s="116">
        <v>0</v>
      </c>
      <c r="L48" s="107"/>
      <c r="M48" s="116">
        <v>255.21</v>
      </c>
    </row>
    <row r="49" spans="1:20" x14ac:dyDescent="0.25">
      <c r="B49" s="175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</row>
    <row r="50" spans="1:20" x14ac:dyDescent="0.25">
      <c r="A50" s="166" t="s">
        <v>557</v>
      </c>
      <c r="B50" s="175" t="s">
        <v>198</v>
      </c>
      <c r="C50" s="116">
        <v>1154839.48</v>
      </c>
      <c r="D50" s="107"/>
      <c r="E50" s="116">
        <v>460835.34</v>
      </c>
      <c r="F50" s="107"/>
      <c r="G50" s="116">
        <v>12402968.050000001</v>
      </c>
      <c r="H50" s="107"/>
      <c r="I50" s="116">
        <v>9490892.3499999996</v>
      </c>
      <c r="J50" s="107"/>
      <c r="K50" s="116">
        <v>12402968.050000001</v>
      </c>
      <c r="L50" s="107"/>
      <c r="M50" s="116">
        <v>9490892.3499999996</v>
      </c>
    </row>
    <row r="51" spans="1:20" x14ac:dyDescent="0.25">
      <c r="B51" s="175" t="s">
        <v>198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</row>
    <row r="52" spans="1:20" x14ac:dyDescent="0.25">
      <c r="A52" s="166" t="s">
        <v>558</v>
      </c>
      <c r="B52" s="175" t="s">
        <v>198</v>
      </c>
      <c r="C52" s="107">
        <v>14383475.24</v>
      </c>
      <c r="D52" s="107"/>
      <c r="E52" s="107">
        <v>12658098.460000001</v>
      </c>
      <c r="F52" s="107"/>
      <c r="G52" s="107">
        <v>144232055.66</v>
      </c>
      <c r="H52" s="107"/>
      <c r="I52" s="107">
        <v>140062568.11000001</v>
      </c>
      <c r="J52" s="107"/>
      <c r="K52" s="107">
        <v>144232055.66</v>
      </c>
      <c r="L52" s="107"/>
      <c r="M52" s="107">
        <v>140062568.11000001</v>
      </c>
    </row>
    <row r="53" spans="1:20" x14ac:dyDescent="0.25">
      <c r="A53" s="166" t="s">
        <v>559</v>
      </c>
      <c r="B53" s="175" t="s">
        <v>198</v>
      </c>
      <c r="C53" s="107">
        <v>0</v>
      </c>
      <c r="D53" s="107"/>
      <c r="E53" s="107">
        <v>0</v>
      </c>
      <c r="F53" s="107"/>
      <c r="G53" s="107">
        <v>0</v>
      </c>
      <c r="H53" s="107"/>
      <c r="I53" s="107">
        <v>0</v>
      </c>
      <c r="J53" s="107"/>
      <c r="K53" s="107">
        <v>0</v>
      </c>
      <c r="L53" s="107"/>
      <c r="M53" s="107">
        <v>0</v>
      </c>
    </row>
    <row r="54" spans="1:20" x14ac:dyDescent="0.25">
      <c r="A54" s="166" t="s">
        <v>560</v>
      </c>
      <c r="B54" s="175" t="s">
        <v>198</v>
      </c>
      <c r="C54" s="108">
        <v>136071.04999999999</v>
      </c>
      <c r="D54" s="108"/>
      <c r="E54" s="108">
        <v>107714.14</v>
      </c>
      <c r="F54" s="108"/>
      <c r="G54" s="108">
        <v>1376457.79</v>
      </c>
      <c r="H54" s="108"/>
      <c r="I54" s="108">
        <v>1227963.79</v>
      </c>
      <c r="J54" s="108"/>
      <c r="K54" s="108">
        <v>1376457.79</v>
      </c>
      <c r="L54" s="108"/>
      <c r="M54" s="108">
        <v>1227963.79</v>
      </c>
      <c r="N54" s="176"/>
      <c r="O54" s="176"/>
      <c r="P54" s="176"/>
      <c r="Q54" s="176"/>
    </row>
    <row r="55" spans="1:20" x14ac:dyDescent="0.25">
      <c r="A55" s="166" t="s">
        <v>561</v>
      </c>
      <c r="B55" s="175" t="s">
        <v>198</v>
      </c>
      <c r="C55" s="116">
        <v>255</v>
      </c>
      <c r="D55" s="107"/>
      <c r="E55" s="116">
        <v>4456</v>
      </c>
      <c r="F55" s="107"/>
      <c r="G55" s="116">
        <v>4519.18</v>
      </c>
      <c r="H55" s="107"/>
      <c r="I55" s="116">
        <v>18974</v>
      </c>
      <c r="J55" s="107"/>
      <c r="K55" s="116">
        <v>4519.18</v>
      </c>
      <c r="L55" s="107"/>
      <c r="M55" s="116">
        <v>18974</v>
      </c>
    </row>
    <row r="56" spans="1:20" x14ac:dyDescent="0.25">
      <c r="B56" s="175" t="s">
        <v>198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76"/>
      <c r="O56" s="176"/>
      <c r="P56" s="176"/>
      <c r="Q56" s="176"/>
    </row>
    <row r="57" spans="1:20" x14ac:dyDescent="0.25">
      <c r="A57" s="166" t="s">
        <v>562</v>
      </c>
      <c r="B57" s="175" t="s">
        <v>198</v>
      </c>
      <c r="C57" s="116">
        <v>14519801.289999999</v>
      </c>
      <c r="D57" s="107"/>
      <c r="E57" s="116">
        <v>12770268.6</v>
      </c>
      <c r="F57" s="107"/>
      <c r="G57" s="116">
        <v>145613032.63</v>
      </c>
      <c r="H57" s="107"/>
      <c r="I57" s="116">
        <v>141309505.90000001</v>
      </c>
      <c r="J57" s="107"/>
      <c r="K57" s="116">
        <v>145613032.63</v>
      </c>
      <c r="L57" s="107"/>
      <c r="M57" s="116">
        <v>141309505.90000001</v>
      </c>
    </row>
    <row r="58" spans="1:20" x14ac:dyDescent="0.25">
      <c r="B58" s="175" t="s">
        <v>198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76"/>
      <c r="O58" s="176"/>
      <c r="P58" s="176"/>
      <c r="Q58" s="176"/>
      <c r="R58" s="176"/>
      <c r="S58" s="176"/>
      <c r="T58" s="176"/>
    </row>
    <row r="59" spans="1:20" x14ac:dyDescent="0.25">
      <c r="A59" s="166" t="s">
        <v>563</v>
      </c>
      <c r="B59" s="175" t="s">
        <v>198</v>
      </c>
      <c r="C59" s="116">
        <v>52496287.990000002</v>
      </c>
      <c r="D59" s="107"/>
      <c r="E59" s="116">
        <v>42075110.479999997</v>
      </c>
      <c r="F59" s="107"/>
      <c r="G59" s="116">
        <v>500021270.83999997</v>
      </c>
      <c r="H59" s="107"/>
      <c r="I59" s="116">
        <v>460893589.92000002</v>
      </c>
      <c r="J59" s="107"/>
      <c r="K59" s="116">
        <v>500021270.83999997</v>
      </c>
      <c r="L59" s="107"/>
      <c r="M59" s="116">
        <v>460893589.92000002</v>
      </c>
    </row>
    <row r="60" spans="1:20" x14ac:dyDescent="0.25">
      <c r="B60" s="175" t="s">
        <v>198</v>
      </c>
      <c r="C60" s="176"/>
    </row>
    <row r="61" spans="1:20" x14ac:dyDescent="0.25">
      <c r="B61" s="175" t="s">
        <v>198</v>
      </c>
    </row>
    <row r="62" spans="1:20" x14ac:dyDescent="0.25">
      <c r="B62" s="175" t="s">
        <v>198</v>
      </c>
    </row>
    <row r="63" spans="1:20" x14ac:dyDescent="0.25">
      <c r="B63" s="175" t="s">
        <v>198</v>
      </c>
    </row>
    <row r="64" spans="1:20" x14ac:dyDescent="0.25">
      <c r="B64" s="175" t="s">
        <v>198</v>
      </c>
    </row>
    <row r="65" spans="2:2" x14ac:dyDescent="0.25">
      <c r="B65" s="175" t="s">
        <v>198</v>
      </c>
    </row>
    <row r="66" spans="2:2" x14ac:dyDescent="0.25">
      <c r="B66" s="175" t="s">
        <v>198</v>
      </c>
    </row>
    <row r="67" spans="2:2" x14ac:dyDescent="0.25">
      <c r="B67" s="175" t="s">
        <v>198</v>
      </c>
    </row>
  </sheetData>
  <mergeCells count="1">
    <mergeCell ref="A3:M3"/>
  </mergeCells>
  <phoneticPr fontId="58" type="noConversion"/>
  <printOptions horizontalCentered="1"/>
  <pageMargins left="0" right="0" top="0.5" bottom="0.5" header="0" footer="0.35"/>
  <pageSetup scale="60" orientation="landscape" horizontalDpi="4294967292" verticalDpi="300" r:id="rId1"/>
  <headerFooter alignWithMargins="0">
    <oddFooter>&amp;C&amp;"Times New Roman,Bold"&amp;A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Normal="100" workbookViewId="0">
      <selection activeCell="E11" sqref="E11"/>
    </sheetView>
  </sheetViews>
  <sheetFormatPr defaultRowHeight="12.75" x14ac:dyDescent="0.2"/>
  <cols>
    <col min="1" max="1" width="22.140625" style="490" customWidth="1"/>
    <col min="2" max="2" width="21.85546875" style="490" customWidth="1"/>
    <col min="3" max="5" width="18.28515625" style="490" bestFit="1" customWidth="1"/>
    <col min="6" max="9" width="17.42578125" style="490" bestFit="1" customWidth="1"/>
    <col min="10" max="16384" width="9.140625" style="490"/>
  </cols>
  <sheetData>
    <row r="1" spans="1:9" x14ac:dyDescent="0.2">
      <c r="A1" s="832" t="s">
        <v>21</v>
      </c>
      <c r="B1" s="832"/>
      <c r="C1" s="832"/>
      <c r="D1" s="832"/>
      <c r="E1" s="832"/>
      <c r="F1" s="832"/>
      <c r="G1" s="832"/>
      <c r="H1" s="511"/>
      <c r="I1" s="511"/>
    </row>
    <row r="2" spans="1:9" x14ac:dyDescent="0.2">
      <c r="A2" s="832" t="s">
        <v>22</v>
      </c>
      <c r="B2" s="832"/>
      <c r="C2" s="832"/>
      <c r="D2" s="832"/>
      <c r="E2" s="832"/>
      <c r="F2" s="832"/>
      <c r="G2" s="832"/>
    </row>
    <row r="3" spans="1:9" x14ac:dyDescent="0.2">
      <c r="A3" s="832" t="s">
        <v>23</v>
      </c>
      <c r="B3" s="832"/>
      <c r="C3" s="832"/>
      <c r="D3" s="832"/>
      <c r="E3" s="832"/>
      <c r="F3" s="832"/>
      <c r="G3" s="832"/>
    </row>
    <row r="4" spans="1:9" x14ac:dyDescent="0.2">
      <c r="A4" s="832"/>
      <c r="B4" s="832"/>
      <c r="C4" s="832"/>
      <c r="D4" s="832"/>
      <c r="E4" s="832"/>
      <c r="F4" s="832"/>
      <c r="G4" s="832"/>
    </row>
    <row r="6" spans="1:9" ht="15" x14ac:dyDescent="0.35">
      <c r="A6" s="830" t="s">
        <v>734</v>
      </c>
      <c r="B6" s="830"/>
      <c r="C6" s="830"/>
      <c r="D6" s="831"/>
      <c r="E6" s="831"/>
      <c r="F6" s="831"/>
      <c r="G6" s="831"/>
    </row>
    <row r="7" spans="1:9" x14ac:dyDescent="0.2">
      <c r="B7" s="491"/>
      <c r="C7" s="492" t="s">
        <v>24</v>
      </c>
      <c r="D7" s="489"/>
      <c r="F7" s="489" t="s">
        <v>25</v>
      </c>
      <c r="G7" s="489" t="s">
        <v>26</v>
      </c>
    </row>
    <row r="8" spans="1:9" x14ac:dyDescent="0.2">
      <c r="B8" s="493" t="s">
        <v>27</v>
      </c>
      <c r="C8" s="492" t="s">
        <v>28</v>
      </c>
      <c r="D8" s="489" t="s">
        <v>29</v>
      </c>
      <c r="E8" s="493" t="s">
        <v>30</v>
      </c>
      <c r="F8" s="489" t="s">
        <v>31</v>
      </c>
      <c r="G8" s="489" t="s">
        <v>32</v>
      </c>
    </row>
    <row r="9" spans="1:9" x14ac:dyDescent="0.2">
      <c r="B9" s="494" t="s">
        <v>33</v>
      </c>
      <c r="C9" s="495" t="s">
        <v>34</v>
      </c>
      <c r="D9" s="494" t="s">
        <v>27</v>
      </c>
      <c r="E9" s="494" t="s">
        <v>35</v>
      </c>
      <c r="F9" s="494" t="s">
        <v>36</v>
      </c>
      <c r="G9" s="494" t="s">
        <v>37</v>
      </c>
    </row>
    <row r="10" spans="1:9" x14ac:dyDescent="0.2">
      <c r="A10" s="490" t="s">
        <v>38</v>
      </c>
      <c r="B10" s="496">
        <v>77974954</v>
      </c>
      <c r="C10" s="497">
        <f t="shared" ref="C10:D14" si="0">+C29+C48</f>
        <v>1</v>
      </c>
      <c r="D10" s="496">
        <f t="shared" si="0"/>
        <v>77974954</v>
      </c>
      <c r="E10" s="497">
        <f>ROUND(+D10/$D$15,4)</f>
        <v>2.12E-2</v>
      </c>
      <c r="F10" s="510">
        <v>1.9099999999999999E-2</v>
      </c>
      <c r="G10" s="497">
        <f>ROUND(+E10*F10,4)</f>
        <v>4.0000000000000002E-4</v>
      </c>
      <c r="H10" s="498"/>
    </row>
    <row r="11" spans="1:9" x14ac:dyDescent="0.2">
      <c r="A11" s="490" t="s">
        <v>39</v>
      </c>
      <c r="B11" s="496">
        <v>0</v>
      </c>
      <c r="C11" s="497">
        <f t="shared" si="0"/>
        <v>1</v>
      </c>
      <c r="D11" s="496">
        <f t="shared" si="0"/>
        <v>0</v>
      </c>
      <c r="E11" s="497">
        <f>ROUND(+D11/$D$15,4)</f>
        <v>0</v>
      </c>
      <c r="F11" s="510">
        <v>0</v>
      </c>
      <c r="G11" s="497">
        <f>ROUND(+E11*F11,4)</f>
        <v>0</v>
      </c>
    </row>
    <row r="12" spans="1:9" x14ac:dyDescent="0.2">
      <c r="A12" s="490" t="s">
        <v>40</v>
      </c>
      <c r="B12" s="496">
        <v>1648779405</v>
      </c>
      <c r="C12" s="497">
        <f t="shared" si="0"/>
        <v>1</v>
      </c>
      <c r="D12" s="496">
        <f t="shared" si="0"/>
        <v>1648779405</v>
      </c>
      <c r="E12" s="497">
        <f>ROUND(+D12/$D$15,4)</f>
        <v>0.44819999999999999</v>
      </c>
      <c r="F12" s="510">
        <v>4.6829999999999997E-2</v>
      </c>
      <c r="G12" s="497">
        <f>ROUND(+E12*F12,4)</f>
        <v>2.1000000000000001E-2</v>
      </c>
    </row>
    <row r="13" spans="1:9" ht="13.5" thickBot="1" x14ac:dyDescent="0.25">
      <c r="A13" s="490" t="s">
        <v>41</v>
      </c>
      <c r="B13" s="496">
        <v>0</v>
      </c>
      <c r="C13" s="497">
        <f t="shared" si="0"/>
        <v>1</v>
      </c>
      <c r="D13" s="496">
        <f t="shared" si="0"/>
        <v>0</v>
      </c>
      <c r="E13" s="497">
        <f>ROUND(+D13/$D$15,4)</f>
        <v>0</v>
      </c>
      <c r="F13" s="510">
        <v>0</v>
      </c>
      <c r="G13" s="497">
        <f>ROUND(+E13*F13,4)</f>
        <v>0</v>
      </c>
    </row>
    <row r="14" spans="1:9" ht="13.5" thickBot="1" x14ac:dyDescent="0.25">
      <c r="A14" s="490" t="s">
        <v>42</v>
      </c>
      <c r="B14" s="496">
        <v>1951966343.5899999</v>
      </c>
      <c r="C14" s="497">
        <f t="shared" si="0"/>
        <v>1</v>
      </c>
      <c r="D14" s="496">
        <f t="shared" si="0"/>
        <v>1951966344</v>
      </c>
      <c r="E14" s="497">
        <f>ROUND(+D14/$D$15,4)</f>
        <v>0.53059999999999996</v>
      </c>
      <c r="F14" s="824">
        <f>ROUND(+G14/E14,4)</f>
        <v>6.13E-2</v>
      </c>
      <c r="G14" s="499">
        <f>+G19-G10-G11-G12-G13</f>
        <v>3.2500000000000001E-2</v>
      </c>
    </row>
    <row r="15" spans="1:9" x14ac:dyDescent="0.2">
      <c r="B15" s="500">
        <f>SUM(B10:B14)</f>
        <v>3678720702.5900002</v>
      </c>
      <c r="D15" s="500">
        <f>SUM(D10:D14)</f>
        <v>3678720703</v>
      </c>
      <c r="E15" s="501">
        <f>SUM(E10:E14)</f>
        <v>1</v>
      </c>
      <c r="F15" s="496"/>
      <c r="G15" s="497">
        <f>SUM(G10:G14)</f>
        <v>5.3900000000000003E-2</v>
      </c>
    </row>
    <row r="16" spans="1:9" x14ac:dyDescent="0.2">
      <c r="B16" s="496"/>
      <c r="D16" s="496"/>
      <c r="E16" s="496"/>
      <c r="F16" s="496"/>
      <c r="G16" s="497"/>
    </row>
    <row r="17" spans="1:8" x14ac:dyDescent="0.2">
      <c r="D17" s="496"/>
      <c r="E17" s="496"/>
      <c r="F17" s="496"/>
      <c r="G17" s="496"/>
    </row>
    <row r="18" spans="1:8" x14ac:dyDescent="0.2">
      <c r="A18" s="715" t="s">
        <v>735</v>
      </c>
      <c r="D18" s="496"/>
      <c r="E18" s="496"/>
      <c r="F18" s="496"/>
      <c r="G18" s="720">
        <f>'2009 IS'!C35</f>
        <v>198354508.02999997</v>
      </c>
    </row>
    <row r="19" spans="1:8" x14ac:dyDescent="0.2">
      <c r="A19" s="490" t="s">
        <v>44</v>
      </c>
      <c r="D19" s="496"/>
      <c r="E19" s="496"/>
      <c r="F19" s="496"/>
      <c r="G19" s="497">
        <f>ROUND(+G18/D15,4)</f>
        <v>5.3900000000000003E-2</v>
      </c>
      <c r="H19" s="503">
        <f>+G15-G19</f>
        <v>0</v>
      </c>
    </row>
    <row r="20" spans="1:8" x14ac:dyDescent="0.2">
      <c r="D20" s="496"/>
      <c r="E20" s="496"/>
      <c r="F20" s="496"/>
      <c r="G20" s="496"/>
    </row>
    <row r="22" spans="1:8" ht="13.5" thickBot="1" x14ac:dyDescent="0.25">
      <c r="A22" s="504"/>
      <c r="B22" s="504"/>
      <c r="C22" s="504"/>
      <c r="D22" s="504"/>
      <c r="E22" s="504"/>
      <c r="F22" s="504"/>
      <c r="G22" s="505"/>
    </row>
    <row r="23" spans="1:8" x14ac:dyDescent="0.2">
      <c r="G23" s="496"/>
    </row>
    <row r="25" spans="1:8" ht="15" x14ac:dyDescent="0.35">
      <c r="A25" s="830" t="s">
        <v>737</v>
      </c>
      <c r="B25" s="830"/>
      <c r="C25" s="830"/>
      <c r="D25" s="831"/>
      <c r="E25" s="831"/>
      <c r="F25" s="831"/>
      <c r="G25" s="831"/>
    </row>
    <row r="26" spans="1:8" x14ac:dyDescent="0.2">
      <c r="B26" s="491"/>
      <c r="C26" s="492" t="s">
        <v>45</v>
      </c>
      <c r="D26" s="489"/>
      <c r="E26" s="618"/>
      <c r="F26" s="489" t="s">
        <v>25</v>
      </c>
      <c r="G26" s="489" t="s">
        <v>26</v>
      </c>
    </row>
    <row r="27" spans="1:8" x14ac:dyDescent="0.2">
      <c r="B27" s="493" t="s">
        <v>27</v>
      </c>
      <c r="C27" s="492" t="s">
        <v>28</v>
      </c>
      <c r="D27" s="489" t="s">
        <v>45</v>
      </c>
      <c r="E27" s="618" t="s">
        <v>30</v>
      </c>
      <c r="F27" s="618" t="s">
        <v>31</v>
      </c>
      <c r="G27" s="618" t="s">
        <v>32</v>
      </c>
    </row>
    <row r="28" spans="1:8" x14ac:dyDescent="0.2">
      <c r="B28" s="494" t="s">
        <v>33</v>
      </c>
      <c r="C28" s="495" t="s">
        <v>34</v>
      </c>
      <c r="D28" s="494" t="s">
        <v>27</v>
      </c>
      <c r="E28" s="620" t="s">
        <v>35</v>
      </c>
      <c r="F28" s="620" t="s">
        <v>36</v>
      </c>
      <c r="G28" s="620" t="s">
        <v>37</v>
      </c>
    </row>
    <row r="29" spans="1:8" x14ac:dyDescent="0.2">
      <c r="A29" s="490" t="s">
        <v>38</v>
      </c>
      <c r="B29" s="506">
        <f>+B10</f>
        <v>77974954</v>
      </c>
      <c r="C29" s="510">
        <f>'Ex 3 - 2009'!D46</f>
        <v>0.87190000000000001</v>
      </c>
      <c r="D29" s="496">
        <f>ROUND(+B29*C29,0)</f>
        <v>67986362</v>
      </c>
      <c r="E29" s="497">
        <f>ROUND(+D29/$D$34,4)</f>
        <v>2.12E-2</v>
      </c>
      <c r="F29" s="510">
        <f>+F10</f>
        <v>1.9099999999999999E-2</v>
      </c>
      <c r="G29" s="497">
        <f>ROUND(+E29*F29,4)</f>
        <v>4.0000000000000002E-4</v>
      </c>
    </row>
    <row r="30" spans="1:8" x14ac:dyDescent="0.2">
      <c r="A30" s="490" t="s">
        <v>39</v>
      </c>
      <c r="B30" s="506">
        <f>+B11</f>
        <v>0</v>
      </c>
      <c r="C30" s="727">
        <f>+C29</f>
        <v>0.87190000000000001</v>
      </c>
      <c r="D30" s="496">
        <f>ROUND(+B30*C30,0)</f>
        <v>0</v>
      </c>
      <c r="E30" s="497">
        <f>ROUND(+D30/$D$34,4)</f>
        <v>0</v>
      </c>
      <c r="F30" s="510">
        <f>+F11</f>
        <v>0</v>
      </c>
      <c r="G30" s="497">
        <f>ROUND(+E30*F30,4)</f>
        <v>0</v>
      </c>
    </row>
    <row r="31" spans="1:8" x14ac:dyDescent="0.2">
      <c r="A31" s="490" t="s">
        <v>40</v>
      </c>
      <c r="B31" s="506">
        <f>+B12</f>
        <v>1648779405</v>
      </c>
      <c r="C31" s="727">
        <f>+C30</f>
        <v>0.87190000000000001</v>
      </c>
      <c r="D31" s="496">
        <f>ROUND(+B31*C31,0)</f>
        <v>1437570763</v>
      </c>
      <c r="E31" s="497">
        <f>ROUND(+D31/$D$34,4)</f>
        <v>0.44819999999999999</v>
      </c>
      <c r="F31" s="510">
        <f>+F12</f>
        <v>4.6829999999999997E-2</v>
      </c>
      <c r="G31" s="497">
        <f>ROUND(+E31*F31,4)</f>
        <v>2.1000000000000001E-2</v>
      </c>
    </row>
    <row r="32" spans="1:8" ht="13.5" thickBot="1" x14ac:dyDescent="0.25">
      <c r="A32" s="490" t="s">
        <v>41</v>
      </c>
      <c r="B32" s="506">
        <f>+B13</f>
        <v>0</v>
      </c>
      <c r="C32" s="727">
        <f>+C31</f>
        <v>0.87190000000000001</v>
      </c>
      <c r="D32" s="496">
        <f>ROUND(+B32*C32,0)</f>
        <v>0</v>
      </c>
      <c r="E32" s="497">
        <f>ROUND(+D32/$D$34,4)</f>
        <v>0</v>
      </c>
      <c r="F32" s="510">
        <f>+F13</f>
        <v>0</v>
      </c>
      <c r="G32" s="497">
        <f>ROUND(+E32*F32,4)</f>
        <v>0</v>
      </c>
    </row>
    <row r="33" spans="1:8" ht="13.5" thickBot="1" x14ac:dyDescent="0.25">
      <c r="A33" s="490" t="s">
        <v>42</v>
      </c>
      <c r="B33" s="506">
        <f>+B14</f>
        <v>1951966343.5899999</v>
      </c>
      <c r="C33" s="727">
        <f>+C32</f>
        <v>0.87190000000000001</v>
      </c>
      <c r="D33" s="496">
        <f>ROUND(+B33*C33,0)</f>
        <v>1701919455</v>
      </c>
      <c r="E33" s="497">
        <f>ROUND(+D33/$D$34,4)</f>
        <v>0.53059999999999996</v>
      </c>
      <c r="F33" s="824">
        <f>ROUND(+G33/E33,4)</f>
        <v>6.8000000000000005E-2</v>
      </c>
      <c r="G33" s="499">
        <f>+G38-G29-G30-G31-G32</f>
        <v>3.6100000000000007E-2</v>
      </c>
    </row>
    <row r="34" spans="1:8" x14ac:dyDescent="0.2">
      <c r="B34" s="507">
        <f>SUM(B29:B33)</f>
        <v>3678720702.5900002</v>
      </c>
      <c r="D34" s="500">
        <f>SUM(D29:D33)</f>
        <v>3207476580</v>
      </c>
      <c r="E34" s="501">
        <v>1</v>
      </c>
      <c r="F34" s="716"/>
      <c r="G34" s="497">
        <f>SUM(G29:G33)</f>
        <v>5.7500000000000009E-2</v>
      </c>
    </row>
    <row r="35" spans="1:8" x14ac:dyDescent="0.2">
      <c r="D35" s="496"/>
      <c r="E35" s="496"/>
      <c r="F35" s="508"/>
      <c r="G35" s="497"/>
    </row>
    <row r="36" spans="1:8" x14ac:dyDescent="0.2">
      <c r="D36" s="496"/>
      <c r="E36" s="496"/>
      <c r="F36" s="496"/>
      <c r="G36" s="496"/>
    </row>
    <row r="37" spans="1:8" x14ac:dyDescent="0.2">
      <c r="A37" s="715" t="s">
        <v>735</v>
      </c>
      <c r="D37" s="496"/>
      <c r="E37" s="496"/>
      <c r="F37" s="496"/>
      <c r="G37" s="720">
        <f>'Ex 3 - 2009'!D48</f>
        <v>184459901</v>
      </c>
    </row>
    <row r="38" spans="1:8" x14ac:dyDescent="0.2">
      <c r="A38" s="490" t="s">
        <v>44</v>
      </c>
      <c r="D38" s="496"/>
      <c r="E38" s="496"/>
      <c r="F38" s="496"/>
      <c r="G38" s="497">
        <f>ROUND(+G37/D34,4)</f>
        <v>5.7500000000000002E-2</v>
      </c>
      <c r="H38" s="503">
        <f>+G34-G38</f>
        <v>0</v>
      </c>
    </row>
    <row r="39" spans="1:8" x14ac:dyDescent="0.2">
      <c r="D39" s="496"/>
      <c r="E39" s="496"/>
      <c r="F39" s="496"/>
      <c r="G39" s="496"/>
    </row>
    <row r="41" spans="1:8" ht="13.5" thickBot="1" x14ac:dyDescent="0.25">
      <c r="A41" s="504"/>
      <c r="B41" s="504"/>
      <c r="C41" s="504"/>
      <c r="D41" s="504"/>
      <c r="E41" s="504"/>
      <c r="F41" s="504"/>
      <c r="G41" s="504"/>
    </row>
    <row r="42" spans="1:8" x14ac:dyDescent="0.2">
      <c r="A42" s="491"/>
      <c r="B42" s="491"/>
      <c r="C42" s="491"/>
      <c r="D42" s="491"/>
      <c r="E42" s="491"/>
      <c r="F42" s="491"/>
      <c r="G42" s="491"/>
    </row>
    <row r="44" spans="1:8" ht="15" x14ac:dyDescent="0.35">
      <c r="A44" s="830" t="s">
        <v>736</v>
      </c>
      <c r="B44" s="830"/>
      <c r="C44" s="830"/>
      <c r="D44" s="831"/>
      <c r="E44" s="831"/>
      <c r="F44" s="831"/>
      <c r="G44" s="831"/>
    </row>
    <row r="45" spans="1:8" x14ac:dyDescent="0.2">
      <c r="B45" s="491"/>
      <c r="C45" s="492" t="s">
        <v>45</v>
      </c>
      <c r="D45" s="489"/>
      <c r="F45" s="489" t="s">
        <v>25</v>
      </c>
      <c r="G45" s="489" t="s">
        <v>26</v>
      </c>
    </row>
    <row r="46" spans="1:8" x14ac:dyDescent="0.2">
      <c r="B46" s="493" t="s">
        <v>27</v>
      </c>
      <c r="C46" s="492" t="s">
        <v>28</v>
      </c>
      <c r="D46" s="489" t="s">
        <v>45</v>
      </c>
      <c r="E46" s="489" t="s">
        <v>30</v>
      </c>
      <c r="F46" s="489" t="s">
        <v>31</v>
      </c>
      <c r="G46" s="489" t="s">
        <v>32</v>
      </c>
    </row>
    <row r="47" spans="1:8" x14ac:dyDescent="0.2">
      <c r="B47" s="494" t="s">
        <v>33</v>
      </c>
      <c r="C47" s="495" t="s">
        <v>34</v>
      </c>
      <c r="D47" s="494" t="s">
        <v>27</v>
      </c>
      <c r="E47" s="494" t="s">
        <v>35</v>
      </c>
      <c r="F47" s="494" t="s">
        <v>36</v>
      </c>
      <c r="G47" s="494" t="s">
        <v>37</v>
      </c>
    </row>
    <row r="48" spans="1:8" x14ac:dyDescent="0.2">
      <c r="A48" s="490" t="s">
        <v>38</v>
      </c>
      <c r="B48" s="506">
        <f>+B10</f>
        <v>77974954</v>
      </c>
      <c r="C48" s="510">
        <f>'Ex 3 - 2009'!F46</f>
        <v>0.12809999999999999</v>
      </c>
      <c r="D48" s="496">
        <f>ROUND(+B48*C48,0)</f>
        <v>9988592</v>
      </c>
      <c r="E48" s="497">
        <f>ROUND(+D48/$D$53,4)</f>
        <v>2.12E-2</v>
      </c>
      <c r="F48" s="510">
        <f>+F29</f>
        <v>1.9099999999999999E-2</v>
      </c>
      <c r="G48" s="497">
        <f>ROUND(+E48*F48,4)</f>
        <v>4.0000000000000002E-4</v>
      </c>
    </row>
    <row r="49" spans="1:8" x14ac:dyDescent="0.2">
      <c r="A49" s="490" t="s">
        <v>39</v>
      </c>
      <c r="B49" s="506">
        <f>+B11</f>
        <v>0</v>
      </c>
      <c r="C49" s="727">
        <f>+C48</f>
        <v>0.12809999999999999</v>
      </c>
      <c r="D49" s="496">
        <f>ROUND(+B49*C49,0)</f>
        <v>0</v>
      </c>
      <c r="E49" s="497">
        <f>ROUND(+D49/$D$53,4)</f>
        <v>0</v>
      </c>
      <c r="F49" s="510">
        <f>+F30</f>
        <v>0</v>
      </c>
      <c r="G49" s="497">
        <f>ROUND(+E49*F49,4)</f>
        <v>0</v>
      </c>
    </row>
    <row r="50" spans="1:8" x14ac:dyDescent="0.2">
      <c r="A50" s="490" t="s">
        <v>40</v>
      </c>
      <c r="B50" s="506">
        <f>+B12</f>
        <v>1648779405</v>
      </c>
      <c r="C50" s="727">
        <f>+C49</f>
        <v>0.12809999999999999</v>
      </c>
      <c r="D50" s="496">
        <f>ROUND(+B50*C50,0)</f>
        <v>211208642</v>
      </c>
      <c r="E50" s="497">
        <f>ROUND(+D50/$D$53,4)</f>
        <v>0.44819999999999999</v>
      </c>
      <c r="F50" s="510">
        <f>+F31</f>
        <v>4.6829999999999997E-2</v>
      </c>
      <c r="G50" s="497">
        <f>ROUND(+E50*F50,4)</f>
        <v>2.1000000000000001E-2</v>
      </c>
    </row>
    <row r="51" spans="1:8" ht="13.5" thickBot="1" x14ac:dyDescent="0.25">
      <c r="A51" s="490" t="s">
        <v>41</v>
      </c>
      <c r="B51" s="506">
        <f>+B13</f>
        <v>0</v>
      </c>
      <c r="C51" s="727">
        <f>+C50</f>
        <v>0.12809999999999999</v>
      </c>
      <c r="D51" s="496">
        <f>ROUND(+B51*C51,0)</f>
        <v>0</v>
      </c>
      <c r="E51" s="497">
        <f>ROUND(+D51/$D$53,4)</f>
        <v>0</v>
      </c>
      <c r="F51" s="510">
        <f>+F32</f>
        <v>0</v>
      </c>
      <c r="G51" s="497">
        <f>ROUND(+E51*F51,4)</f>
        <v>0</v>
      </c>
    </row>
    <row r="52" spans="1:8" ht="13.5" thickBot="1" x14ac:dyDescent="0.25">
      <c r="A52" s="490" t="s">
        <v>42</v>
      </c>
      <c r="B52" s="506">
        <f>+B14</f>
        <v>1951966343.5899999</v>
      </c>
      <c r="C52" s="727">
        <f>+C51</f>
        <v>0.12809999999999999</v>
      </c>
      <c r="D52" s="496">
        <f>ROUND(+B52*C52,0)</f>
        <v>250046889</v>
      </c>
      <c r="E52" s="497">
        <f>ROUND(+D52/$D$53,4)</f>
        <v>0.53059999999999996</v>
      </c>
      <c r="F52" s="824">
        <f>ROUND(+G52/E52,4)</f>
        <v>1.5299999999999999E-2</v>
      </c>
      <c r="G52" s="499">
        <f>+G57-G48-G49-G50-G51</f>
        <v>8.0999999999999961E-3</v>
      </c>
    </row>
    <row r="53" spans="1:8" x14ac:dyDescent="0.2">
      <c r="B53" s="507">
        <f>SUM(B48:B52)</f>
        <v>3678720702.5900002</v>
      </c>
      <c r="D53" s="500">
        <f>SUM(D48:D52)</f>
        <v>471244123</v>
      </c>
      <c r="E53" s="501">
        <v>1</v>
      </c>
      <c r="F53" s="496"/>
      <c r="G53" s="497">
        <f>SUM(G48:G52)</f>
        <v>2.9499999999999998E-2</v>
      </c>
    </row>
    <row r="54" spans="1:8" x14ac:dyDescent="0.2">
      <c r="D54" s="496"/>
      <c r="E54" s="496"/>
      <c r="F54" s="508"/>
      <c r="G54" s="497"/>
    </row>
    <row r="55" spans="1:8" x14ac:dyDescent="0.2">
      <c r="D55" s="496"/>
      <c r="E55" s="496"/>
      <c r="F55" s="496"/>
      <c r="G55" s="496"/>
    </row>
    <row r="56" spans="1:8" x14ac:dyDescent="0.2">
      <c r="A56" s="715" t="s">
        <v>735</v>
      </c>
      <c r="D56" s="496"/>
      <c r="E56" s="496"/>
      <c r="F56" s="496"/>
      <c r="G56" s="720">
        <f>'Ex 3 - 2009'!F48</f>
        <v>13894607</v>
      </c>
      <c r="H56" s="509"/>
    </row>
    <row r="57" spans="1:8" x14ac:dyDescent="0.2">
      <c r="A57" s="490" t="s">
        <v>44</v>
      </c>
      <c r="D57" s="496"/>
      <c r="E57" s="496"/>
      <c r="F57" s="496"/>
      <c r="G57" s="497">
        <f>ROUND(+G56/D53,4)</f>
        <v>2.9499999999999998E-2</v>
      </c>
      <c r="H57" s="503">
        <f>+G53-G57</f>
        <v>0</v>
      </c>
    </row>
    <row r="58" spans="1:8" x14ac:dyDescent="0.2">
      <c r="D58" s="496"/>
      <c r="E58" s="496"/>
      <c r="F58" s="496"/>
      <c r="G58" s="496"/>
    </row>
    <row r="60" spans="1:8" ht="13.5" thickBot="1" x14ac:dyDescent="0.25">
      <c r="A60" s="504"/>
      <c r="B60" s="504"/>
      <c r="C60" s="504"/>
      <c r="D60" s="504"/>
      <c r="E60" s="504"/>
      <c r="F60" s="504"/>
      <c r="G60" s="504"/>
    </row>
  </sheetData>
  <mergeCells count="7">
    <mergeCell ref="A44:G44"/>
    <mergeCell ref="A1:G1"/>
    <mergeCell ref="A2:G2"/>
    <mergeCell ref="A3:G3"/>
    <mergeCell ref="A4:G4"/>
    <mergeCell ref="A6:G6"/>
    <mergeCell ref="A25:G25"/>
  </mergeCells>
  <printOptions horizontalCentered="1"/>
  <pageMargins left="0.75" right="0.75" top="1" bottom="1" header="0.25" footer="0.5"/>
  <pageSetup scale="68" orientation="portrait" blackAndWhite="1" r:id="rId1"/>
  <headerFooter alignWithMargins="0">
    <oddHeader xml:space="preserve">&amp;R&amp;"Times New Roman,Bold"&amp;14Attachment to Response to Question No. 38
Page &amp;P of &amp;N
Blake&amp;12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I60"/>
  <sheetViews>
    <sheetView tabSelected="1" zoomScaleNormal="100" workbookViewId="0">
      <selection activeCell="A2" sqref="A2:G2"/>
    </sheetView>
  </sheetViews>
  <sheetFormatPr defaultRowHeight="12.75" x14ac:dyDescent="0.2"/>
  <cols>
    <col min="1" max="1" width="22.140625" style="490" customWidth="1"/>
    <col min="2" max="2" width="21.85546875" style="490" customWidth="1"/>
    <col min="3" max="5" width="18.28515625" style="490" bestFit="1" customWidth="1"/>
    <col min="6" max="9" width="17.42578125" style="490" bestFit="1" customWidth="1"/>
    <col min="10" max="16384" width="9.140625" style="490"/>
  </cols>
  <sheetData>
    <row r="1" spans="1:9" x14ac:dyDescent="0.2">
      <c r="A1" s="832" t="s">
        <v>21</v>
      </c>
      <c r="B1" s="832"/>
      <c r="C1" s="832"/>
      <c r="D1" s="832"/>
      <c r="E1" s="832"/>
      <c r="F1" s="832"/>
      <c r="G1" s="832"/>
      <c r="H1" s="511"/>
      <c r="I1" s="511"/>
    </row>
    <row r="2" spans="1:9" x14ac:dyDescent="0.2">
      <c r="A2" s="832" t="s">
        <v>22</v>
      </c>
      <c r="B2" s="832"/>
      <c r="C2" s="832"/>
      <c r="D2" s="832"/>
      <c r="E2" s="832"/>
      <c r="F2" s="832"/>
      <c r="G2" s="832"/>
    </row>
    <row r="3" spans="1:9" x14ac:dyDescent="0.2">
      <c r="A3" s="832" t="s">
        <v>23</v>
      </c>
      <c r="B3" s="832"/>
      <c r="C3" s="832"/>
      <c r="D3" s="832"/>
      <c r="E3" s="832"/>
      <c r="F3" s="832"/>
      <c r="G3" s="832"/>
    </row>
    <row r="4" spans="1:9" x14ac:dyDescent="0.2">
      <c r="A4" s="832"/>
      <c r="B4" s="832"/>
      <c r="C4" s="832"/>
      <c r="D4" s="832"/>
      <c r="E4" s="832"/>
      <c r="F4" s="832"/>
      <c r="G4" s="832"/>
    </row>
    <row r="6" spans="1:9" ht="15" x14ac:dyDescent="0.35">
      <c r="A6" s="830" t="s">
        <v>585</v>
      </c>
      <c r="B6" s="830"/>
      <c r="C6" s="830"/>
      <c r="D6" s="831"/>
      <c r="E6" s="831"/>
      <c r="F6" s="831"/>
      <c r="G6" s="831"/>
    </row>
    <row r="7" spans="1:9" x14ac:dyDescent="0.2">
      <c r="B7" s="491"/>
      <c r="C7" s="492" t="s">
        <v>24</v>
      </c>
      <c r="D7" s="489"/>
      <c r="F7" s="489" t="s">
        <v>25</v>
      </c>
      <c r="G7" s="489" t="s">
        <v>26</v>
      </c>
    </row>
    <row r="8" spans="1:9" x14ac:dyDescent="0.2">
      <c r="B8" s="493" t="s">
        <v>27</v>
      </c>
      <c r="C8" s="492" t="s">
        <v>28</v>
      </c>
      <c r="D8" s="489" t="s">
        <v>29</v>
      </c>
      <c r="E8" s="493" t="s">
        <v>30</v>
      </c>
      <c r="F8" s="489" t="s">
        <v>31</v>
      </c>
      <c r="G8" s="489" t="s">
        <v>32</v>
      </c>
    </row>
    <row r="9" spans="1:9" x14ac:dyDescent="0.2">
      <c r="B9" s="494" t="s">
        <v>33</v>
      </c>
      <c r="C9" s="495" t="s">
        <v>34</v>
      </c>
      <c r="D9" s="494" t="s">
        <v>27</v>
      </c>
      <c r="E9" s="494" t="s">
        <v>35</v>
      </c>
      <c r="F9" s="494" t="s">
        <v>36</v>
      </c>
      <c r="G9" s="494" t="s">
        <v>37</v>
      </c>
    </row>
    <row r="10" spans="1:9" x14ac:dyDescent="0.2">
      <c r="A10" s="490" t="s">
        <v>38</v>
      </c>
      <c r="B10" s="496">
        <v>16247454</v>
      </c>
      <c r="C10" s="497">
        <f t="shared" ref="C10:D14" si="0">+C29+C48</f>
        <v>1</v>
      </c>
      <c r="D10" s="496">
        <f t="shared" si="0"/>
        <v>16247454</v>
      </c>
      <c r="E10" s="497">
        <f>ROUND(+D10/$D$15,4)</f>
        <v>4.8999999999999998E-3</v>
      </c>
      <c r="F10" s="510">
        <v>1.49E-2</v>
      </c>
      <c r="G10" s="497">
        <f>ROUND(+E10*F10,4)</f>
        <v>1E-4</v>
      </c>
      <c r="H10" s="498"/>
    </row>
    <row r="11" spans="1:9" x14ac:dyDescent="0.2">
      <c r="A11" s="490" t="s">
        <v>39</v>
      </c>
      <c r="B11" s="496">
        <v>0</v>
      </c>
      <c r="C11" s="497">
        <f t="shared" si="0"/>
        <v>1</v>
      </c>
      <c r="D11" s="496">
        <f t="shared" si="0"/>
        <v>0</v>
      </c>
      <c r="E11" s="497">
        <f>ROUND(+D11/$D$15,4)</f>
        <v>0</v>
      </c>
      <c r="F11" s="510">
        <v>0</v>
      </c>
      <c r="G11" s="497">
        <f>ROUND(+E11*F11,4)</f>
        <v>0</v>
      </c>
    </row>
    <row r="12" spans="1:9" x14ac:dyDescent="0.2">
      <c r="A12" s="490" t="s">
        <v>40</v>
      </c>
      <c r="B12" s="496">
        <f>350779405+1181000000</f>
        <v>1531779405</v>
      </c>
      <c r="C12" s="497">
        <f t="shared" si="0"/>
        <v>1</v>
      </c>
      <c r="D12" s="496">
        <f t="shared" si="0"/>
        <v>1531779405</v>
      </c>
      <c r="E12" s="497">
        <f>ROUND(+D12/$D$15,4)</f>
        <v>0.46539999999999998</v>
      </c>
      <c r="F12" s="510">
        <v>4.8000000000000001E-2</v>
      </c>
      <c r="G12" s="497">
        <f>ROUND(+E12*F12,4)</f>
        <v>2.23E-2</v>
      </c>
    </row>
    <row r="13" spans="1:9" ht="13.5" thickBot="1" x14ac:dyDescent="0.25">
      <c r="A13" s="490" t="s">
        <v>41</v>
      </c>
      <c r="B13" s="496">
        <v>0</v>
      </c>
      <c r="C13" s="497">
        <f t="shared" si="0"/>
        <v>1</v>
      </c>
      <c r="D13" s="496">
        <f t="shared" si="0"/>
        <v>0</v>
      </c>
      <c r="E13" s="497">
        <f>ROUND(+D13/$D$15,4)</f>
        <v>0</v>
      </c>
      <c r="F13" s="510">
        <v>0</v>
      </c>
      <c r="G13" s="497">
        <f>ROUND(+E13*F13,4)</f>
        <v>0</v>
      </c>
    </row>
    <row r="14" spans="1:9" ht="13.5" thickBot="1" x14ac:dyDescent="0.25">
      <c r="A14" s="490" t="s">
        <v>42</v>
      </c>
      <c r="B14" s="496">
        <v>1743492902</v>
      </c>
      <c r="C14" s="497">
        <f t="shared" si="0"/>
        <v>1</v>
      </c>
      <c r="D14" s="496">
        <f t="shared" si="0"/>
        <v>1743492902</v>
      </c>
      <c r="E14" s="497">
        <f>ROUND(+D14/$D$15,4)</f>
        <v>0.52969999999999995</v>
      </c>
      <c r="F14" s="824">
        <f>ROUND(+G14/E14,4)</f>
        <v>6.8699999999999997E-2</v>
      </c>
      <c r="G14" s="499">
        <f>+G19-G10-G11-G12-G13</f>
        <v>3.6399999999999995E-2</v>
      </c>
    </row>
    <row r="15" spans="1:9" x14ac:dyDescent="0.2">
      <c r="B15" s="500">
        <f>SUM(B10:B14)</f>
        <v>3291519761</v>
      </c>
      <c r="D15" s="500">
        <f>SUM(D10:D14)</f>
        <v>3291519761</v>
      </c>
      <c r="E15" s="501">
        <f>SUM(E10:E14)</f>
        <v>1</v>
      </c>
      <c r="F15" s="496"/>
      <c r="G15" s="497">
        <f>SUM(G10:G14)</f>
        <v>5.8799999999999991E-2</v>
      </c>
    </row>
    <row r="16" spans="1:9" x14ac:dyDescent="0.2">
      <c r="B16" s="496"/>
      <c r="D16" s="496"/>
      <c r="E16" s="496"/>
      <c r="F16" s="496"/>
      <c r="G16" s="497"/>
    </row>
    <row r="17" spans="1:8" x14ac:dyDescent="0.2">
      <c r="D17" s="496"/>
      <c r="E17" s="496"/>
      <c r="F17" s="496"/>
      <c r="G17" s="496"/>
    </row>
    <row r="18" spans="1:8" x14ac:dyDescent="0.2">
      <c r="A18" s="502" t="s">
        <v>588</v>
      </c>
      <c r="D18" s="496"/>
      <c r="E18" s="496"/>
      <c r="F18" s="496"/>
      <c r="G18" s="8">
        <f>+G37+G56</f>
        <v>193494231</v>
      </c>
    </row>
    <row r="19" spans="1:8" x14ac:dyDescent="0.2">
      <c r="A19" s="490" t="s">
        <v>44</v>
      </c>
      <c r="D19" s="496"/>
      <c r="E19" s="496"/>
      <c r="F19" s="496"/>
      <c r="G19" s="497">
        <f>ROUND(+G18/D15,4)</f>
        <v>5.8799999999999998E-2</v>
      </c>
      <c r="H19" s="503">
        <f>+G15-G19</f>
        <v>0</v>
      </c>
    </row>
    <row r="20" spans="1:8" x14ac:dyDescent="0.2">
      <c r="D20" s="496"/>
      <c r="E20" s="496"/>
      <c r="F20" s="496"/>
      <c r="G20" s="496"/>
    </row>
    <row r="22" spans="1:8" ht="13.5" thickBot="1" x14ac:dyDescent="0.25">
      <c r="A22" s="504"/>
      <c r="B22" s="504"/>
      <c r="C22" s="504"/>
      <c r="D22" s="504"/>
      <c r="E22" s="504"/>
      <c r="F22" s="504"/>
      <c r="G22" s="505"/>
    </row>
    <row r="23" spans="1:8" x14ac:dyDescent="0.2">
      <c r="G23" s="496"/>
    </row>
    <row r="25" spans="1:8" ht="15" x14ac:dyDescent="0.35">
      <c r="A25" s="830" t="s">
        <v>586</v>
      </c>
      <c r="B25" s="830"/>
      <c r="C25" s="830"/>
      <c r="D25" s="831"/>
      <c r="E25" s="831"/>
      <c r="F25" s="831"/>
      <c r="G25" s="831"/>
    </row>
    <row r="26" spans="1:8" x14ac:dyDescent="0.2">
      <c r="B26" s="491"/>
      <c r="C26" s="492" t="s">
        <v>45</v>
      </c>
      <c r="D26" s="489"/>
      <c r="E26" s="618"/>
      <c r="F26" s="489" t="s">
        <v>25</v>
      </c>
      <c r="G26" s="489" t="s">
        <v>26</v>
      </c>
    </row>
    <row r="27" spans="1:8" x14ac:dyDescent="0.2">
      <c r="B27" s="493" t="s">
        <v>27</v>
      </c>
      <c r="C27" s="492" t="s">
        <v>28</v>
      </c>
      <c r="D27" s="489" t="s">
        <v>45</v>
      </c>
      <c r="E27" s="618" t="s">
        <v>30</v>
      </c>
      <c r="F27" s="618" t="s">
        <v>31</v>
      </c>
      <c r="G27" s="618" t="s">
        <v>32</v>
      </c>
    </row>
    <row r="28" spans="1:8" x14ac:dyDescent="0.2">
      <c r="B28" s="494" t="s">
        <v>33</v>
      </c>
      <c r="C28" s="495" t="s">
        <v>34</v>
      </c>
      <c r="D28" s="494" t="s">
        <v>27</v>
      </c>
      <c r="E28" s="620" t="s">
        <v>35</v>
      </c>
      <c r="F28" s="620" t="s">
        <v>36</v>
      </c>
      <c r="G28" s="620" t="s">
        <v>37</v>
      </c>
    </row>
    <row r="29" spans="1:8" x14ac:dyDescent="0.2">
      <c r="A29" s="490" t="s">
        <v>38</v>
      </c>
      <c r="B29" s="506">
        <f>+B10</f>
        <v>16247454</v>
      </c>
      <c r="C29" s="497">
        <f>+'Ex 3 - 2008'!D44</f>
        <v>0.87090000000000001</v>
      </c>
      <c r="D29" s="496">
        <f>ROUND(+B29*C29,0)</f>
        <v>14149908</v>
      </c>
      <c r="E29" s="497">
        <f>ROUND(+D29/$D$34,4)</f>
        <v>4.8999999999999998E-3</v>
      </c>
      <c r="F29" s="510">
        <f>+F10</f>
        <v>1.49E-2</v>
      </c>
      <c r="G29" s="497">
        <f>ROUND(+E29*F29,4)</f>
        <v>1E-4</v>
      </c>
    </row>
    <row r="30" spans="1:8" x14ac:dyDescent="0.2">
      <c r="A30" s="490" t="s">
        <v>39</v>
      </c>
      <c r="B30" s="506">
        <f>+B11</f>
        <v>0</v>
      </c>
      <c r="C30" s="498">
        <f>+C29</f>
        <v>0.87090000000000001</v>
      </c>
      <c r="D30" s="496">
        <f>ROUND(+B30*C30,0)</f>
        <v>0</v>
      </c>
      <c r="E30" s="497">
        <f>ROUND(+D30/$D$34,4)</f>
        <v>0</v>
      </c>
      <c r="F30" s="510">
        <f>+F11</f>
        <v>0</v>
      </c>
      <c r="G30" s="497">
        <f>ROUND(+E30*F30,4)</f>
        <v>0</v>
      </c>
    </row>
    <row r="31" spans="1:8" x14ac:dyDescent="0.2">
      <c r="A31" s="490" t="s">
        <v>40</v>
      </c>
      <c r="B31" s="506">
        <f>+B12</f>
        <v>1531779405</v>
      </c>
      <c r="C31" s="498">
        <f>+C30</f>
        <v>0.87090000000000001</v>
      </c>
      <c r="D31" s="496">
        <f>ROUND(+B31*C31,0)</f>
        <v>1334026684</v>
      </c>
      <c r="E31" s="497">
        <f>ROUND(+D31/$D$34,4)</f>
        <v>0.46539999999999998</v>
      </c>
      <c r="F31" s="510">
        <f>+F12</f>
        <v>4.8000000000000001E-2</v>
      </c>
      <c r="G31" s="497">
        <f>ROUND(+E31*F31,4)</f>
        <v>2.23E-2</v>
      </c>
    </row>
    <row r="32" spans="1:8" ht="13.5" thickBot="1" x14ac:dyDescent="0.25">
      <c r="A32" s="490" t="s">
        <v>41</v>
      </c>
      <c r="B32" s="506">
        <f>+B13</f>
        <v>0</v>
      </c>
      <c r="C32" s="498">
        <f>+C31</f>
        <v>0.87090000000000001</v>
      </c>
      <c r="D32" s="496">
        <f>ROUND(+B32*C32,0)</f>
        <v>0</v>
      </c>
      <c r="E32" s="497">
        <f>ROUND(+D32/$D$34,4)</f>
        <v>0</v>
      </c>
      <c r="F32" s="510">
        <f>+F13</f>
        <v>0</v>
      </c>
      <c r="G32" s="497">
        <f>ROUND(+E32*F32,4)</f>
        <v>0</v>
      </c>
    </row>
    <row r="33" spans="1:8" ht="13.5" thickBot="1" x14ac:dyDescent="0.25">
      <c r="A33" s="490" t="s">
        <v>42</v>
      </c>
      <c r="B33" s="506">
        <f>+B14</f>
        <v>1743492902</v>
      </c>
      <c r="C33" s="498">
        <f>+C32</f>
        <v>0.87090000000000001</v>
      </c>
      <c r="D33" s="496">
        <f>ROUND(+B33*C33,0)</f>
        <v>1518407968</v>
      </c>
      <c r="E33" s="497">
        <f>ROUND(+D33/$D$34,4)</f>
        <v>0.52969999999999995</v>
      </c>
      <c r="F33" s="825">
        <f>ROUND(+G33/E33,4)</f>
        <v>7.6600000000000001E-2</v>
      </c>
      <c r="G33" s="499">
        <f>+G38-G29-G30-G31-G32</f>
        <v>4.0599999999999997E-2</v>
      </c>
    </row>
    <row r="34" spans="1:8" x14ac:dyDescent="0.2">
      <c r="B34" s="507">
        <f>SUM(B29:B33)</f>
        <v>3291519761</v>
      </c>
      <c r="D34" s="500">
        <f>SUM(D29:D33)</f>
        <v>2866584560</v>
      </c>
      <c r="E34" s="501">
        <v>1</v>
      </c>
      <c r="F34" s="496"/>
      <c r="G34" s="497">
        <f>SUM(G29:G33)</f>
        <v>6.3E-2</v>
      </c>
    </row>
    <row r="35" spans="1:8" x14ac:dyDescent="0.2">
      <c r="D35" s="496"/>
      <c r="E35" s="496"/>
      <c r="F35" s="508"/>
      <c r="G35" s="497"/>
    </row>
    <row r="36" spans="1:8" x14ac:dyDescent="0.2">
      <c r="D36" s="496"/>
      <c r="E36" s="496"/>
      <c r="F36" s="496"/>
      <c r="G36" s="496"/>
    </row>
    <row r="37" spans="1:8" x14ac:dyDescent="0.2">
      <c r="A37" s="502" t="s">
        <v>588</v>
      </c>
      <c r="D37" s="496"/>
      <c r="E37" s="496"/>
      <c r="F37" s="496"/>
      <c r="G37" s="8">
        <f>+'Ex 3 - 2008'!D46</f>
        <v>180721884</v>
      </c>
    </row>
    <row r="38" spans="1:8" x14ac:dyDescent="0.2">
      <c r="A38" s="490" t="s">
        <v>44</v>
      </c>
      <c r="D38" s="496"/>
      <c r="E38" s="496"/>
      <c r="F38" s="496"/>
      <c r="G38" s="497">
        <f>ROUND(+G37/D34,4)</f>
        <v>6.3E-2</v>
      </c>
      <c r="H38" s="503">
        <f>+G34-G38</f>
        <v>0</v>
      </c>
    </row>
    <row r="39" spans="1:8" x14ac:dyDescent="0.2">
      <c r="D39" s="496"/>
      <c r="E39" s="496"/>
      <c r="F39" s="496"/>
      <c r="G39" s="496"/>
    </row>
    <row r="41" spans="1:8" ht="13.5" thickBot="1" x14ac:dyDescent="0.25">
      <c r="A41" s="504"/>
      <c r="B41" s="504"/>
      <c r="C41" s="504"/>
      <c r="D41" s="504"/>
      <c r="E41" s="504"/>
      <c r="F41" s="504"/>
      <c r="G41" s="504"/>
    </row>
    <row r="42" spans="1:8" x14ac:dyDescent="0.2">
      <c r="A42" s="491"/>
      <c r="B42" s="491"/>
      <c r="C42" s="491"/>
      <c r="D42" s="491"/>
      <c r="E42" s="491"/>
      <c r="F42" s="491"/>
      <c r="G42" s="491"/>
    </row>
    <row r="44" spans="1:8" ht="15" x14ac:dyDescent="0.35">
      <c r="A44" s="830" t="s">
        <v>587</v>
      </c>
      <c r="B44" s="830"/>
      <c r="C44" s="830"/>
      <c r="D44" s="831"/>
      <c r="E44" s="831"/>
      <c r="F44" s="831"/>
      <c r="G44" s="831"/>
    </row>
    <row r="45" spans="1:8" x14ac:dyDescent="0.2">
      <c r="B45" s="491"/>
      <c r="C45" s="492" t="s">
        <v>45</v>
      </c>
      <c r="D45" s="489"/>
      <c r="F45" s="489" t="s">
        <v>25</v>
      </c>
      <c r="G45" s="489" t="s">
        <v>26</v>
      </c>
    </row>
    <row r="46" spans="1:8" x14ac:dyDescent="0.2">
      <c r="B46" s="493" t="s">
        <v>27</v>
      </c>
      <c r="C46" s="492" t="s">
        <v>28</v>
      </c>
      <c r="D46" s="489" t="s">
        <v>45</v>
      </c>
      <c r="E46" s="489" t="s">
        <v>30</v>
      </c>
      <c r="F46" s="489" t="s">
        <v>31</v>
      </c>
      <c r="G46" s="489" t="s">
        <v>32</v>
      </c>
    </row>
    <row r="47" spans="1:8" x14ac:dyDescent="0.2">
      <c r="B47" s="494" t="s">
        <v>33</v>
      </c>
      <c r="C47" s="495" t="s">
        <v>34</v>
      </c>
      <c r="D47" s="494" t="s">
        <v>27</v>
      </c>
      <c r="E47" s="494" t="s">
        <v>35</v>
      </c>
      <c r="F47" s="494" t="s">
        <v>36</v>
      </c>
      <c r="G47" s="494" t="s">
        <v>37</v>
      </c>
    </row>
    <row r="48" spans="1:8" x14ac:dyDescent="0.2">
      <c r="A48" s="490" t="s">
        <v>38</v>
      </c>
      <c r="B48" s="506">
        <f>+B10</f>
        <v>16247454</v>
      </c>
      <c r="C48" s="497">
        <f>+'Ex 3 - 2008'!F44</f>
        <v>0.12909999999999999</v>
      </c>
      <c r="D48" s="496">
        <f>ROUND(+B48*C48,0)</f>
        <v>2097546</v>
      </c>
      <c r="E48" s="497">
        <f>ROUND(+D48/$D$53,4)</f>
        <v>4.8999999999999998E-3</v>
      </c>
      <c r="F48" s="510">
        <f>+F29</f>
        <v>1.49E-2</v>
      </c>
      <c r="G48" s="497">
        <f>ROUND(+E48*F48,4)</f>
        <v>1E-4</v>
      </c>
    </row>
    <row r="49" spans="1:8" x14ac:dyDescent="0.2">
      <c r="A49" s="490" t="s">
        <v>39</v>
      </c>
      <c r="B49" s="506">
        <f>+B11</f>
        <v>0</v>
      </c>
      <c r="C49" s="498">
        <f>+C48</f>
        <v>0.12909999999999999</v>
      </c>
      <c r="D49" s="496">
        <f>ROUND(+B49*C49,0)</f>
        <v>0</v>
      </c>
      <c r="E49" s="497">
        <f>ROUND(+D49/$D$53,4)</f>
        <v>0</v>
      </c>
      <c r="F49" s="510">
        <f>+F30</f>
        <v>0</v>
      </c>
      <c r="G49" s="497">
        <f>ROUND(+E49*F49,4)</f>
        <v>0</v>
      </c>
    </row>
    <row r="50" spans="1:8" x14ac:dyDescent="0.2">
      <c r="A50" s="490" t="s">
        <v>40</v>
      </c>
      <c r="B50" s="506">
        <f>+B12</f>
        <v>1531779405</v>
      </c>
      <c r="C50" s="498">
        <f>+C49</f>
        <v>0.12909999999999999</v>
      </c>
      <c r="D50" s="496">
        <f>ROUND(+B50*C50,0)</f>
        <v>197752721</v>
      </c>
      <c r="E50" s="497">
        <f>ROUND(+D50/$D$53,4)</f>
        <v>0.46539999999999998</v>
      </c>
      <c r="F50" s="510">
        <f>+F31</f>
        <v>4.8000000000000001E-2</v>
      </c>
      <c r="G50" s="497">
        <f>ROUND(+E50*F50,4)</f>
        <v>2.23E-2</v>
      </c>
    </row>
    <row r="51" spans="1:8" ht="13.5" thickBot="1" x14ac:dyDescent="0.25">
      <c r="A51" s="490" t="s">
        <v>41</v>
      </c>
      <c r="B51" s="506">
        <f>+B13</f>
        <v>0</v>
      </c>
      <c r="C51" s="498">
        <f>+C50</f>
        <v>0.12909999999999999</v>
      </c>
      <c r="D51" s="496">
        <f>ROUND(+B51*C51,0)</f>
        <v>0</v>
      </c>
      <c r="E51" s="497">
        <f>ROUND(+D51/$D$53,4)</f>
        <v>0</v>
      </c>
      <c r="F51" s="510">
        <f>+F32</f>
        <v>0</v>
      </c>
      <c r="G51" s="497">
        <f>ROUND(+E51*F51,4)</f>
        <v>0</v>
      </c>
    </row>
    <row r="52" spans="1:8" ht="13.5" thickBot="1" x14ac:dyDescent="0.25">
      <c r="A52" s="490" t="s">
        <v>42</v>
      </c>
      <c r="B52" s="506">
        <f>+B14</f>
        <v>1743492902</v>
      </c>
      <c r="C52" s="498">
        <f>+C51</f>
        <v>0.12909999999999999</v>
      </c>
      <c r="D52" s="496">
        <f>ROUND(+B52*C52,0)</f>
        <v>225084934</v>
      </c>
      <c r="E52" s="497">
        <f>ROUND(+D52/$D$53,4)</f>
        <v>0.52969999999999995</v>
      </c>
      <c r="F52" s="825">
        <f>ROUND(+G52/E52,4)</f>
        <v>1.4500000000000001E-2</v>
      </c>
      <c r="G52" s="499">
        <f>+G57-G48-G49-G50-G51</f>
        <v>7.6999999999999985E-3</v>
      </c>
    </row>
    <row r="53" spans="1:8" x14ac:dyDescent="0.2">
      <c r="B53" s="507">
        <f>SUM(B48:B52)</f>
        <v>3291519761</v>
      </c>
      <c r="D53" s="500">
        <f>SUM(D48:D52)</f>
        <v>424935201</v>
      </c>
      <c r="E53" s="501">
        <v>1</v>
      </c>
      <c r="F53" s="496"/>
      <c r="G53" s="497">
        <f>SUM(G48:G52)</f>
        <v>3.0099999999999998E-2</v>
      </c>
    </row>
    <row r="54" spans="1:8" x14ac:dyDescent="0.2">
      <c r="D54" s="496"/>
      <c r="E54" s="496"/>
      <c r="F54" s="508"/>
      <c r="G54" s="497"/>
    </row>
    <row r="55" spans="1:8" x14ac:dyDescent="0.2">
      <c r="D55" s="496"/>
      <c r="E55" s="496"/>
      <c r="F55" s="496"/>
      <c r="G55" s="496"/>
    </row>
    <row r="56" spans="1:8" x14ac:dyDescent="0.2">
      <c r="A56" s="502" t="s">
        <v>588</v>
      </c>
      <c r="D56" s="496"/>
      <c r="E56" s="496"/>
      <c r="F56" s="496"/>
      <c r="G56" s="8">
        <f>+'Ex 3 - 2008'!F46</f>
        <v>12772347</v>
      </c>
      <c r="H56" s="509"/>
    </row>
    <row r="57" spans="1:8" x14ac:dyDescent="0.2">
      <c r="A57" s="490" t="s">
        <v>44</v>
      </c>
      <c r="D57" s="496"/>
      <c r="E57" s="496"/>
      <c r="F57" s="496"/>
      <c r="G57" s="497">
        <f>ROUND(+G56/D53,4)</f>
        <v>3.0099999999999998E-2</v>
      </c>
      <c r="H57" s="503">
        <f>+G53-G57</f>
        <v>0</v>
      </c>
    </row>
    <row r="58" spans="1:8" x14ac:dyDescent="0.2">
      <c r="D58" s="496"/>
      <c r="E58" s="496"/>
      <c r="F58" s="496"/>
      <c r="G58" s="496"/>
    </row>
    <row r="60" spans="1:8" ht="13.5" thickBot="1" x14ac:dyDescent="0.25">
      <c r="A60" s="504"/>
      <c r="B60" s="504"/>
      <c r="C60" s="504"/>
      <c r="D60" s="504"/>
      <c r="E60" s="504"/>
      <c r="F60" s="504"/>
      <c r="G60" s="504"/>
    </row>
  </sheetData>
  <mergeCells count="7">
    <mergeCell ref="A44:G44"/>
    <mergeCell ref="A1:G1"/>
    <mergeCell ref="A2:G2"/>
    <mergeCell ref="A6:G6"/>
    <mergeCell ref="A25:G25"/>
    <mergeCell ref="A3:G3"/>
    <mergeCell ref="A4:G4"/>
  </mergeCells>
  <phoneticPr fontId="0" type="noConversion"/>
  <printOptions horizontalCentered="1"/>
  <pageMargins left="0.75" right="0.75" top="1" bottom="1" header="0.25" footer="0.5"/>
  <pageSetup scale="68" orientation="portrait" blackAndWhite="1" r:id="rId1"/>
  <headerFooter alignWithMargins="0">
    <oddHeader xml:space="preserve">&amp;R&amp;"Times New Roman,Bold"&amp;14Attachment to Response to Question No. 38
Page &amp;P of &amp;N
Blake&amp;12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0"/>
  <sheetViews>
    <sheetView tabSelected="1" zoomScaleNormal="100" workbookViewId="0">
      <selection activeCell="E11" sqref="E11"/>
    </sheetView>
  </sheetViews>
  <sheetFormatPr defaultRowHeight="12.75" x14ac:dyDescent="0.2"/>
  <cols>
    <col min="1" max="1" width="22.140625" style="74" customWidth="1"/>
    <col min="2" max="2" width="21.85546875" style="74" customWidth="1"/>
    <col min="3" max="5" width="18.28515625" style="74" bestFit="1" customWidth="1"/>
    <col min="6" max="7" width="17.42578125" style="74" bestFit="1" customWidth="1"/>
    <col min="8" max="8" width="17.42578125" style="490" bestFit="1" customWidth="1"/>
    <col min="9" max="9" width="17.42578125" style="74" bestFit="1" customWidth="1"/>
    <col min="10" max="16384" width="9.140625" style="74"/>
  </cols>
  <sheetData>
    <row r="1" spans="1:8" x14ac:dyDescent="0.2">
      <c r="A1" s="833" t="s">
        <v>21</v>
      </c>
      <c r="B1" s="833"/>
      <c r="C1" s="833"/>
      <c r="D1" s="833"/>
      <c r="E1" s="833"/>
      <c r="F1" s="833"/>
      <c r="G1" s="833"/>
      <c r="H1" s="511"/>
    </row>
    <row r="2" spans="1:8" x14ac:dyDescent="0.2">
      <c r="A2" s="833" t="s">
        <v>22</v>
      </c>
      <c r="B2" s="833"/>
      <c r="C2" s="833"/>
      <c r="D2" s="833"/>
      <c r="E2" s="833"/>
      <c r="F2" s="833"/>
      <c r="G2" s="833"/>
    </row>
    <row r="3" spans="1:8" x14ac:dyDescent="0.2">
      <c r="A3" s="833" t="s">
        <v>23</v>
      </c>
      <c r="B3" s="833"/>
      <c r="C3" s="833"/>
      <c r="D3" s="833"/>
      <c r="E3" s="833"/>
      <c r="F3" s="833"/>
      <c r="G3" s="833"/>
    </row>
    <row r="4" spans="1:8" x14ac:dyDescent="0.2">
      <c r="A4" s="833"/>
      <c r="B4" s="833"/>
      <c r="C4" s="833"/>
      <c r="D4" s="833"/>
      <c r="E4" s="833"/>
      <c r="F4" s="833"/>
      <c r="G4" s="833"/>
    </row>
    <row r="6" spans="1:8" ht="15" x14ac:dyDescent="0.35">
      <c r="A6" s="830" t="s">
        <v>172</v>
      </c>
      <c r="B6" s="830"/>
      <c r="C6" s="830"/>
      <c r="D6" s="831"/>
      <c r="E6" s="831"/>
      <c r="F6" s="831"/>
      <c r="G6" s="831"/>
    </row>
    <row r="7" spans="1:8" x14ac:dyDescent="0.2">
      <c r="B7" s="76"/>
      <c r="C7" s="77" t="s">
        <v>24</v>
      </c>
      <c r="D7" s="75"/>
      <c r="F7" s="75" t="s">
        <v>25</v>
      </c>
      <c r="G7" s="75" t="s">
        <v>26</v>
      </c>
    </row>
    <row r="8" spans="1:8" x14ac:dyDescent="0.2">
      <c r="B8" s="78" t="s">
        <v>27</v>
      </c>
      <c r="C8" s="77" t="s">
        <v>28</v>
      </c>
      <c r="D8" s="75" t="s">
        <v>29</v>
      </c>
      <c r="E8" s="78" t="s">
        <v>30</v>
      </c>
      <c r="F8" s="75" t="s">
        <v>31</v>
      </c>
      <c r="G8" s="75" t="s">
        <v>32</v>
      </c>
    </row>
    <row r="9" spans="1:8" x14ac:dyDescent="0.2">
      <c r="B9" s="79" t="s">
        <v>33</v>
      </c>
      <c r="C9" s="80" t="s">
        <v>34</v>
      </c>
      <c r="D9" s="79" t="s">
        <v>27</v>
      </c>
      <c r="E9" s="79" t="s">
        <v>35</v>
      </c>
      <c r="F9" s="79" t="s">
        <v>36</v>
      </c>
      <c r="G9" s="79" t="s">
        <v>37</v>
      </c>
    </row>
    <row r="10" spans="1:8" x14ac:dyDescent="0.2">
      <c r="A10" s="74" t="s">
        <v>38</v>
      </c>
      <c r="B10" s="81">
        <v>23219454</v>
      </c>
      <c r="C10" s="497">
        <f t="shared" ref="C10:D14" si="0">+C29+C48</f>
        <v>1</v>
      </c>
      <c r="D10" s="496">
        <f t="shared" si="0"/>
        <v>23219454</v>
      </c>
      <c r="E10" s="497">
        <f>ROUND(+D10/$D$15,4)</f>
        <v>8.5000000000000006E-3</v>
      </c>
      <c r="F10" s="724">
        <v>4.7500000000000001E-2</v>
      </c>
      <c r="G10" s="497">
        <f>ROUND(+E10*F10,4)</f>
        <v>4.0000000000000002E-4</v>
      </c>
      <c r="H10" s="498"/>
    </row>
    <row r="11" spans="1:8" x14ac:dyDescent="0.2">
      <c r="A11" s="74" t="s">
        <v>39</v>
      </c>
      <c r="B11" s="81">
        <v>0</v>
      </c>
      <c r="C11" s="497">
        <f t="shared" si="0"/>
        <v>1</v>
      </c>
      <c r="D11" s="496">
        <f t="shared" si="0"/>
        <v>0</v>
      </c>
      <c r="E11" s="497">
        <f>ROUND(+D11/$D$15,4)</f>
        <v>0</v>
      </c>
      <c r="F11" s="724">
        <v>0</v>
      </c>
      <c r="G11" s="497">
        <f>ROUND(+E11*F11,4)</f>
        <v>0</v>
      </c>
    </row>
    <row r="12" spans="1:8" x14ac:dyDescent="0.2">
      <c r="A12" s="74" t="s">
        <v>40</v>
      </c>
      <c r="B12" s="81">
        <v>1263753140</v>
      </c>
      <c r="C12" s="497">
        <f t="shared" si="0"/>
        <v>1</v>
      </c>
      <c r="D12" s="496">
        <f t="shared" si="0"/>
        <v>1263753140</v>
      </c>
      <c r="E12" s="497">
        <f>ROUND(+D12/$D$15,4)</f>
        <v>0.4642</v>
      </c>
      <c r="F12" s="724">
        <v>5.2510000000000001E-2</v>
      </c>
      <c r="G12" s="497">
        <f>ROUND(+E12*F12,4)</f>
        <v>2.4400000000000002E-2</v>
      </c>
    </row>
    <row r="13" spans="1:8" ht="13.5" thickBot="1" x14ac:dyDescent="0.25">
      <c r="A13" s="74" t="s">
        <v>41</v>
      </c>
      <c r="B13" s="81">
        <v>0</v>
      </c>
      <c r="C13" s="497">
        <f t="shared" si="0"/>
        <v>1</v>
      </c>
      <c r="D13" s="496">
        <f t="shared" si="0"/>
        <v>0</v>
      </c>
      <c r="E13" s="497">
        <f>ROUND(+D13/$D$15,4)</f>
        <v>0</v>
      </c>
      <c r="F13" s="724">
        <v>0</v>
      </c>
      <c r="G13" s="497">
        <f>ROUND(+E13*F13,4)</f>
        <v>0</v>
      </c>
    </row>
    <row r="14" spans="1:8" ht="13.5" thickBot="1" x14ac:dyDescent="0.25">
      <c r="A14" s="74" t="s">
        <v>42</v>
      </c>
      <c r="B14" s="81">
        <v>1435515739</v>
      </c>
      <c r="C14" s="497">
        <f t="shared" si="0"/>
        <v>1</v>
      </c>
      <c r="D14" s="496">
        <f t="shared" si="0"/>
        <v>1435515739</v>
      </c>
      <c r="E14" s="497">
        <f>ROUND(+D14/$D$15,4)</f>
        <v>0.52729999999999999</v>
      </c>
      <c r="F14" s="824">
        <f>ROUND(+G14/E14,4)</f>
        <v>8.6099999999999996E-2</v>
      </c>
      <c r="G14" s="499">
        <f>+G19-G10-G11-G12-G13</f>
        <v>4.5399999999999996E-2</v>
      </c>
    </row>
    <row r="15" spans="1:8" x14ac:dyDescent="0.2">
      <c r="B15" s="84">
        <v>2722488333</v>
      </c>
      <c r="C15" s="490"/>
      <c r="D15" s="500">
        <f>SUM(D10:D14)</f>
        <v>2722488333</v>
      </c>
      <c r="E15" s="501">
        <f>SUM(E10:E14)</f>
        <v>1</v>
      </c>
      <c r="F15" s="81"/>
      <c r="G15" s="497">
        <f>SUM(G10:G14)</f>
        <v>7.0199999999999999E-2</v>
      </c>
    </row>
    <row r="16" spans="1:8" x14ac:dyDescent="0.2">
      <c r="B16" s="81"/>
      <c r="D16" s="81"/>
      <c r="E16" s="81"/>
      <c r="F16" s="81"/>
      <c r="G16" s="497"/>
    </row>
    <row r="17" spans="1:8" x14ac:dyDescent="0.2">
      <c r="D17" s="81"/>
      <c r="E17" s="81"/>
      <c r="F17" s="81"/>
      <c r="G17" s="496"/>
    </row>
    <row r="18" spans="1:8" x14ac:dyDescent="0.2">
      <c r="A18" s="85" t="s">
        <v>175</v>
      </c>
      <c r="D18" s="81"/>
      <c r="E18" s="81"/>
      <c r="F18" s="81"/>
      <c r="G18" s="8">
        <f>+G37+G56</f>
        <v>191103432</v>
      </c>
    </row>
    <row r="19" spans="1:8" x14ac:dyDescent="0.2">
      <c r="A19" s="74" t="s">
        <v>44</v>
      </c>
      <c r="D19" s="81"/>
      <c r="E19" s="81"/>
      <c r="F19" s="81"/>
      <c r="G19" s="497">
        <f>ROUND(+G18/D15,4)</f>
        <v>7.0199999999999999E-2</v>
      </c>
      <c r="H19" s="503">
        <f>+G15-G19</f>
        <v>0</v>
      </c>
    </row>
    <row r="20" spans="1:8" x14ac:dyDescent="0.2">
      <c r="D20" s="81"/>
      <c r="E20" s="81"/>
      <c r="F20" s="81"/>
      <c r="G20" s="81"/>
    </row>
    <row r="22" spans="1:8" ht="13.5" thickBot="1" x14ac:dyDescent="0.25">
      <c r="A22" s="86"/>
      <c r="B22" s="86"/>
      <c r="C22" s="86"/>
      <c r="D22" s="86"/>
      <c r="E22" s="86"/>
      <c r="F22" s="86"/>
      <c r="G22" s="87"/>
    </row>
    <row r="23" spans="1:8" x14ac:dyDescent="0.2">
      <c r="G23" s="81"/>
    </row>
    <row r="25" spans="1:8" ht="15" x14ac:dyDescent="0.35">
      <c r="A25" s="830" t="s">
        <v>173</v>
      </c>
      <c r="B25" s="830"/>
      <c r="C25" s="830"/>
      <c r="D25" s="831"/>
      <c r="E25" s="831"/>
      <c r="F25" s="831"/>
      <c r="G25" s="831"/>
    </row>
    <row r="26" spans="1:8" x14ac:dyDescent="0.2">
      <c r="B26" s="76"/>
      <c r="C26" s="77" t="s">
        <v>45</v>
      </c>
      <c r="D26" s="75"/>
      <c r="E26" s="618"/>
      <c r="F26" s="75" t="s">
        <v>25</v>
      </c>
      <c r="G26" s="75" t="s">
        <v>26</v>
      </c>
    </row>
    <row r="27" spans="1:8" x14ac:dyDescent="0.2">
      <c r="B27" s="78" t="s">
        <v>27</v>
      </c>
      <c r="C27" s="77" t="s">
        <v>28</v>
      </c>
      <c r="D27" s="75" t="s">
        <v>45</v>
      </c>
      <c r="E27" s="618" t="s">
        <v>30</v>
      </c>
      <c r="F27" s="619" t="s">
        <v>31</v>
      </c>
      <c r="G27" s="619" t="s">
        <v>32</v>
      </c>
    </row>
    <row r="28" spans="1:8" x14ac:dyDescent="0.2">
      <c r="B28" s="79" t="s">
        <v>33</v>
      </c>
      <c r="C28" s="80" t="s">
        <v>34</v>
      </c>
      <c r="D28" s="79" t="s">
        <v>27</v>
      </c>
      <c r="E28" s="620" t="s">
        <v>35</v>
      </c>
      <c r="F28" s="621" t="s">
        <v>36</v>
      </c>
      <c r="G28" s="621" t="s">
        <v>37</v>
      </c>
    </row>
    <row r="29" spans="1:8" x14ac:dyDescent="0.2">
      <c r="A29" s="74" t="s">
        <v>38</v>
      </c>
      <c r="B29" s="88">
        <v>23219454</v>
      </c>
      <c r="C29" s="497">
        <f>+'Ex 3 - 2007'!D44</f>
        <v>0.87839999999999996</v>
      </c>
      <c r="D29" s="496">
        <f>ROUND(+B29*C29,0)</f>
        <v>20395968</v>
      </c>
      <c r="E29" s="497">
        <f>ROUND(+D29/$D$34,4)</f>
        <v>8.5000000000000006E-3</v>
      </c>
      <c r="F29" s="724">
        <v>4.7500000000000001E-2</v>
      </c>
      <c r="G29" s="497">
        <f>ROUND(+E29*F29,4)</f>
        <v>4.0000000000000002E-4</v>
      </c>
    </row>
    <row r="30" spans="1:8" x14ac:dyDescent="0.2">
      <c r="A30" s="74" t="s">
        <v>39</v>
      </c>
      <c r="B30" s="88">
        <v>0</v>
      </c>
      <c r="C30" s="498">
        <f>+C29</f>
        <v>0.87839999999999996</v>
      </c>
      <c r="D30" s="496">
        <f>ROUND(+B30*C30,0)</f>
        <v>0</v>
      </c>
      <c r="E30" s="497">
        <f>ROUND(+D30/$D$34,4)</f>
        <v>0</v>
      </c>
      <c r="F30" s="724">
        <v>0</v>
      </c>
      <c r="G30" s="497">
        <f>ROUND(+E30*F30,4)</f>
        <v>0</v>
      </c>
    </row>
    <row r="31" spans="1:8" x14ac:dyDescent="0.2">
      <c r="A31" s="74" t="s">
        <v>40</v>
      </c>
      <c r="B31" s="88">
        <v>1263753140</v>
      </c>
      <c r="C31" s="498">
        <f>+C30</f>
        <v>0.87839999999999996</v>
      </c>
      <c r="D31" s="496">
        <f>ROUND(+B31*C31,0)</f>
        <v>1110080758</v>
      </c>
      <c r="E31" s="497">
        <f>ROUND(+D31/$D$34,4)</f>
        <v>0.4642</v>
      </c>
      <c r="F31" s="724">
        <v>5.2510000000000001E-2</v>
      </c>
      <c r="G31" s="497">
        <f>ROUND(+E31*F31,4)</f>
        <v>2.4400000000000002E-2</v>
      </c>
    </row>
    <row r="32" spans="1:8" ht="13.5" thickBot="1" x14ac:dyDescent="0.25">
      <c r="A32" s="74" t="s">
        <v>41</v>
      </c>
      <c r="B32" s="88">
        <v>0</v>
      </c>
      <c r="C32" s="498">
        <f>+C31</f>
        <v>0.87839999999999996</v>
      </c>
      <c r="D32" s="496">
        <f>ROUND(+B32*C32,0)</f>
        <v>0</v>
      </c>
      <c r="E32" s="497">
        <f>ROUND(+D32/$D$34,4)</f>
        <v>0</v>
      </c>
      <c r="F32" s="724">
        <v>0</v>
      </c>
      <c r="G32" s="497">
        <f>ROUND(+E32*F32,4)</f>
        <v>0</v>
      </c>
    </row>
    <row r="33" spans="1:8" ht="13.5" thickBot="1" x14ac:dyDescent="0.25">
      <c r="A33" s="74" t="s">
        <v>42</v>
      </c>
      <c r="B33" s="88">
        <v>1435515739</v>
      </c>
      <c r="C33" s="498">
        <f>+C32</f>
        <v>0.87839999999999996</v>
      </c>
      <c r="D33" s="496">
        <f>ROUND(+B33*C33,0)</f>
        <v>1260957025</v>
      </c>
      <c r="E33" s="497">
        <f>ROUND(+D33/$D$34,4)</f>
        <v>0.52729999999999999</v>
      </c>
      <c r="F33" s="825">
        <f>ROUND(+G33/E33,4)</f>
        <v>9.1399999999999995E-2</v>
      </c>
      <c r="G33" s="499">
        <f>+G38-G29-G30-G31-G32</f>
        <v>4.8199999999999993E-2</v>
      </c>
    </row>
    <row r="34" spans="1:8" x14ac:dyDescent="0.2">
      <c r="B34" s="89">
        <v>2722488333</v>
      </c>
      <c r="C34" s="490"/>
      <c r="D34" s="500">
        <f>SUM(D29:D33)</f>
        <v>2391433751</v>
      </c>
      <c r="E34" s="501">
        <f>SUM(E29:E33)</f>
        <v>1</v>
      </c>
      <c r="F34" s="81"/>
      <c r="G34" s="497">
        <f>SUM(G29:G33)</f>
        <v>7.2999999999999995E-2</v>
      </c>
    </row>
    <row r="35" spans="1:8" x14ac:dyDescent="0.2">
      <c r="D35" s="81"/>
      <c r="E35" s="81"/>
      <c r="F35" s="90"/>
      <c r="G35" s="82"/>
    </row>
    <row r="36" spans="1:8" x14ac:dyDescent="0.2">
      <c r="D36" s="81"/>
      <c r="E36" s="81"/>
      <c r="F36" s="81"/>
      <c r="G36" s="81"/>
    </row>
    <row r="37" spans="1:8" x14ac:dyDescent="0.2">
      <c r="A37" s="85" t="s">
        <v>175</v>
      </c>
      <c r="D37" s="81"/>
      <c r="E37" s="81"/>
      <c r="F37" s="81"/>
      <c r="G37" s="8">
        <f>+'Ex 3 - 2007'!D46</f>
        <v>174592599</v>
      </c>
    </row>
    <row r="38" spans="1:8" x14ac:dyDescent="0.2">
      <c r="A38" s="74" t="s">
        <v>44</v>
      </c>
      <c r="D38" s="81"/>
      <c r="E38" s="81"/>
      <c r="F38" s="81"/>
      <c r="G38" s="497">
        <f>ROUND(+G37/D34,4)</f>
        <v>7.2999999999999995E-2</v>
      </c>
      <c r="H38" s="503">
        <f>+G34-G38</f>
        <v>0</v>
      </c>
    </row>
    <row r="39" spans="1:8" x14ac:dyDescent="0.2">
      <c r="D39" s="81"/>
      <c r="E39" s="81"/>
      <c r="F39" s="81"/>
      <c r="G39" s="81"/>
    </row>
    <row r="41" spans="1:8" ht="13.5" thickBot="1" x14ac:dyDescent="0.25">
      <c r="A41" s="86"/>
      <c r="B41" s="86"/>
      <c r="C41" s="86"/>
      <c r="D41" s="86"/>
      <c r="E41" s="86"/>
      <c r="F41" s="86"/>
      <c r="G41" s="86"/>
    </row>
    <row r="42" spans="1:8" x14ac:dyDescent="0.2">
      <c r="A42" s="76"/>
      <c r="B42" s="76"/>
      <c r="C42" s="76"/>
      <c r="D42" s="76"/>
      <c r="E42" s="76"/>
      <c r="F42" s="76"/>
      <c r="G42" s="76"/>
    </row>
    <row r="44" spans="1:8" ht="15" x14ac:dyDescent="0.35">
      <c r="A44" s="830" t="s">
        <v>174</v>
      </c>
      <c r="B44" s="830"/>
      <c r="C44" s="830"/>
      <c r="D44" s="831"/>
      <c r="E44" s="831"/>
      <c r="F44" s="831"/>
      <c r="G44" s="831"/>
    </row>
    <row r="45" spans="1:8" x14ac:dyDescent="0.2">
      <c r="B45" s="76"/>
      <c r="C45" s="77" t="s">
        <v>45</v>
      </c>
      <c r="D45" s="75"/>
      <c r="E45" s="75"/>
      <c r="F45" s="75" t="s">
        <v>25</v>
      </c>
      <c r="G45" s="75" t="s">
        <v>26</v>
      </c>
    </row>
    <row r="46" spans="1:8" x14ac:dyDescent="0.2">
      <c r="B46" s="78" t="s">
        <v>27</v>
      </c>
      <c r="C46" s="77" t="s">
        <v>28</v>
      </c>
      <c r="D46" s="75" t="s">
        <v>45</v>
      </c>
      <c r="E46" s="489" t="s">
        <v>30</v>
      </c>
      <c r="F46" s="75" t="s">
        <v>31</v>
      </c>
      <c r="G46" s="75" t="s">
        <v>32</v>
      </c>
    </row>
    <row r="47" spans="1:8" x14ac:dyDescent="0.2">
      <c r="B47" s="79" t="s">
        <v>33</v>
      </c>
      <c r="C47" s="80" t="s">
        <v>34</v>
      </c>
      <c r="D47" s="79" t="s">
        <v>27</v>
      </c>
      <c r="E47" s="494" t="s">
        <v>35</v>
      </c>
      <c r="F47" s="79" t="s">
        <v>36</v>
      </c>
      <c r="G47" s="79" t="s">
        <v>37</v>
      </c>
    </row>
    <row r="48" spans="1:8" x14ac:dyDescent="0.2">
      <c r="A48" s="74" t="s">
        <v>38</v>
      </c>
      <c r="B48" s="88">
        <v>23219454</v>
      </c>
      <c r="C48" s="497">
        <f>+'Ex 3 - 2007'!F44</f>
        <v>0.1216</v>
      </c>
      <c r="D48" s="496">
        <f>ROUND(+B48*C48,0)</f>
        <v>2823486</v>
      </c>
      <c r="E48" s="497">
        <f>ROUND(+D48/$D$53,4)</f>
        <v>8.5000000000000006E-3</v>
      </c>
      <c r="F48" s="724">
        <v>4.7500000000000001E-2</v>
      </c>
      <c r="G48" s="82">
        <v>4.0000000000000002E-4</v>
      </c>
    </row>
    <row r="49" spans="1:8" x14ac:dyDescent="0.2">
      <c r="A49" s="74" t="s">
        <v>39</v>
      </c>
      <c r="B49" s="88">
        <v>0</v>
      </c>
      <c r="C49" s="498">
        <f>+C48</f>
        <v>0.1216</v>
      </c>
      <c r="D49" s="496">
        <f>ROUND(+B49*C49,0)</f>
        <v>0</v>
      </c>
      <c r="E49" s="497">
        <f>ROUND(+D49/$D$53,4)</f>
        <v>0</v>
      </c>
      <c r="F49" s="724">
        <v>0</v>
      </c>
      <c r="G49" s="82">
        <v>0</v>
      </c>
    </row>
    <row r="50" spans="1:8" x14ac:dyDescent="0.2">
      <c r="A50" s="74" t="s">
        <v>40</v>
      </c>
      <c r="B50" s="88">
        <v>1263753140</v>
      </c>
      <c r="C50" s="498">
        <f>+C49</f>
        <v>0.1216</v>
      </c>
      <c r="D50" s="496">
        <f>ROUND(+B50*C50,0)</f>
        <v>153672382</v>
      </c>
      <c r="E50" s="497">
        <f>ROUND(+D50/$D$53,4)</f>
        <v>0.4642</v>
      </c>
      <c r="F50" s="724">
        <v>5.2510000000000001E-2</v>
      </c>
      <c r="G50" s="82">
        <v>2.4400000000000002E-2</v>
      </c>
    </row>
    <row r="51" spans="1:8" ht="13.5" thickBot="1" x14ac:dyDescent="0.25">
      <c r="A51" s="74" t="s">
        <v>41</v>
      </c>
      <c r="B51" s="88">
        <v>0</v>
      </c>
      <c r="C51" s="498">
        <f>+C50</f>
        <v>0.1216</v>
      </c>
      <c r="D51" s="496">
        <f>ROUND(+B51*C51,0)</f>
        <v>0</v>
      </c>
      <c r="E51" s="497">
        <f>ROUND(+D51/$D$53,4)</f>
        <v>0</v>
      </c>
      <c r="F51" s="724">
        <v>0</v>
      </c>
      <c r="G51" s="82">
        <v>0</v>
      </c>
    </row>
    <row r="52" spans="1:8" ht="13.5" thickBot="1" x14ac:dyDescent="0.25">
      <c r="A52" s="74" t="s">
        <v>42</v>
      </c>
      <c r="B52" s="88">
        <v>1435515739</v>
      </c>
      <c r="C52" s="498">
        <f>+C51</f>
        <v>0.1216</v>
      </c>
      <c r="D52" s="496">
        <f>ROUND(+B52*C52,0)</f>
        <v>174558714</v>
      </c>
      <c r="E52" s="497">
        <f>ROUND(+D52/$D$53,4)</f>
        <v>0.52729999999999999</v>
      </c>
      <c r="F52" s="825">
        <f>ROUND(+G52/E52,4)</f>
        <v>4.7600000000000003E-2</v>
      </c>
      <c r="G52" s="83">
        <v>2.5073446548460703E-2</v>
      </c>
    </row>
    <row r="53" spans="1:8" x14ac:dyDescent="0.2">
      <c r="B53" s="89">
        <v>2722488333</v>
      </c>
      <c r="C53" s="490"/>
      <c r="D53" s="500">
        <f>SUM(D48:D52)</f>
        <v>331054582</v>
      </c>
      <c r="E53" s="501">
        <f>SUM(E48:E52)</f>
        <v>1</v>
      </c>
      <c r="F53" s="81"/>
      <c r="G53" s="82">
        <v>4.9873446548460709E-2</v>
      </c>
    </row>
    <row r="54" spans="1:8" x14ac:dyDescent="0.2">
      <c r="D54" s="81"/>
      <c r="E54" s="81"/>
      <c r="F54" s="90"/>
      <c r="G54" s="82"/>
    </row>
    <row r="55" spans="1:8" x14ac:dyDescent="0.2">
      <c r="D55" s="81"/>
      <c r="E55" s="81"/>
      <c r="F55" s="81"/>
      <c r="G55" s="81"/>
    </row>
    <row r="56" spans="1:8" x14ac:dyDescent="0.2">
      <c r="A56" s="85" t="s">
        <v>175</v>
      </c>
      <c r="D56" s="81"/>
      <c r="E56" s="81"/>
      <c r="F56" s="81"/>
      <c r="G56" s="8">
        <f>+'Ex 3 - 2007'!F46</f>
        <v>16510833</v>
      </c>
      <c r="H56" s="509"/>
    </row>
    <row r="57" spans="1:8" x14ac:dyDescent="0.2">
      <c r="A57" s="74" t="s">
        <v>44</v>
      </c>
      <c r="D57" s="81"/>
      <c r="E57" s="81"/>
      <c r="F57" s="81"/>
      <c r="G57" s="497">
        <f>ROUND(+G56/D53,4)</f>
        <v>4.99E-2</v>
      </c>
      <c r="H57" s="503">
        <f>+G53-G57</f>
        <v>-2.6553451539290673E-5</v>
      </c>
    </row>
    <row r="58" spans="1:8" x14ac:dyDescent="0.2">
      <c r="D58" s="81"/>
      <c r="E58" s="81"/>
      <c r="F58" s="81"/>
      <c r="G58" s="81"/>
    </row>
    <row r="60" spans="1:8" ht="13.5" thickBot="1" x14ac:dyDescent="0.25">
      <c r="A60" s="86"/>
      <c r="B60" s="86"/>
      <c r="C60" s="86"/>
      <c r="D60" s="86"/>
      <c r="E60" s="86"/>
      <c r="F60" s="86"/>
      <c r="G60" s="86"/>
    </row>
  </sheetData>
  <mergeCells count="7">
    <mergeCell ref="A44:G44"/>
    <mergeCell ref="A1:G1"/>
    <mergeCell ref="A2:G2"/>
    <mergeCell ref="A6:G6"/>
    <mergeCell ref="A25:G25"/>
    <mergeCell ref="A3:G3"/>
    <mergeCell ref="A4:G4"/>
  </mergeCells>
  <phoneticPr fontId="0" type="noConversion"/>
  <printOptions horizontalCentered="1"/>
  <pageMargins left="0.75" right="0.75" top="1" bottom="1" header="0.25" footer="0.5"/>
  <pageSetup scale="68" orientation="portrait" blackAndWhite="1" r:id="rId1"/>
  <headerFooter alignWithMargins="0">
    <oddHeader xml:space="preserve">&amp;R&amp;"Times New Roman,Bold"&amp;14Attachment to Response to Question No. 38
Page &amp;P of &amp;N
Blake&amp;12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60"/>
  <sheetViews>
    <sheetView zoomScaleNormal="100" workbookViewId="0">
      <selection activeCell="A56" sqref="A1:IV65536"/>
    </sheetView>
  </sheetViews>
  <sheetFormatPr defaultRowHeight="12.75" x14ac:dyDescent="0.2"/>
  <cols>
    <col min="1" max="1" width="22.140625" style="74" customWidth="1"/>
    <col min="2" max="2" width="21.85546875" style="74" customWidth="1"/>
    <col min="3" max="5" width="18.140625" style="74" bestFit="1" customWidth="1"/>
    <col min="6" max="6" width="15" style="74" customWidth="1"/>
    <col min="7" max="7" width="14.85546875" style="74" bestFit="1" customWidth="1"/>
    <col min="8" max="8" width="17.42578125" style="490" bestFit="1" customWidth="1"/>
    <col min="9" max="16384" width="9.140625" style="74"/>
  </cols>
  <sheetData>
    <row r="1" spans="1:8" x14ac:dyDescent="0.2">
      <c r="A1" s="833" t="s">
        <v>21</v>
      </c>
      <c r="B1" s="833"/>
      <c r="C1" s="833"/>
      <c r="D1" s="833"/>
      <c r="E1" s="833"/>
      <c r="F1" s="833"/>
      <c r="G1" s="833"/>
      <c r="H1" s="511"/>
    </row>
    <row r="2" spans="1:8" x14ac:dyDescent="0.2">
      <c r="A2" s="833" t="s">
        <v>22</v>
      </c>
      <c r="B2" s="833"/>
      <c r="C2" s="833"/>
      <c r="D2" s="833"/>
      <c r="E2" s="833"/>
      <c r="F2" s="833"/>
      <c r="G2" s="833"/>
    </row>
    <row r="3" spans="1:8" x14ac:dyDescent="0.2">
      <c r="A3" s="833" t="s">
        <v>23</v>
      </c>
      <c r="B3" s="833"/>
      <c r="C3" s="833"/>
      <c r="D3" s="833"/>
      <c r="E3" s="833"/>
      <c r="F3" s="833"/>
      <c r="G3" s="833"/>
    </row>
    <row r="4" spans="1:8" x14ac:dyDescent="0.2">
      <c r="A4" s="833"/>
      <c r="B4" s="833"/>
      <c r="C4" s="833"/>
      <c r="D4" s="833"/>
      <c r="E4" s="833"/>
      <c r="F4" s="833"/>
      <c r="G4" s="833"/>
    </row>
    <row r="6" spans="1:8" ht="15" x14ac:dyDescent="0.35">
      <c r="A6" s="830" t="s">
        <v>177</v>
      </c>
      <c r="B6" s="830"/>
      <c r="C6" s="830"/>
      <c r="D6" s="831"/>
      <c r="E6" s="831"/>
      <c r="F6" s="831"/>
      <c r="G6" s="831"/>
    </row>
    <row r="7" spans="1:8" x14ac:dyDescent="0.2">
      <c r="B7" s="76"/>
      <c r="C7" s="77" t="s">
        <v>24</v>
      </c>
      <c r="D7" s="75"/>
      <c r="F7" s="75" t="s">
        <v>25</v>
      </c>
      <c r="G7" s="75" t="s">
        <v>26</v>
      </c>
    </row>
    <row r="8" spans="1:8" x14ac:dyDescent="0.2">
      <c r="B8" s="78" t="s">
        <v>27</v>
      </c>
      <c r="C8" s="77" t="s">
        <v>28</v>
      </c>
      <c r="D8" s="75" t="s">
        <v>29</v>
      </c>
      <c r="E8" s="78" t="s">
        <v>30</v>
      </c>
      <c r="F8" s="75" t="s">
        <v>31</v>
      </c>
      <c r="G8" s="75" t="s">
        <v>32</v>
      </c>
    </row>
    <row r="9" spans="1:8" x14ac:dyDescent="0.2">
      <c r="B9" s="79" t="s">
        <v>33</v>
      </c>
      <c r="C9" s="80" t="s">
        <v>34</v>
      </c>
      <c r="D9" s="79" t="s">
        <v>27</v>
      </c>
      <c r="E9" s="79" t="s">
        <v>35</v>
      </c>
      <c r="F9" s="79" t="s">
        <v>36</v>
      </c>
      <c r="G9" s="79" t="s">
        <v>37</v>
      </c>
    </row>
    <row r="10" spans="1:8" x14ac:dyDescent="0.2">
      <c r="A10" s="74" t="s">
        <v>38</v>
      </c>
      <c r="B10" s="81">
        <v>97043054</v>
      </c>
      <c r="C10" s="497">
        <f t="shared" ref="C10:D14" si="0">+C29+C48</f>
        <v>1</v>
      </c>
      <c r="D10" s="496">
        <f t="shared" si="0"/>
        <v>97043054</v>
      </c>
      <c r="E10" s="497">
        <f>ROUND(+D10/$D$15,4)</f>
        <v>4.5499999999999999E-2</v>
      </c>
      <c r="F10" s="82">
        <v>5.2499999999999998E-2</v>
      </c>
      <c r="G10" s="497">
        <f>ROUND(+E10*F10,4)</f>
        <v>2.3999999999999998E-3</v>
      </c>
      <c r="H10" s="498"/>
    </row>
    <row r="11" spans="1:8" x14ac:dyDescent="0.2">
      <c r="A11" s="74" t="s">
        <v>39</v>
      </c>
      <c r="B11" s="81">
        <v>0</v>
      </c>
      <c r="C11" s="497">
        <f t="shared" si="0"/>
        <v>1</v>
      </c>
      <c r="D11" s="496">
        <f t="shared" si="0"/>
        <v>0</v>
      </c>
      <c r="E11" s="497">
        <f>ROUND(+D11/$D$15,4)</f>
        <v>0</v>
      </c>
      <c r="F11" s="82">
        <v>0</v>
      </c>
      <c r="G11" s="497">
        <f>ROUND(+E11*F11,4)</f>
        <v>0</v>
      </c>
    </row>
    <row r="12" spans="1:8" x14ac:dyDescent="0.2">
      <c r="A12" s="74" t="s">
        <v>40</v>
      </c>
      <c r="B12" s="81">
        <v>842384680</v>
      </c>
      <c r="C12" s="497">
        <f t="shared" si="0"/>
        <v>1</v>
      </c>
      <c r="D12" s="496">
        <f t="shared" si="0"/>
        <v>842384680</v>
      </c>
      <c r="E12" s="497">
        <f>ROUND(+D12/$D$15,4)</f>
        <v>0.39500000000000002</v>
      </c>
      <c r="F12" s="82">
        <v>4.8320000000000002E-2</v>
      </c>
      <c r="G12" s="497">
        <f>ROUND(+E12*F12,4)</f>
        <v>1.9099999999999999E-2</v>
      </c>
    </row>
    <row r="13" spans="1:8" x14ac:dyDescent="0.2">
      <c r="A13" s="74" t="s">
        <v>41</v>
      </c>
      <c r="B13" s="81">
        <v>0</v>
      </c>
      <c r="C13" s="497">
        <f t="shared" si="0"/>
        <v>1</v>
      </c>
      <c r="D13" s="496">
        <f t="shared" si="0"/>
        <v>0</v>
      </c>
      <c r="E13" s="497">
        <f>ROUND(+D13/$D$15,4)</f>
        <v>0</v>
      </c>
      <c r="F13" s="82">
        <v>0</v>
      </c>
      <c r="G13" s="497">
        <f>ROUND(+E13*F13,4)</f>
        <v>0</v>
      </c>
    </row>
    <row r="14" spans="1:8" x14ac:dyDescent="0.2">
      <c r="A14" s="74" t="s">
        <v>42</v>
      </c>
      <c r="B14" s="81">
        <v>1193198003</v>
      </c>
      <c r="C14" s="497">
        <f t="shared" si="0"/>
        <v>1</v>
      </c>
      <c r="D14" s="496">
        <f t="shared" si="0"/>
        <v>1193198003</v>
      </c>
      <c r="E14" s="497">
        <f>ROUND(+D14/$D$15,4)</f>
        <v>0.5595</v>
      </c>
      <c r="F14" s="497">
        <f>ROUND(+G14/E14,4)</f>
        <v>9.74E-2</v>
      </c>
      <c r="G14" s="499">
        <f>+G19-G10-G11-G12-G13</f>
        <v>5.45E-2</v>
      </c>
    </row>
    <row r="15" spans="1:8" x14ac:dyDescent="0.2">
      <c r="B15" s="84">
        <v>2132625737</v>
      </c>
      <c r="C15" s="490"/>
      <c r="D15" s="500">
        <f>SUM(D10:D14)</f>
        <v>2132625737</v>
      </c>
      <c r="E15" s="501">
        <f>SUM(E10:E14)</f>
        <v>1</v>
      </c>
      <c r="F15" s="81"/>
      <c r="G15" s="497">
        <f>SUM(G10:G14)</f>
        <v>7.5999999999999998E-2</v>
      </c>
    </row>
    <row r="16" spans="1:8" x14ac:dyDescent="0.2">
      <c r="B16" s="81"/>
      <c r="D16" s="81"/>
      <c r="E16" s="81"/>
      <c r="F16" s="81"/>
      <c r="G16" s="497"/>
    </row>
    <row r="17" spans="1:8" x14ac:dyDescent="0.2">
      <c r="D17" s="81"/>
      <c r="E17" s="81"/>
      <c r="F17" s="81"/>
      <c r="G17" s="496"/>
    </row>
    <row r="18" spans="1:8" x14ac:dyDescent="0.2">
      <c r="A18" s="85" t="s">
        <v>176</v>
      </c>
      <c r="D18" s="81"/>
      <c r="E18" s="81"/>
      <c r="F18" s="81"/>
      <c r="G18" s="8">
        <f>+G37+G56</f>
        <v>162029272</v>
      </c>
    </row>
    <row r="19" spans="1:8" x14ac:dyDescent="0.2">
      <c r="A19" s="74" t="s">
        <v>44</v>
      </c>
      <c r="D19" s="81"/>
      <c r="E19" s="81"/>
      <c r="F19" s="81"/>
      <c r="G19" s="497">
        <f>ROUND(+G18/D15,4)</f>
        <v>7.5999999999999998E-2</v>
      </c>
      <c r="H19" s="503">
        <f>+G15-G19</f>
        <v>0</v>
      </c>
    </row>
    <row r="20" spans="1:8" x14ac:dyDescent="0.2">
      <c r="D20" s="81"/>
      <c r="E20" s="81"/>
      <c r="F20" s="81"/>
      <c r="G20" s="81"/>
    </row>
    <row r="22" spans="1:8" ht="13.5" thickBot="1" x14ac:dyDescent="0.25">
      <c r="A22" s="86"/>
      <c r="B22" s="86"/>
      <c r="C22" s="86"/>
      <c r="D22" s="86"/>
      <c r="E22" s="86"/>
      <c r="F22" s="86"/>
      <c r="G22" s="87"/>
    </row>
    <row r="23" spans="1:8" x14ac:dyDescent="0.2">
      <c r="G23" s="81"/>
    </row>
    <row r="25" spans="1:8" ht="15" x14ac:dyDescent="0.35">
      <c r="A25" s="830" t="s">
        <v>178</v>
      </c>
      <c r="B25" s="830"/>
      <c r="C25" s="830"/>
      <c r="D25" s="831"/>
      <c r="E25" s="831"/>
      <c r="F25" s="831"/>
      <c r="G25" s="831"/>
    </row>
    <row r="26" spans="1:8" x14ac:dyDescent="0.2">
      <c r="B26" s="76"/>
      <c r="C26" s="77" t="s">
        <v>45</v>
      </c>
      <c r="D26" s="75"/>
      <c r="E26" s="618"/>
      <c r="F26" s="75" t="s">
        <v>25</v>
      </c>
      <c r="G26" s="75" t="s">
        <v>26</v>
      </c>
    </row>
    <row r="27" spans="1:8" x14ac:dyDescent="0.2">
      <c r="B27" s="78" t="s">
        <v>27</v>
      </c>
      <c r="C27" s="77" t="s">
        <v>28</v>
      </c>
      <c r="D27" s="75" t="s">
        <v>45</v>
      </c>
      <c r="E27" s="618" t="s">
        <v>30</v>
      </c>
      <c r="F27" s="619" t="s">
        <v>31</v>
      </c>
      <c r="G27" s="619" t="s">
        <v>32</v>
      </c>
    </row>
    <row r="28" spans="1:8" x14ac:dyDescent="0.2">
      <c r="B28" s="79" t="s">
        <v>33</v>
      </c>
      <c r="C28" s="80" t="s">
        <v>34</v>
      </c>
      <c r="D28" s="79" t="s">
        <v>27</v>
      </c>
      <c r="E28" s="620" t="s">
        <v>35</v>
      </c>
      <c r="F28" s="621" t="s">
        <v>36</v>
      </c>
      <c r="G28" s="621" t="s">
        <v>37</v>
      </c>
    </row>
    <row r="29" spans="1:8" x14ac:dyDescent="0.2">
      <c r="A29" s="74" t="s">
        <v>38</v>
      </c>
      <c r="B29" s="88">
        <v>97043054</v>
      </c>
      <c r="C29" s="497">
        <f>+'Ex 3 - 2006'!D44</f>
        <v>0.88090000000000002</v>
      </c>
      <c r="D29" s="496">
        <f>ROUND(+B29*C29,0)</f>
        <v>85485226</v>
      </c>
      <c r="E29" s="497">
        <f>ROUND(+D29/$D$34,4)</f>
        <v>4.5499999999999999E-2</v>
      </c>
      <c r="F29" s="82">
        <v>5.2499999999999998E-2</v>
      </c>
      <c r="G29" s="497">
        <f>ROUND(+E29*F29,4)</f>
        <v>2.3999999999999998E-3</v>
      </c>
    </row>
    <row r="30" spans="1:8" x14ac:dyDescent="0.2">
      <c r="A30" s="74" t="s">
        <v>39</v>
      </c>
      <c r="B30" s="88">
        <v>0</v>
      </c>
      <c r="C30" s="498">
        <f>+C29</f>
        <v>0.88090000000000002</v>
      </c>
      <c r="D30" s="496">
        <f>ROUND(+B30*C30,0)</f>
        <v>0</v>
      </c>
      <c r="E30" s="497">
        <f>ROUND(+D30/$D$34,4)</f>
        <v>0</v>
      </c>
      <c r="F30" s="82">
        <v>0</v>
      </c>
      <c r="G30" s="497">
        <f>ROUND(+E30*F30,4)</f>
        <v>0</v>
      </c>
    </row>
    <row r="31" spans="1:8" x14ac:dyDescent="0.2">
      <c r="A31" s="74" t="s">
        <v>40</v>
      </c>
      <c r="B31" s="88">
        <v>842384680</v>
      </c>
      <c r="C31" s="498">
        <f>+C30</f>
        <v>0.88090000000000002</v>
      </c>
      <c r="D31" s="496">
        <f>ROUND(+B31*C31,0)</f>
        <v>742056665</v>
      </c>
      <c r="E31" s="497">
        <f>ROUND(+D31/$D$34,4)</f>
        <v>0.39500000000000002</v>
      </c>
      <c r="F31" s="82">
        <v>4.8320000000000002E-2</v>
      </c>
      <c r="G31" s="497">
        <f>ROUND(+E31*F31,4)</f>
        <v>1.9099999999999999E-2</v>
      </c>
    </row>
    <row r="32" spans="1:8" x14ac:dyDescent="0.2">
      <c r="A32" s="74" t="s">
        <v>41</v>
      </c>
      <c r="B32" s="88">
        <v>0</v>
      </c>
      <c r="C32" s="498">
        <f>+C31</f>
        <v>0.88090000000000002</v>
      </c>
      <c r="D32" s="496">
        <f>ROUND(+B32*C32,0)</f>
        <v>0</v>
      </c>
      <c r="E32" s="497">
        <f>ROUND(+D32/$D$34,4)</f>
        <v>0</v>
      </c>
      <c r="F32" s="82">
        <v>0</v>
      </c>
      <c r="G32" s="497">
        <f>ROUND(+E32*F32,4)</f>
        <v>0</v>
      </c>
    </row>
    <row r="33" spans="1:8" x14ac:dyDescent="0.2">
      <c r="A33" s="74" t="s">
        <v>42</v>
      </c>
      <c r="B33" s="88">
        <v>1193198003</v>
      </c>
      <c r="C33" s="498">
        <f>+C32</f>
        <v>0.88090000000000002</v>
      </c>
      <c r="D33" s="496">
        <f>ROUND(+B33*C33,0)</f>
        <v>1051088121</v>
      </c>
      <c r="E33" s="497">
        <f>ROUND(+D33/$D$34,4)</f>
        <v>0.5595</v>
      </c>
      <c r="F33" s="497">
        <f>ROUND(+G33/E33,4)</f>
        <v>9.9400000000000002E-2</v>
      </c>
      <c r="G33" s="499">
        <f>+G38-G29-G30-G31-G32</f>
        <v>5.5600000000000004E-2</v>
      </c>
    </row>
    <row r="34" spans="1:8" x14ac:dyDescent="0.2">
      <c r="B34" s="89">
        <v>2132625737</v>
      </c>
      <c r="C34" s="490"/>
      <c r="D34" s="500">
        <f>SUM(D29:D33)</f>
        <v>1878630012</v>
      </c>
      <c r="E34" s="501">
        <f>SUM(E29:E33)</f>
        <v>1</v>
      </c>
      <c r="F34" s="81"/>
      <c r="G34" s="497">
        <f>SUM(G29:G33)</f>
        <v>7.7100000000000002E-2</v>
      </c>
    </row>
    <row r="35" spans="1:8" x14ac:dyDescent="0.2">
      <c r="D35" s="81"/>
      <c r="E35" s="81"/>
      <c r="F35" s="90"/>
      <c r="G35" s="82"/>
    </row>
    <row r="36" spans="1:8" x14ac:dyDescent="0.2">
      <c r="D36" s="81"/>
      <c r="E36" s="81"/>
      <c r="F36" s="81"/>
      <c r="G36" s="81"/>
    </row>
    <row r="37" spans="1:8" x14ac:dyDescent="0.2">
      <c r="A37" s="85" t="s">
        <v>176</v>
      </c>
      <c r="D37" s="81"/>
      <c r="E37" s="81"/>
      <c r="F37" s="81"/>
      <c r="G37" s="8">
        <f>+'Ex 3 - 2006'!D46</f>
        <v>144846712</v>
      </c>
    </row>
    <row r="38" spans="1:8" x14ac:dyDescent="0.2">
      <c r="A38" s="74" t="s">
        <v>44</v>
      </c>
      <c r="D38" s="81"/>
      <c r="E38" s="81"/>
      <c r="F38" s="81"/>
      <c r="G38" s="497">
        <f>ROUND(+G37/D34,4)</f>
        <v>7.7100000000000002E-2</v>
      </c>
      <c r="H38" s="503">
        <f>+G34-G38</f>
        <v>0</v>
      </c>
    </row>
    <row r="39" spans="1:8" x14ac:dyDescent="0.2">
      <c r="D39" s="81"/>
      <c r="E39" s="81"/>
      <c r="F39" s="81"/>
      <c r="G39" s="81"/>
    </row>
    <row r="41" spans="1:8" ht="13.5" thickBot="1" x14ac:dyDescent="0.25">
      <c r="A41" s="86"/>
      <c r="B41" s="86"/>
      <c r="C41" s="86"/>
      <c r="D41" s="86"/>
      <c r="E41" s="86"/>
      <c r="F41" s="86"/>
      <c r="G41" s="86"/>
    </row>
    <row r="42" spans="1:8" x14ac:dyDescent="0.2">
      <c r="A42" s="76"/>
      <c r="B42" s="76"/>
      <c r="C42" s="76"/>
      <c r="D42" s="76"/>
      <c r="E42" s="76"/>
      <c r="F42" s="76"/>
      <c r="G42" s="76"/>
    </row>
    <row r="44" spans="1:8" ht="15" x14ac:dyDescent="0.35">
      <c r="A44" s="830" t="s">
        <v>179</v>
      </c>
      <c r="B44" s="830"/>
      <c r="C44" s="830"/>
      <c r="D44" s="831"/>
      <c r="E44" s="831"/>
      <c r="F44" s="831"/>
      <c r="G44" s="831"/>
    </row>
    <row r="45" spans="1:8" x14ac:dyDescent="0.2">
      <c r="B45" s="76"/>
      <c r="C45" s="77" t="s">
        <v>45</v>
      </c>
      <c r="D45" s="75"/>
      <c r="E45" s="75"/>
      <c r="F45" s="75" t="s">
        <v>25</v>
      </c>
      <c r="G45" s="75" t="s">
        <v>26</v>
      </c>
    </row>
    <row r="46" spans="1:8" x14ac:dyDescent="0.2">
      <c r="B46" s="78" t="s">
        <v>27</v>
      </c>
      <c r="C46" s="77" t="s">
        <v>28</v>
      </c>
      <c r="D46" s="75" t="s">
        <v>45</v>
      </c>
      <c r="E46" s="489" t="s">
        <v>30</v>
      </c>
      <c r="F46" s="75" t="s">
        <v>31</v>
      </c>
      <c r="G46" s="75" t="s">
        <v>32</v>
      </c>
    </row>
    <row r="47" spans="1:8" x14ac:dyDescent="0.2">
      <c r="B47" s="79" t="s">
        <v>33</v>
      </c>
      <c r="C47" s="80" t="s">
        <v>34</v>
      </c>
      <c r="D47" s="79" t="s">
        <v>27</v>
      </c>
      <c r="E47" s="494" t="s">
        <v>35</v>
      </c>
      <c r="F47" s="79" t="s">
        <v>36</v>
      </c>
      <c r="G47" s="79" t="s">
        <v>37</v>
      </c>
    </row>
    <row r="48" spans="1:8" x14ac:dyDescent="0.2">
      <c r="A48" s="74" t="s">
        <v>38</v>
      </c>
      <c r="B48" s="88">
        <v>97043054</v>
      </c>
      <c r="C48" s="497">
        <f>+'Ex 3 - 2006'!F44</f>
        <v>0.1191</v>
      </c>
      <c r="D48" s="496">
        <f>ROUND(+B48*C48,0)</f>
        <v>11557828</v>
      </c>
      <c r="E48" s="497">
        <f>ROUND(+D48/$D$53,4)</f>
        <v>4.5499999999999999E-2</v>
      </c>
      <c r="F48" s="82">
        <v>5.2499999999999998E-2</v>
      </c>
      <c r="G48" s="497">
        <f>ROUND(+E48*F48,4)</f>
        <v>2.3999999999999998E-3</v>
      </c>
    </row>
    <row r="49" spans="1:8" x14ac:dyDescent="0.2">
      <c r="A49" s="74" t="s">
        <v>39</v>
      </c>
      <c r="B49" s="88">
        <v>0</v>
      </c>
      <c r="C49" s="498">
        <f>+C48</f>
        <v>0.1191</v>
      </c>
      <c r="D49" s="496">
        <f>ROUND(+B49*C49,0)</f>
        <v>0</v>
      </c>
      <c r="E49" s="497">
        <f>ROUND(+D49/$D$53,4)</f>
        <v>0</v>
      </c>
      <c r="F49" s="82">
        <v>0</v>
      </c>
      <c r="G49" s="497">
        <f>ROUND(+E49*F49,4)</f>
        <v>0</v>
      </c>
    </row>
    <row r="50" spans="1:8" x14ac:dyDescent="0.2">
      <c r="A50" s="74" t="s">
        <v>40</v>
      </c>
      <c r="B50" s="88">
        <v>842384680</v>
      </c>
      <c r="C50" s="498">
        <f>+C49</f>
        <v>0.1191</v>
      </c>
      <c r="D50" s="496">
        <f>ROUND(+B50*C50,0)</f>
        <v>100328015</v>
      </c>
      <c r="E50" s="497">
        <f>ROUND(+D50/$D$53,4)</f>
        <v>0.39500000000000002</v>
      </c>
      <c r="F50" s="82">
        <v>4.8320000000000002E-2</v>
      </c>
      <c r="G50" s="497">
        <f>ROUND(+E50*F50,4)</f>
        <v>1.9099999999999999E-2</v>
      </c>
    </row>
    <row r="51" spans="1:8" x14ac:dyDescent="0.2">
      <c r="A51" s="74" t="s">
        <v>41</v>
      </c>
      <c r="B51" s="88">
        <v>0</v>
      </c>
      <c r="C51" s="498">
        <f>+C50</f>
        <v>0.1191</v>
      </c>
      <c r="D51" s="496">
        <f>ROUND(+B51*C51,0)</f>
        <v>0</v>
      </c>
      <c r="E51" s="497">
        <f>ROUND(+D51/$D$53,4)</f>
        <v>0</v>
      </c>
      <c r="F51" s="82">
        <v>0</v>
      </c>
      <c r="G51" s="497">
        <f>ROUND(+E51*F51,4)</f>
        <v>0</v>
      </c>
    </row>
    <row r="52" spans="1:8" x14ac:dyDescent="0.2">
      <c r="A52" s="74" t="s">
        <v>42</v>
      </c>
      <c r="B52" s="88">
        <v>1193198003</v>
      </c>
      <c r="C52" s="498">
        <f>+C51</f>
        <v>0.1191</v>
      </c>
      <c r="D52" s="496">
        <f>ROUND(+B52*C52,0)</f>
        <v>142109882</v>
      </c>
      <c r="E52" s="497">
        <f>ROUND(+D52/$D$53,4)</f>
        <v>0.5595</v>
      </c>
      <c r="F52" s="497">
        <f>ROUND(+G52/E52,4)</f>
        <v>8.2400000000000001E-2</v>
      </c>
      <c r="G52" s="499">
        <f>+G57-G48-G49-G50-G51</f>
        <v>4.6099999999999995E-2</v>
      </c>
    </row>
    <row r="53" spans="1:8" x14ac:dyDescent="0.2">
      <c r="B53" s="89">
        <v>2132625737</v>
      </c>
      <c r="C53" s="490"/>
      <c r="D53" s="500">
        <f>SUM(D48:D52)</f>
        <v>253995725</v>
      </c>
      <c r="E53" s="501">
        <f>SUM(E48:E52)</f>
        <v>1</v>
      </c>
      <c r="F53" s="81"/>
      <c r="G53" s="497">
        <f>SUM(G48:G52)</f>
        <v>6.7599999999999993E-2</v>
      </c>
    </row>
    <row r="54" spans="1:8" x14ac:dyDescent="0.2">
      <c r="D54" s="81"/>
      <c r="E54" s="81"/>
      <c r="F54" s="90"/>
      <c r="G54" s="82"/>
    </row>
    <row r="55" spans="1:8" x14ac:dyDescent="0.2">
      <c r="D55" s="81"/>
      <c r="E55" s="81"/>
      <c r="F55" s="81"/>
      <c r="G55" s="81"/>
    </row>
    <row r="56" spans="1:8" x14ac:dyDescent="0.2">
      <c r="A56" s="85" t="s">
        <v>176</v>
      </c>
      <c r="D56" s="81"/>
      <c r="E56" s="81"/>
      <c r="F56" s="81"/>
      <c r="G56" s="8">
        <f>+'Ex 3 - 2006'!F46</f>
        <v>17182560</v>
      </c>
      <c r="H56" s="509"/>
    </row>
    <row r="57" spans="1:8" x14ac:dyDescent="0.2">
      <c r="A57" s="74" t="s">
        <v>44</v>
      </c>
      <c r="D57" s="81"/>
      <c r="E57" s="81"/>
      <c r="F57" s="81"/>
      <c r="G57" s="497">
        <f>ROUND(+G56/D53,4)</f>
        <v>6.7599999999999993E-2</v>
      </c>
      <c r="H57" s="503">
        <f>+G53-G57</f>
        <v>0</v>
      </c>
    </row>
    <row r="58" spans="1:8" x14ac:dyDescent="0.2">
      <c r="D58" s="81"/>
      <c r="E58" s="81"/>
      <c r="F58" s="81"/>
      <c r="G58" s="81"/>
    </row>
    <row r="60" spans="1:8" ht="13.5" thickBot="1" x14ac:dyDescent="0.25">
      <c r="A60" s="86"/>
      <c r="B60" s="86"/>
      <c r="C60" s="86"/>
      <c r="D60" s="86"/>
      <c r="E60" s="86"/>
      <c r="F60" s="86"/>
      <c r="G60" s="86"/>
    </row>
  </sheetData>
  <mergeCells count="7">
    <mergeCell ref="A44:G44"/>
    <mergeCell ref="A1:G1"/>
    <mergeCell ref="A2:G2"/>
    <mergeCell ref="A6:G6"/>
    <mergeCell ref="A25:G25"/>
    <mergeCell ref="A3:G3"/>
    <mergeCell ref="A4:G4"/>
  </mergeCells>
  <phoneticPr fontId="0" type="noConversion"/>
  <printOptions horizontalCentered="1"/>
  <pageMargins left="0.75" right="0.75" top="1" bottom="1" header="0.25" footer="0.5"/>
  <pageSetup scale="71" orientation="portrait" blackAndWhite="1" r:id="rId1"/>
  <headerFooter alignWithMargins="0">
    <oddHeader xml:space="preserve">&amp;R&amp;"Times New Roman,Bold"&amp;14Attachment to Response to Question No. 38
Page &amp;P of &amp;N
Rives&amp;12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53</vt:i4>
      </vt:variant>
    </vt:vector>
  </HeadingPairs>
  <TitlesOfParts>
    <vt:vector size="109" baseType="lpstr">
      <vt:lpstr>KUQ38</vt:lpstr>
      <vt:lpstr>TY 2009</vt:lpstr>
      <vt:lpstr>TY 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Ex 3 - TY 2012</vt:lpstr>
      <vt:lpstr>Ex 3 - TY 2009</vt:lpstr>
      <vt:lpstr>Ex 3 - 2011</vt:lpstr>
      <vt:lpstr>Ex 3 - 2010</vt:lpstr>
      <vt:lpstr>Ex 3 - 2009</vt:lpstr>
      <vt:lpstr>Ex 3 - 2008</vt:lpstr>
      <vt:lpstr>Ex 3 - 2007</vt:lpstr>
      <vt:lpstr>Ex 3 - 2006</vt:lpstr>
      <vt:lpstr>Ex 3 - 2005</vt:lpstr>
      <vt:lpstr>Ex 3 - 2004</vt:lpstr>
      <vt:lpstr>M&amp;S-Oct09</vt:lpstr>
      <vt:lpstr>M&amp;S-Dec08</vt:lpstr>
      <vt:lpstr>M&amp;S-Dec07</vt:lpstr>
      <vt:lpstr>M&amp;S-Dec06</vt:lpstr>
      <vt:lpstr>M&amp;S-Dec05</vt:lpstr>
      <vt:lpstr>M&amp;S-Dec04</vt:lpstr>
      <vt:lpstr>2012 TY IS</vt:lpstr>
      <vt:lpstr>2012 TY BS</vt:lpstr>
      <vt:lpstr>2011 IS</vt:lpstr>
      <vt:lpstr>2011 BS</vt:lpstr>
      <vt:lpstr>2010 IS</vt:lpstr>
      <vt:lpstr>2010 BS</vt:lpstr>
      <vt:lpstr>2009 IS</vt:lpstr>
      <vt:lpstr>2009 BS</vt:lpstr>
      <vt:lpstr>2008 IS</vt:lpstr>
      <vt:lpstr>2008 BS</vt:lpstr>
      <vt:lpstr>2007 IS</vt:lpstr>
      <vt:lpstr>2007 BS</vt:lpstr>
      <vt:lpstr>2006 IS</vt:lpstr>
      <vt:lpstr>2006 BS</vt:lpstr>
      <vt:lpstr>2005 IS</vt:lpstr>
      <vt:lpstr>2005 BS</vt:lpstr>
      <vt:lpstr>2004 IS</vt:lpstr>
      <vt:lpstr>2004 BS</vt:lpstr>
      <vt:lpstr>2008 ECC</vt:lpstr>
      <vt:lpstr>2007 ECC</vt:lpstr>
      <vt:lpstr>2006 ECC</vt:lpstr>
      <vt:lpstr>2005 ECC</vt:lpstr>
      <vt:lpstr>2004 ECC</vt:lpstr>
      <vt:lpstr>Discoverer Export 05-07</vt:lpstr>
      <vt:lpstr>Discoverer Export 08</vt:lpstr>
      <vt:lpstr>2007 Elec</vt:lpstr>
      <vt:lpstr>2006 Elec</vt:lpstr>
      <vt:lpstr>2005 Elec</vt:lpstr>
      <vt:lpstr>2004 Elec</vt:lpstr>
      <vt:lpstr>'2004 ECC'!page1</vt:lpstr>
      <vt:lpstr>'2004'!Print_Area</vt:lpstr>
      <vt:lpstr>'2004 BS'!Print_Area</vt:lpstr>
      <vt:lpstr>'2004 ECC'!Print_Area</vt:lpstr>
      <vt:lpstr>'2004 Elec'!Print_Area</vt:lpstr>
      <vt:lpstr>'2004 IS'!Print_Area</vt:lpstr>
      <vt:lpstr>'2005'!Print_Area</vt:lpstr>
      <vt:lpstr>'2005 BS'!Print_Area</vt:lpstr>
      <vt:lpstr>'2005 Elec'!Print_Area</vt:lpstr>
      <vt:lpstr>'2005 IS'!Print_Area</vt:lpstr>
      <vt:lpstr>'2006'!Print_Area</vt:lpstr>
      <vt:lpstr>'2006 BS'!Print_Area</vt:lpstr>
      <vt:lpstr>'2006 Elec'!Print_Area</vt:lpstr>
      <vt:lpstr>'2006 IS'!Print_Area</vt:lpstr>
      <vt:lpstr>'2007'!Print_Area</vt:lpstr>
      <vt:lpstr>'2007 BS'!Print_Area</vt:lpstr>
      <vt:lpstr>'2007 ECC'!Print_Area</vt:lpstr>
      <vt:lpstr>'2007 Elec'!Print_Area</vt:lpstr>
      <vt:lpstr>'2007 IS'!Print_Area</vt:lpstr>
      <vt:lpstr>'2008'!Print_Area</vt:lpstr>
      <vt:lpstr>'2008 BS'!Print_Area</vt:lpstr>
      <vt:lpstr>'2008 ECC'!Print_Area</vt:lpstr>
      <vt:lpstr>'2008 IS'!Print_Area</vt:lpstr>
      <vt:lpstr>'2009'!Print_Area</vt:lpstr>
      <vt:lpstr>'2009 BS'!Print_Area</vt:lpstr>
      <vt:lpstr>'2009 IS'!Print_Area</vt:lpstr>
      <vt:lpstr>'2010'!Print_Area</vt:lpstr>
      <vt:lpstr>'2010 BS'!Print_Area</vt:lpstr>
      <vt:lpstr>'2010 IS'!Print_Area</vt:lpstr>
      <vt:lpstr>'2011'!Print_Area</vt:lpstr>
      <vt:lpstr>'2011 BS'!Print_Area</vt:lpstr>
      <vt:lpstr>'2011 IS'!Print_Area</vt:lpstr>
      <vt:lpstr>'2012 TY BS'!Print_Area</vt:lpstr>
      <vt:lpstr>'2012 TY IS'!Print_Area</vt:lpstr>
      <vt:lpstr>'Ex 3 - 2004'!Print_Area</vt:lpstr>
      <vt:lpstr>'Ex 3 - 2005'!Print_Area</vt:lpstr>
      <vt:lpstr>'Ex 3 - 2006'!Print_Area</vt:lpstr>
      <vt:lpstr>'Ex 3 - 2007'!Print_Area</vt:lpstr>
      <vt:lpstr>'Ex 3 - 2008'!Print_Area</vt:lpstr>
      <vt:lpstr>'Ex 3 - 2009'!Print_Area</vt:lpstr>
      <vt:lpstr>'Ex 3 - 2010'!Print_Area</vt:lpstr>
      <vt:lpstr>'Ex 3 - 2011'!Print_Area</vt:lpstr>
      <vt:lpstr>'Ex 3 - TY 2009'!Print_Area</vt:lpstr>
      <vt:lpstr>'Ex 3 - TY 2012'!Print_Area</vt:lpstr>
      <vt:lpstr>'KUQ38'!Print_Area</vt:lpstr>
      <vt:lpstr>'M&amp;S-Dec04'!Print_Area</vt:lpstr>
      <vt:lpstr>'M&amp;S-Dec05'!Print_Area</vt:lpstr>
      <vt:lpstr>'M&amp;S-Dec06'!Print_Area</vt:lpstr>
      <vt:lpstr>'M&amp;S-Dec07'!Print_Area</vt:lpstr>
      <vt:lpstr>'M&amp;S-Dec08'!Print_Area</vt:lpstr>
      <vt:lpstr>'M&amp;S-Oct09'!Print_Area</vt:lpstr>
      <vt:lpstr>'TY 2009'!Print_Area</vt:lpstr>
      <vt:lpstr>'TY 2012'!Print_Area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2012-08-13T19:06:20Z</dcterms:created>
  <dcterms:modified xsi:type="dcterms:W3CDTF">2012-08-13T19:06:40Z</dcterms:modified>
</cp:coreProperties>
</file>